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X:\Ano 2025\Auditoria\Empresas\GO - IQUEGO\Corresp. e Docs Recebidos\1 DCs\1.1 DCs e NEs do exercicio em analise\"/>
    </mc:Choice>
  </mc:AlternateContent>
  <xr:revisionPtr revIDLastSave="0" documentId="13_ncr:1_{6888A1CB-2BAB-4D5A-AE18-9FFA7899DF22}" xr6:coauthVersionLast="47" xr6:coauthVersionMax="47" xr10:uidLastSave="{00000000-0000-0000-0000-000000000000}"/>
  <bookViews>
    <workbookView xWindow="-108" yWindow="-108" windowWidth="23256" windowHeight="12576" tabRatio="869" firstSheet="8" activeTab="15" xr2:uid="{00000000-000D-0000-FFFF-FFFF00000000}"/>
  </bookViews>
  <sheets>
    <sheet name="BALANCETE 2021" sheetId="8" state="hidden" r:id="rId1"/>
    <sheet name="BALANCETE 2022" sheetId="12" state="hidden" r:id="rId2"/>
    <sheet name="Balancete 2022 DMPL (Zerado)" sheetId="18" state="hidden" r:id="rId3"/>
    <sheet name="QUADROS QUE FALTARAM" sheetId="15" state="hidden" r:id="rId4"/>
    <sheet name="BP" sheetId="2" state="hidden" r:id="rId5"/>
    <sheet name="DRE" sheetId="13" state="hidden" r:id="rId6"/>
    <sheet name="DMPL" sheetId="20" state="hidden" r:id="rId7"/>
    <sheet name="DFC" sheetId="21" state="hidden" r:id="rId8"/>
    <sheet name="BALANCETE 2023" sheetId="22" r:id="rId9"/>
    <sheet name="BALANCETE 2024" sheetId="30" r:id="rId10"/>
    <sheet name="Planilha3" sheetId="32" state="hidden" r:id="rId11"/>
    <sheet name="Representado 2023" sheetId="31" r:id="rId12"/>
    <sheet name="Planilha1" sheetId="27" state="hidden" r:id="rId13"/>
    <sheet name="BP 2023_2024" sheetId="23" r:id="rId14"/>
    <sheet name="Planilha4" sheetId="29" state="hidden" r:id="rId15"/>
    <sheet name="DRE 2023_2024" sheetId="24" r:id="rId16"/>
    <sheet name="DRA 2023_2024" sheetId="28" r:id="rId17"/>
    <sheet name="DMPL 2023_2024" sheetId="25" r:id="rId18"/>
    <sheet name="DFC 2023_2024" sheetId="26" r:id="rId19"/>
    <sheet name="Planilha6" sheetId="34" r:id="rId20"/>
    <sheet name="Planilha5" sheetId="33" r:id="rId21"/>
    <sheet name="DFC 2022 AUDITORIA DESATUAL." sheetId="14" state="hidden" r:id="rId22"/>
    <sheet name="Planilha2" sheetId="17" state="hidden" r:id="rId23"/>
    <sheet name="PL com Ajustes" sheetId="19" state="hidden" r:id="rId24"/>
    <sheet name="DMPL 2022 vs antiga" sheetId="4" state="hidden" r:id="rId25"/>
  </sheets>
  <externalReferences>
    <externalReference r:id="rId26"/>
    <externalReference r:id="rId27"/>
    <externalReference r:id="rId28"/>
  </externalReferences>
  <definedNames>
    <definedName name="_xlnm._FilterDatabase" localSheetId="0" hidden="1">'BALANCETE 2021'!$A$9:$O$693</definedName>
    <definedName name="_xlnm._FilterDatabase" localSheetId="1" hidden="1">'BALANCETE 2022'!$A$11:$N$714</definedName>
    <definedName name="_xlnm._FilterDatabase" localSheetId="2" hidden="1">'Balancete 2022 DMPL (Zerado)'!$A$1:$O$710</definedName>
    <definedName name="_xlnm._FilterDatabase" localSheetId="8" hidden="1">'BALANCETE 2023'!$C$11:$N$661</definedName>
    <definedName name="_xlnm._FilterDatabase" localSheetId="9" hidden="1">'BALANCETE 2024'!$A$3:$WVO$692</definedName>
    <definedName name="_xlnm._FilterDatabase" localSheetId="11" hidden="1">'Representado 2023'!$C$11:$P$11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31" i="23" l="1"/>
  <c r="Z27" i="23"/>
  <c r="U27" i="23"/>
  <c r="Y27" i="23"/>
  <c r="J544" i="30"/>
  <c r="G10" i="28"/>
  <c r="G33" i="23"/>
  <c r="F33" i="23"/>
  <c r="E50" i="23" l="1"/>
  <c r="P155" i="22"/>
  <c r="G24" i="23"/>
  <c r="F24" i="24"/>
  <c r="H141" i="30"/>
  <c r="E19" i="23" l="1"/>
  <c r="E18" i="23"/>
  <c r="I44" i="23"/>
  <c r="T44" i="23"/>
  <c r="L49" i="23"/>
  <c r="M49" i="23"/>
  <c r="N49" i="23"/>
  <c r="F21" i="26" l="1"/>
  <c r="E55" i="26"/>
  <c r="K16" i="26"/>
  <c r="K17" i="26"/>
  <c r="K18" i="26"/>
  <c r="K22" i="26"/>
  <c r="K23" i="26"/>
  <c r="K25" i="26"/>
  <c r="K33" i="26"/>
  <c r="K34" i="26"/>
  <c r="K37" i="26"/>
  <c r="K42" i="26"/>
  <c r="K44" i="26"/>
  <c r="K46" i="26"/>
  <c r="K47" i="26"/>
  <c r="K48" i="26"/>
  <c r="K49" i="26"/>
  <c r="K50" i="26"/>
  <c r="K51" i="26"/>
  <c r="K52" i="26"/>
  <c r="K54" i="26"/>
  <c r="K55" i="26"/>
  <c r="K56" i="26"/>
  <c r="K57" i="26"/>
  <c r="N14" i="31"/>
  <c r="N15" i="31"/>
  <c r="N16" i="31"/>
  <c r="N17" i="31"/>
  <c r="N18" i="31"/>
  <c r="N19" i="31"/>
  <c r="N20" i="31"/>
  <c r="N21" i="31"/>
  <c r="N22" i="31"/>
  <c r="N23" i="31"/>
  <c r="N24" i="31"/>
  <c r="N25" i="31"/>
  <c r="N26" i="31"/>
  <c r="N27" i="31"/>
  <c r="N28" i="31"/>
  <c r="N29" i="31"/>
  <c r="N30" i="31"/>
  <c r="N31" i="31"/>
  <c r="N32" i="31"/>
  <c r="N33" i="31"/>
  <c r="N34" i="31"/>
  <c r="N35" i="31"/>
  <c r="N36" i="31"/>
  <c r="N37" i="31"/>
  <c r="N38" i="31"/>
  <c r="N39" i="31"/>
  <c r="N40" i="31"/>
  <c r="N41" i="31"/>
  <c r="N42" i="31"/>
  <c r="N43" i="31"/>
  <c r="N44" i="31"/>
  <c r="N45" i="31"/>
  <c r="N46" i="31"/>
  <c r="N47" i="31"/>
  <c r="N48" i="31"/>
  <c r="N49" i="31"/>
  <c r="N50" i="31"/>
  <c r="N51" i="31"/>
  <c r="N52" i="31"/>
  <c r="N53" i="31"/>
  <c r="N54" i="31"/>
  <c r="N55" i="31"/>
  <c r="N56" i="31"/>
  <c r="N57" i="31"/>
  <c r="N58" i="31"/>
  <c r="N59" i="31"/>
  <c r="N60" i="31"/>
  <c r="N61" i="31"/>
  <c r="N62" i="31"/>
  <c r="N63" i="31"/>
  <c r="N64" i="31"/>
  <c r="N65" i="31"/>
  <c r="N66" i="31"/>
  <c r="N67" i="31"/>
  <c r="N68" i="31"/>
  <c r="N69" i="31"/>
  <c r="N70" i="31"/>
  <c r="N71" i="31"/>
  <c r="N72" i="31"/>
  <c r="N73" i="31"/>
  <c r="N74" i="31"/>
  <c r="N75" i="31"/>
  <c r="N76" i="31"/>
  <c r="N77" i="31"/>
  <c r="N78" i="31"/>
  <c r="N79" i="31"/>
  <c r="N80" i="31"/>
  <c r="N81" i="31"/>
  <c r="N82" i="31"/>
  <c r="N83" i="31"/>
  <c r="N84" i="31"/>
  <c r="N85" i="31"/>
  <c r="N86" i="31"/>
  <c r="N87" i="31"/>
  <c r="N88" i="31"/>
  <c r="N89" i="31"/>
  <c r="N90" i="31"/>
  <c r="N91" i="31"/>
  <c r="N92" i="31"/>
  <c r="N93" i="31"/>
  <c r="N94" i="31"/>
  <c r="N95" i="31"/>
  <c r="N96" i="31"/>
  <c r="N98" i="31"/>
  <c r="N99" i="31"/>
  <c r="N100" i="31"/>
  <c r="N102" i="31"/>
  <c r="N103" i="31"/>
  <c r="N104" i="31"/>
  <c r="N106" i="31"/>
  <c r="N107" i="31"/>
  <c r="N108" i="31"/>
  <c r="N110" i="31"/>
  <c r="N111" i="31"/>
  <c r="N112" i="31"/>
  <c r="N113" i="31"/>
  <c r="N114" i="31"/>
  <c r="N115" i="31"/>
  <c r="N116" i="31"/>
  <c r="N117" i="31"/>
  <c r="N118" i="31"/>
  <c r="N119" i="31"/>
  <c r="N122" i="31"/>
  <c r="N124" i="31"/>
  <c r="N125" i="31"/>
  <c r="N126" i="31"/>
  <c r="N127" i="31"/>
  <c r="N128" i="31"/>
  <c r="N129" i="31"/>
  <c r="N130" i="31"/>
  <c r="N131" i="31"/>
  <c r="N132" i="31"/>
  <c r="N133" i="31"/>
  <c r="N134" i="31"/>
  <c r="N135" i="31"/>
  <c r="N136" i="31"/>
  <c r="N137" i="31"/>
  <c r="N138" i="31"/>
  <c r="N139" i="31"/>
  <c r="N140" i="31"/>
  <c r="N141" i="31"/>
  <c r="N142" i="31"/>
  <c r="N143" i="31"/>
  <c r="N144" i="31"/>
  <c r="N145" i="31"/>
  <c r="N146" i="31"/>
  <c r="N147" i="31"/>
  <c r="N148" i="31"/>
  <c r="N149" i="31"/>
  <c r="N150" i="31"/>
  <c r="N151" i="31"/>
  <c r="N155" i="31"/>
  <c r="N156" i="31"/>
  <c r="N157" i="31"/>
  <c r="N158" i="31"/>
  <c r="N159" i="31"/>
  <c r="N160" i="31"/>
  <c r="N161" i="31"/>
  <c r="N162" i="31"/>
  <c r="N163" i="31"/>
  <c r="N164" i="31"/>
  <c r="N169" i="31"/>
  <c r="N170" i="31"/>
  <c r="N171" i="31"/>
  <c r="N172" i="31"/>
  <c r="N173" i="31"/>
  <c r="N174" i="31"/>
  <c r="N175" i="31"/>
  <c r="N176" i="31"/>
  <c r="N177" i="31"/>
  <c r="N178" i="31"/>
  <c r="N179" i="31"/>
  <c r="N180" i="31"/>
  <c r="N181" i="31"/>
  <c r="N182" i="31"/>
  <c r="N185" i="31"/>
  <c r="N187" i="31"/>
  <c r="N189" i="31"/>
  <c r="N191" i="31"/>
  <c r="N193" i="31"/>
  <c r="N194" i="31"/>
  <c r="N195" i="31"/>
  <c r="N196" i="31"/>
  <c r="N198" i="31"/>
  <c r="N199" i="31"/>
  <c r="N200" i="31"/>
  <c r="N201" i="31"/>
  <c r="N202" i="31"/>
  <c r="N203" i="31"/>
  <c r="N204" i="31"/>
  <c r="N205" i="31"/>
  <c r="N206" i="31"/>
  <c r="N207" i="31"/>
  <c r="N208" i="31"/>
  <c r="N209" i="31"/>
  <c r="N210" i="31"/>
  <c r="N212" i="31"/>
  <c r="N214" i="31"/>
  <c r="N216" i="31"/>
  <c r="N217" i="31"/>
  <c r="N218" i="31"/>
  <c r="N219" i="31"/>
  <c r="N220" i="31"/>
  <c r="N221" i="31"/>
  <c r="N223" i="31"/>
  <c r="N225" i="31"/>
  <c r="N226" i="31"/>
  <c r="N228" i="31"/>
  <c r="N229" i="31"/>
  <c r="N230" i="31"/>
  <c r="N231" i="31"/>
  <c r="N233" i="31"/>
  <c r="N235" i="31"/>
  <c r="N236" i="31"/>
  <c r="N237" i="31"/>
  <c r="N238" i="31"/>
  <c r="N240" i="31"/>
  <c r="N242" i="31"/>
  <c r="N243" i="31"/>
  <c r="N244" i="31"/>
  <c r="N246" i="31"/>
  <c r="N247" i="31"/>
  <c r="N248" i="31"/>
  <c r="N250" i="31"/>
  <c r="N252" i="31"/>
  <c r="N253" i="31"/>
  <c r="N254" i="31"/>
  <c r="N256" i="31"/>
  <c r="N258" i="31"/>
  <c r="N260" i="31"/>
  <c r="N261" i="31"/>
  <c r="N262" i="31"/>
  <c r="N263" i="31"/>
  <c r="N264" i="31"/>
  <c r="N265" i="31"/>
  <c r="N266" i="31"/>
  <c r="N269" i="31"/>
  <c r="N271" i="31"/>
  <c r="N273" i="31"/>
  <c r="N275" i="31"/>
  <c r="N277" i="31"/>
  <c r="N279" i="31"/>
  <c r="N281" i="31"/>
  <c r="N282" i="31"/>
  <c r="N283" i="31"/>
  <c r="N284" i="31"/>
  <c r="N285" i="31"/>
  <c r="N286" i="31"/>
  <c r="N290" i="31"/>
  <c r="N291" i="31"/>
  <c r="N292" i="31"/>
  <c r="N293" i="31"/>
  <c r="N294" i="31"/>
  <c r="N295" i="31"/>
  <c r="N296" i="31"/>
  <c r="N297" i="31"/>
  <c r="N298" i="31"/>
  <c r="N299" i="31"/>
  <c r="N300" i="31"/>
  <c r="N301" i="31"/>
  <c r="N303" i="31"/>
  <c r="N305" i="31"/>
  <c r="N306" i="31"/>
  <c r="N307" i="31"/>
  <c r="N308" i="31"/>
  <c r="N309" i="31"/>
  <c r="N310" i="31"/>
  <c r="N311" i="31"/>
  <c r="N312" i="31"/>
  <c r="N313" i="31"/>
  <c r="N314" i="31"/>
  <c r="N315" i="31"/>
  <c r="N316" i="31"/>
  <c r="N317" i="31"/>
  <c r="N318" i="31"/>
  <c r="N319" i="31"/>
  <c r="N320" i="31"/>
  <c r="N321" i="31"/>
  <c r="N322" i="31"/>
  <c r="N323" i="31"/>
  <c r="N324" i="31"/>
  <c r="N325" i="31"/>
  <c r="N326" i="31"/>
  <c r="N327" i="31"/>
  <c r="N328" i="31"/>
  <c r="N329" i="31"/>
  <c r="N330" i="31"/>
  <c r="N332" i="31"/>
  <c r="N333" i="31"/>
  <c r="N334" i="31"/>
  <c r="N335" i="31"/>
  <c r="N336" i="31"/>
  <c r="N337" i="31"/>
  <c r="N338" i="31"/>
  <c r="N339" i="31"/>
  <c r="N340" i="31"/>
  <c r="N342" i="31"/>
  <c r="N343" i="31"/>
  <c r="N344" i="31"/>
  <c r="N345" i="31"/>
  <c r="N346" i="31"/>
  <c r="N347" i="31"/>
  <c r="N348" i="31"/>
  <c r="N349" i="31"/>
  <c r="N350" i="31"/>
  <c r="N351" i="31"/>
  <c r="N352" i="31"/>
  <c r="N353" i="31"/>
  <c r="N354" i="31"/>
  <c r="N355" i="31"/>
  <c r="N356" i="31"/>
  <c r="N357" i="31"/>
  <c r="N358" i="31"/>
  <c r="N359" i="31"/>
  <c r="N360" i="31"/>
  <c r="N361" i="31"/>
  <c r="N362" i="31"/>
  <c r="N363" i="31"/>
  <c r="N364" i="31"/>
  <c r="N365" i="31"/>
  <c r="N366" i="31"/>
  <c r="N367" i="31"/>
  <c r="N368" i="31"/>
  <c r="N369" i="31"/>
  <c r="N370" i="31"/>
  <c r="N371" i="31"/>
  <c r="N372" i="31"/>
  <c r="N373" i="31"/>
  <c r="N374" i="31"/>
  <c r="N375" i="31"/>
  <c r="N376" i="31"/>
  <c r="N377" i="31"/>
  <c r="N378" i="31"/>
  <c r="N379" i="31"/>
  <c r="N380" i="31"/>
  <c r="N381" i="31"/>
  <c r="N382" i="31"/>
  <c r="N384" i="31"/>
  <c r="N385" i="31"/>
  <c r="N386" i="31"/>
  <c r="N387" i="31"/>
  <c r="N388" i="31"/>
  <c r="N389" i="31"/>
  <c r="N390" i="31"/>
  <c r="N391" i="31"/>
  <c r="N392" i="31"/>
  <c r="N394" i="31"/>
  <c r="N395" i="31"/>
  <c r="N396" i="31"/>
  <c r="N397" i="31"/>
  <c r="N398" i="31"/>
  <c r="N399" i="31"/>
  <c r="N400" i="31"/>
  <c r="N401" i="31"/>
  <c r="N402" i="31"/>
  <c r="N403" i="31"/>
  <c r="N404" i="31"/>
  <c r="N405" i="31"/>
  <c r="N406" i="31"/>
  <c r="N407" i="31"/>
  <c r="N408" i="31"/>
  <c r="N409" i="31"/>
  <c r="N410" i="31"/>
  <c r="N411" i="31"/>
  <c r="N412" i="31"/>
  <c r="N413" i="31"/>
  <c r="N414" i="31"/>
  <c r="N415" i="31"/>
  <c r="N416" i="31"/>
  <c r="N417" i="31"/>
  <c r="N418" i="31"/>
  <c r="N419" i="31"/>
  <c r="N420" i="31"/>
  <c r="N421" i="31"/>
  <c r="N422" i="31"/>
  <c r="N423" i="31"/>
  <c r="N424" i="31"/>
  <c r="N425" i="31"/>
  <c r="N426" i="31"/>
  <c r="N427" i="31"/>
  <c r="N428" i="31"/>
  <c r="N429" i="31"/>
  <c r="N430" i="31"/>
  <c r="N431" i="31"/>
  <c r="N432" i="31"/>
  <c r="N433" i="31"/>
  <c r="N434" i="31"/>
  <c r="N435" i="31"/>
  <c r="N436" i="31"/>
  <c r="N437" i="31"/>
  <c r="N438" i="31"/>
  <c r="N439" i="31"/>
  <c r="N440" i="31"/>
  <c r="N441" i="31"/>
  <c r="N442" i="31"/>
  <c r="N443" i="31"/>
  <c r="N444" i="31"/>
  <c r="N445" i="31"/>
  <c r="N446" i="31"/>
  <c r="N447" i="31"/>
  <c r="N448" i="31"/>
  <c r="N449" i="31"/>
  <c r="N450" i="31"/>
  <c r="N451" i="31"/>
  <c r="N452" i="31"/>
  <c r="N453" i="31"/>
  <c r="N454" i="31"/>
  <c r="N455" i="31"/>
  <c r="N456" i="31"/>
  <c r="N457" i="31"/>
  <c r="N460" i="31"/>
  <c r="N462" i="31"/>
  <c r="N463" i="31"/>
  <c r="N464" i="31"/>
  <c r="N465" i="31"/>
  <c r="N467" i="31"/>
  <c r="N468" i="31"/>
  <c r="N469" i="31"/>
  <c r="N470" i="31"/>
  <c r="N471" i="31"/>
  <c r="N472" i="31"/>
  <c r="N473" i="31"/>
  <c r="N474" i="31"/>
  <c r="N475" i="31"/>
  <c r="N476" i="31"/>
  <c r="N477" i="31"/>
  <c r="N478" i="31"/>
  <c r="N479" i="31"/>
  <c r="N480" i="31"/>
  <c r="N481" i="31"/>
  <c r="N482" i="31"/>
  <c r="N483" i="31"/>
  <c r="N484" i="31"/>
  <c r="N485" i="31"/>
  <c r="N486" i="31"/>
  <c r="N487" i="31"/>
  <c r="N488" i="31"/>
  <c r="N489" i="31"/>
  <c r="N490" i="31"/>
  <c r="N491" i="31"/>
  <c r="N492" i="31"/>
  <c r="N495" i="31"/>
  <c r="N496" i="31"/>
  <c r="N497" i="31"/>
  <c r="N499" i="31"/>
  <c r="N500" i="31"/>
  <c r="N501" i="31"/>
  <c r="N502" i="31"/>
  <c r="N503" i="31"/>
  <c r="N504" i="31"/>
  <c r="N505" i="31"/>
  <c r="N506" i="31"/>
  <c r="N507" i="31"/>
  <c r="N508" i="31"/>
  <c r="N509" i="31"/>
  <c r="N510" i="31"/>
  <c r="N511" i="31"/>
  <c r="N512" i="31"/>
  <c r="N513" i="31"/>
  <c r="N514" i="31"/>
  <c r="N515" i="31"/>
  <c r="N516" i="31"/>
  <c r="N517" i="31"/>
  <c r="N518" i="31"/>
  <c r="N519" i="31"/>
  <c r="N520" i="31"/>
  <c r="N521" i="31"/>
  <c r="N522" i="31"/>
  <c r="N523" i="31"/>
  <c r="N524" i="31"/>
  <c r="N525" i="31"/>
  <c r="N526" i="31"/>
  <c r="N527" i="31"/>
  <c r="N528" i="31"/>
  <c r="N529" i="31"/>
  <c r="N530" i="31"/>
  <c r="N531" i="31"/>
  <c r="N532" i="31"/>
  <c r="N533" i="31"/>
  <c r="N534" i="31"/>
  <c r="N535" i="31"/>
  <c r="N536" i="31"/>
  <c r="N539" i="31"/>
  <c r="N540" i="31"/>
  <c r="N541" i="31"/>
  <c r="N542" i="31"/>
  <c r="N544" i="31"/>
  <c r="N545" i="31"/>
  <c r="N546" i="31"/>
  <c r="N547" i="31"/>
  <c r="N549" i="31"/>
  <c r="N550" i="31"/>
  <c r="N551" i="31"/>
  <c r="N552" i="31"/>
  <c r="N553" i="31"/>
  <c r="N554" i="31"/>
  <c r="N556" i="31"/>
  <c r="N557" i="31"/>
  <c r="N559" i="31"/>
  <c r="N560" i="31"/>
  <c r="N561" i="31"/>
  <c r="N562" i="31"/>
  <c r="N563" i="31"/>
  <c r="N564" i="31"/>
  <c r="N565" i="31"/>
  <c r="N566" i="31"/>
  <c r="N567" i="31"/>
  <c r="N568" i="31"/>
  <c r="N570" i="31"/>
  <c r="N571" i="31"/>
  <c r="N573" i="31"/>
  <c r="N574" i="31"/>
  <c r="N575" i="31"/>
  <c r="N576" i="31"/>
  <c r="N577" i="31"/>
  <c r="N578" i="31"/>
  <c r="N579" i="31"/>
  <c r="N580" i="31"/>
  <c r="N581" i="31"/>
  <c r="N582" i="31"/>
  <c r="N583" i="31"/>
  <c r="N584" i="31"/>
  <c r="N585" i="31"/>
  <c r="N586" i="31"/>
  <c r="N590" i="31"/>
  <c r="N591" i="31"/>
  <c r="N592" i="31"/>
  <c r="N593" i="31"/>
  <c r="N594" i="31"/>
  <c r="N595" i="31"/>
  <c r="N596" i="31"/>
  <c r="N597" i="31"/>
  <c r="N598" i="31"/>
  <c r="N600" i="31"/>
  <c r="N601" i="31"/>
  <c r="N602" i="31"/>
  <c r="N603" i="31"/>
  <c r="N604" i="31"/>
  <c r="N605" i="31"/>
  <c r="N606" i="31"/>
  <c r="N607" i="31"/>
  <c r="N608" i="31"/>
  <c r="N609" i="31"/>
  <c r="N611" i="31"/>
  <c r="N612" i="31"/>
  <c r="N613" i="31"/>
  <c r="N614" i="31"/>
  <c r="N616" i="31"/>
  <c r="N617" i="31"/>
  <c r="N618" i="31"/>
  <c r="N619" i="31"/>
  <c r="N620" i="31"/>
  <c r="N622" i="31"/>
  <c r="N623" i="31"/>
  <c r="N625" i="31"/>
  <c r="N627" i="31"/>
  <c r="N628" i="31"/>
  <c r="N630" i="31"/>
  <c r="N631" i="31"/>
  <c r="N632" i="31"/>
  <c r="N634" i="31"/>
  <c r="N635" i="31"/>
  <c r="N636" i="31"/>
  <c r="N637" i="31"/>
  <c r="N638" i="31"/>
  <c r="N639" i="31"/>
  <c r="N641" i="31"/>
  <c r="N642" i="31"/>
  <c r="N643" i="31"/>
  <c r="N644" i="31"/>
  <c r="N645" i="31"/>
  <c r="N647" i="31"/>
  <c r="N648" i="31"/>
  <c r="N649" i="31"/>
  <c r="N650" i="31"/>
  <c r="N651" i="31"/>
  <c r="N652" i="31"/>
  <c r="N653" i="31"/>
  <c r="N654" i="31"/>
  <c r="N655" i="31"/>
  <c r="N656" i="31"/>
  <c r="N657" i="31"/>
  <c r="N658" i="31"/>
  <c r="N659" i="31"/>
  <c r="N661" i="31"/>
  <c r="N662" i="31"/>
  <c r="N663" i="31"/>
  <c r="N664" i="31"/>
  <c r="N665" i="31"/>
  <c r="N666" i="31"/>
  <c r="N667" i="31"/>
  <c r="N668" i="31"/>
  <c r="N669" i="31"/>
  <c r="N670" i="31"/>
  <c r="N671" i="31"/>
  <c r="N672" i="31"/>
  <c r="N673" i="31"/>
  <c r="N674" i="31"/>
  <c r="N675" i="31"/>
  <c r="N676" i="31"/>
  <c r="N677" i="31"/>
  <c r="N678" i="31"/>
  <c r="N679" i="31"/>
  <c r="N680" i="31"/>
  <c r="N681" i="31"/>
  <c r="N682" i="31"/>
  <c r="N683" i="31"/>
  <c r="N684" i="31"/>
  <c r="N685" i="31"/>
  <c r="N686" i="31"/>
  <c r="N687" i="31"/>
  <c r="N688" i="31"/>
  <c r="N689" i="31"/>
  <c r="N690" i="31"/>
  <c r="N691" i="31"/>
  <c r="N692" i="31"/>
  <c r="N693" i="31"/>
  <c r="N694" i="31"/>
  <c r="N695" i="31"/>
  <c r="N696" i="31"/>
  <c r="N697" i="31"/>
  <c r="N698" i="31"/>
  <c r="N699" i="31"/>
  <c r="N700" i="31"/>
  <c r="N701" i="31"/>
  <c r="N702" i="31"/>
  <c r="N703" i="31"/>
  <c r="N704" i="31"/>
  <c r="N705" i="31"/>
  <c r="N706" i="31"/>
  <c r="N707" i="31"/>
  <c r="N708" i="31"/>
  <c r="N709" i="31"/>
  <c r="N711" i="31"/>
  <c r="N712" i="31"/>
  <c r="N713" i="31"/>
  <c r="N714" i="31"/>
  <c r="N715" i="31"/>
  <c r="N716" i="31"/>
  <c r="N717" i="31"/>
  <c r="N718" i="31"/>
  <c r="N719" i="31"/>
  <c r="N720" i="31"/>
  <c r="N721" i="31"/>
  <c r="N722" i="31"/>
  <c r="N723" i="31"/>
  <c r="N724" i="31"/>
  <c r="N725" i="31"/>
  <c r="N726" i="31"/>
  <c r="N727" i="31"/>
  <c r="N728" i="31"/>
  <c r="N729" i="31"/>
  <c r="N730" i="31"/>
  <c r="N731" i="31"/>
  <c r="N732" i="31"/>
  <c r="N733" i="31"/>
  <c r="N734" i="31"/>
  <c r="N735" i="31"/>
  <c r="N736" i="31"/>
  <c r="N737" i="31"/>
  <c r="N738" i="31"/>
  <c r="N739" i="31"/>
  <c r="N740" i="31"/>
  <c r="N741" i="31"/>
  <c r="N742" i="31"/>
  <c r="N743" i="31"/>
  <c r="N744" i="31"/>
  <c r="N745" i="31"/>
  <c r="N746" i="31"/>
  <c r="N747" i="31"/>
  <c r="N748" i="31"/>
  <c r="N749" i="31"/>
  <c r="N750" i="31"/>
  <c r="N751" i="31"/>
  <c r="N752" i="31"/>
  <c r="N753" i="31"/>
  <c r="N754" i="31"/>
  <c r="N755" i="31"/>
  <c r="N756" i="31"/>
  <c r="N757" i="31"/>
  <c r="N758" i="31"/>
  <c r="N759" i="31"/>
  <c r="T22" i="23"/>
  <c r="T28" i="23"/>
  <c r="T39" i="23"/>
  <c r="T45" i="23"/>
  <c r="T47" i="23"/>
  <c r="T49" i="23"/>
  <c r="T52" i="23"/>
  <c r="K141" i="32"/>
  <c r="K145" i="32" s="1"/>
  <c r="F20" i="24"/>
  <c r="F33" i="33"/>
  <c r="I36" i="33" s="1"/>
  <c r="I33" i="33"/>
  <c r="I22" i="33"/>
  <c r="F22" i="33"/>
  <c r="F19" i="33"/>
  <c r="E38" i="25"/>
  <c r="C35" i="25"/>
  <c r="C53" i="25" s="1"/>
  <c r="C44" i="25"/>
  <c r="G26" i="25"/>
  <c r="H27" i="23"/>
  <c r="E18" i="26"/>
  <c r="F54" i="26"/>
  <c r="F55" i="26"/>
  <c r="G55" i="26"/>
  <c r="F47" i="26"/>
  <c r="F19" i="26"/>
  <c r="F20" i="26"/>
  <c r="F18" i="26"/>
  <c r="G28" i="24"/>
  <c r="M28" i="24" s="1"/>
  <c r="G16" i="24"/>
  <c r="M16" i="24" s="1"/>
  <c r="G15" i="24"/>
  <c r="M15" i="24" s="1"/>
  <c r="M610" i="31"/>
  <c r="N610" i="31" s="1"/>
  <c r="M555" i="31"/>
  <c r="M548" i="31" s="1"/>
  <c r="M543" i="31" s="1"/>
  <c r="N543" i="31" s="1"/>
  <c r="M710" i="31"/>
  <c r="N710" i="31" s="1"/>
  <c r="M646" i="31"/>
  <c r="N646" i="31" s="1"/>
  <c r="M640" i="31"/>
  <c r="N640" i="31" s="1"/>
  <c r="M633" i="31"/>
  <c r="N633" i="31" s="1"/>
  <c r="M629" i="31"/>
  <c r="N629" i="31" s="1"/>
  <c r="M626" i="31"/>
  <c r="N626" i="31" s="1"/>
  <c r="M621" i="31"/>
  <c r="M615" i="31" s="1"/>
  <c r="N615" i="31" s="1"/>
  <c r="M599" i="31"/>
  <c r="M589" i="31" s="1"/>
  <c r="N589" i="31" s="1"/>
  <c r="M572" i="31"/>
  <c r="M569" i="31" s="1"/>
  <c r="M558" i="31" s="1"/>
  <c r="N558" i="31" s="1"/>
  <c r="K765" i="31"/>
  <c r="G29" i="24"/>
  <c r="M29" i="24" s="1"/>
  <c r="G24" i="24"/>
  <c r="M24" i="24" s="1"/>
  <c r="H19" i="24"/>
  <c r="H16" i="24"/>
  <c r="F50" i="23"/>
  <c r="F48" i="23"/>
  <c r="F43" i="23"/>
  <c r="F42" i="23"/>
  <c r="F41" i="23"/>
  <c r="F37" i="23"/>
  <c r="F35" i="23"/>
  <c r="F26" i="23"/>
  <c r="F25" i="23"/>
  <c r="F21" i="23"/>
  <c r="F19" i="23"/>
  <c r="L19" i="23" s="1"/>
  <c r="F17" i="23"/>
  <c r="F16" i="23"/>
  <c r="M461" i="31"/>
  <c r="N461" i="31" s="1"/>
  <c r="M168" i="31"/>
  <c r="M167" i="31" s="1"/>
  <c r="M166" i="31" s="1"/>
  <c r="F24" i="23" s="1"/>
  <c r="M123" i="31"/>
  <c r="M121" i="31" s="1"/>
  <c r="M120" i="31" s="1"/>
  <c r="N120" i="31" s="1"/>
  <c r="M109" i="31"/>
  <c r="N109" i="31" s="1"/>
  <c r="M105" i="31"/>
  <c r="N105" i="31" s="1"/>
  <c r="M6" i="31"/>
  <c r="J765" i="31"/>
  <c r="M304" i="31"/>
  <c r="M302" i="31" s="1"/>
  <c r="N302" i="31" s="1"/>
  <c r="M280" i="31"/>
  <c r="N280" i="31" s="1"/>
  <c r="M270" i="31"/>
  <c r="N270" i="31" s="1"/>
  <c r="M268" i="31"/>
  <c r="N268" i="31" s="1"/>
  <c r="K671" i="31"/>
  <c r="J670" i="31"/>
  <c r="J763" i="31"/>
  <c r="K763" i="31"/>
  <c r="K142" i="32"/>
  <c r="J141" i="32"/>
  <c r="J145" i="32" s="1"/>
  <c r="M498" i="31"/>
  <c r="M494" i="31" s="1"/>
  <c r="N494" i="31" s="1"/>
  <c r="M466" i="31"/>
  <c r="N466" i="31" s="1"/>
  <c r="M393" i="31"/>
  <c r="N393" i="31" s="1"/>
  <c r="M383" i="31"/>
  <c r="N383" i="31" s="1"/>
  <c r="M341" i="31"/>
  <c r="N341" i="31" s="1"/>
  <c r="M278" i="31"/>
  <c r="N278" i="31" s="1"/>
  <c r="M276" i="31"/>
  <c r="N276" i="31" s="1"/>
  <c r="M274" i="31"/>
  <c r="N274" i="31" s="1"/>
  <c r="M272" i="31"/>
  <c r="N272" i="31" s="1"/>
  <c r="M259" i="31"/>
  <c r="N259" i="31" s="1"/>
  <c r="M257" i="31"/>
  <c r="N257" i="31" s="1"/>
  <c r="M255" i="31"/>
  <c r="N255" i="31" s="1"/>
  <c r="M249" i="31"/>
  <c r="N249" i="31" s="1"/>
  <c r="M245" i="31"/>
  <c r="M241" i="31" s="1"/>
  <c r="N241" i="31" s="1"/>
  <c r="M239" i="31"/>
  <c r="M234" i="31" s="1"/>
  <c r="N234" i="31" s="1"/>
  <c r="M232" i="31"/>
  <c r="N232" i="31" s="1"/>
  <c r="M227" i="31"/>
  <c r="N227" i="31" s="1"/>
  <c r="M222" i="31"/>
  <c r="N222" i="31" s="1"/>
  <c r="M215" i="31"/>
  <c r="N215" i="31" s="1"/>
  <c r="M213" i="31"/>
  <c r="N213" i="31" s="1"/>
  <c r="M192" i="31"/>
  <c r="N192" i="31" s="1"/>
  <c r="M190" i="31"/>
  <c r="N190" i="31" s="1"/>
  <c r="M188" i="31"/>
  <c r="N188" i="31" s="1"/>
  <c r="M186" i="31"/>
  <c r="N186" i="31" s="1"/>
  <c r="M184" i="31"/>
  <c r="N184" i="31" s="1"/>
  <c r="M154" i="31"/>
  <c r="M153" i="31" s="1"/>
  <c r="M152" i="31" s="1"/>
  <c r="N152" i="31" s="1"/>
  <c r="K11" i="30"/>
  <c r="E48" i="26" s="1"/>
  <c r="N572" i="31" l="1"/>
  <c r="N498" i="31"/>
  <c r="N548" i="31"/>
  <c r="N555" i="31"/>
  <c r="N123" i="31"/>
  <c r="N154" i="31"/>
  <c r="N569" i="31"/>
  <c r="N153" i="31"/>
  <c r="N121" i="31"/>
  <c r="N304" i="31"/>
  <c r="N168" i="31"/>
  <c r="N599" i="31"/>
  <c r="N239" i="31"/>
  <c r="N167" i="31"/>
  <c r="N166" i="31"/>
  <c r="N621" i="31"/>
  <c r="N245" i="31"/>
  <c r="L766" i="31"/>
  <c r="M660" i="31"/>
  <c r="G27" i="24"/>
  <c r="M27" i="24" s="1"/>
  <c r="F56" i="26"/>
  <c r="M538" i="31"/>
  <c r="N538" i="31" s="1"/>
  <c r="F40" i="23"/>
  <c r="M224" i="31"/>
  <c r="N224" i="31" s="1"/>
  <c r="M331" i="31"/>
  <c r="F20" i="23"/>
  <c r="G14" i="24"/>
  <c r="M14" i="24" s="1"/>
  <c r="M493" i="31"/>
  <c r="M251" i="31"/>
  <c r="N251" i="31" s="1"/>
  <c r="M211" i="31"/>
  <c r="N211" i="31" s="1"/>
  <c r="M459" i="31"/>
  <c r="J768" i="31"/>
  <c r="M267" i="31"/>
  <c r="N267" i="31" s="1"/>
  <c r="M183" i="31"/>
  <c r="N183" i="31" s="1"/>
  <c r="M101" i="31"/>
  <c r="N101" i="31" s="1"/>
  <c r="E47" i="26"/>
  <c r="E54" i="26"/>
  <c r="E56" i="26" s="1"/>
  <c r="E23" i="26"/>
  <c r="M289" i="31" l="1"/>
  <c r="N331" i="31"/>
  <c r="M458" i="31"/>
  <c r="N459" i="31"/>
  <c r="F38" i="23"/>
  <c r="N493" i="31"/>
  <c r="F23" i="26"/>
  <c r="N660" i="31"/>
  <c r="M624" i="31"/>
  <c r="N624" i="31" s="1"/>
  <c r="G20" i="24"/>
  <c r="M97" i="31"/>
  <c r="F18" i="23"/>
  <c r="M197" i="31"/>
  <c r="N197" i="31" s="1"/>
  <c r="E20" i="26"/>
  <c r="E19" i="26"/>
  <c r="G51" i="25"/>
  <c r="G50" i="25"/>
  <c r="G49" i="25"/>
  <c r="G48" i="25"/>
  <c r="E48" i="23"/>
  <c r="L48" i="23" s="1"/>
  <c r="E41" i="23"/>
  <c r="L41" i="23" s="1"/>
  <c r="E43" i="23"/>
  <c r="L43" i="23" s="1"/>
  <c r="E42" i="23"/>
  <c r="L42" i="23" s="1"/>
  <c r="E34" i="23"/>
  <c r="E38" i="23"/>
  <c r="E37" i="23"/>
  <c r="E35" i="23"/>
  <c r="E36" i="23"/>
  <c r="E17" i="23"/>
  <c r="L17" i="23" s="1"/>
  <c r="G19" i="23"/>
  <c r="E27" i="23"/>
  <c r="E26" i="23"/>
  <c r="L26" i="23" s="1"/>
  <c r="E25" i="23"/>
  <c r="L25" i="23" s="1"/>
  <c r="E24" i="23"/>
  <c r="L24" i="23" s="1"/>
  <c r="E21" i="23"/>
  <c r="L21" i="23" s="1"/>
  <c r="E20" i="23"/>
  <c r="L20" i="23" s="1"/>
  <c r="E16" i="23"/>
  <c r="L16" i="23" s="1"/>
  <c r="F16" i="24"/>
  <c r="F29" i="24"/>
  <c r="F28" i="24"/>
  <c r="F23" i="24"/>
  <c r="F19" i="24"/>
  <c r="I19" i="24"/>
  <c r="F17" i="24"/>
  <c r="F15" i="24"/>
  <c r="K10" i="28"/>
  <c r="K13" i="28" s="1"/>
  <c r="J23" i="25"/>
  <c r="J21" i="25"/>
  <c r="E10" i="28" l="1"/>
  <c r="E33" i="23"/>
  <c r="L18" i="23"/>
  <c r="L15" i="23" s="1"/>
  <c r="L35" i="23"/>
  <c r="L38" i="23"/>
  <c r="L37" i="23"/>
  <c r="M288" i="31"/>
  <c r="N288" i="31" s="1"/>
  <c r="M13" i="31"/>
  <c r="N13" i="31" s="1"/>
  <c r="N97" i="31"/>
  <c r="F36" i="23"/>
  <c r="N458" i="31"/>
  <c r="F34" i="23"/>
  <c r="N289" i="31"/>
  <c r="G19" i="24"/>
  <c r="M19" i="24" s="1"/>
  <c r="M20" i="24"/>
  <c r="E23" i="23"/>
  <c r="E29" i="26"/>
  <c r="T19" i="23"/>
  <c r="M588" i="31"/>
  <c r="N588" i="31" s="1"/>
  <c r="M587" i="31"/>
  <c r="G23" i="24"/>
  <c r="F27" i="24"/>
  <c r="F15" i="23"/>
  <c r="F22" i="24"/>
  <c r="E30" i="23"/>
  <c r="M165" i="31"/>
  <c r="F27" i="23"/>
  <c r="F14" i="24"/>
  <c r="G47" i="25"/>
  <c r="E15" i="23"/>
  <c r="E40" i="23"/>
  <c r="G25" i="23"/>
  <c r="G18" i="23"/>
  <c r="H18" i="23"/>
  <c r="L34" i="23" l="1"/>
  <c r="L27" i="23"/>
  <c r="L23" i="23" s="1"/>
  <c r="L29" i="23" s="1"/>
  <c r="M27" i="23"/>
  <c r="M18" i="23"/>
  <c r="F28" i="26" s="1"/>
  <c r="N18" i="23"/>
  <c r="L36" i="23"/>
  <c r="E29" i="23"/>
  <c r="M287" i="31"/>
  <c r="N287" i="31" s="1"/>
  <c r="F30" i="23"/>
  <c r="M537" i="31"/>
  <c r="N537" i="31" s="1"/>
  <c r="N587" i="31"/>
  <c r="M12" i="31"/>
  <c r="N165" i="31"/>
  <c r="G22" i="24"/>
  <c r="M23" i="24"/>
  <c r="E28" i="26"/>
  <c r="T18" i="23"/>
  <c r="T24" i="23"/>
  <c r="T25" i="23"/>
  <c r="F31" i="24"/>
  <c r="F33" i="24" s="1"/>
  <c r="F23" i="23"/>
  <c r="F29" i="23" s="1"/>
  <c r="H50" i="26"/>
  <c r="G48" i="26"/>
  <c r="J21" i="21"/>
  <c r="G23" i="26"/>
  <c r="E29" i="25"/>
  <c r="I10" i="28" s="1"/>
  <c r="I13" i="28" s="1"/>
  <c r="F35" i="25"/>
  <c r="F44" i="25" s="1"/>
  <c r="G33" i="25"/>
  <c r="G32" i="25"/>
  <c r="G31" i="25"/>
  <c r="G30" i="25"/>
  <c r="H28" i="24"/>
  <c r="H15" i="24"/>
  <c r="G50" i="23"/>
  <c r="G48" i="23"/>
  <c r="G43" i="23"/>
  <c r="G42" i="23"/>
  <c r="G41" i="23"/>
  <c r="G38" i="23"/>
  <c r="G37" i="23"/>
  <c r="G36" i="23"/>
  <c r="G35" i="23"/>
  <c r="G34" i="23"/>
  <c r="H29" i="24"/>
  <c r="H24" i="24"/>
  <c r="H23" i="24"/>
  <c r="H20" i="24"/>
  <c r="G27" i="23"/>
  <c r="N27" i="23" s="1"/>
  <c r="G26" i="23"/>
  <c r="G21" i="23"/>
  <c r="T21" i="23" s="1"/>
  <c r="G20" i="23"/>
  <c r="T20" i="23" s="1"/>
  <c r="G17" i="23"/>
  <c r="H50" i="23"/>
  <c r="M50" i="23" s="1"/>
  <c r="H48" i="23"/>
  <c r="H43" i="23"/>
  <c r="M43" i="23" s="1"/>
  <c r="H42" i="23"/>
  <c r="M42" i="23" s="1"/>
  <c r="H41" i="23"/>
  <c r="M41" i="23" s="1"/>
  <c r="H38" i="23"/>
  <c r="M38" i="23" s="1"/>
  <c r="H37" i="23"/>
  <c r="H36" i="23"/>
  <c r="M36" i="23" s="1"/>
  <c r="H35" i="23"/>
  <c r="H34" i="23"/>
  <c r="M34" i="23" s="1"/>
  <c r="H26" i="23"/>
  <c r="H25" i="23"/>
  <c r="H24" i="23"/>
  <c r="H21" i="23"/>
  <c r="H20" i="23"/>
  <c r="H19" i="23"/>
  <c r="H17" i="23"/>
  <c r="H16" i="23"/>
  <c r="N42" i="23" l="1"/>
  <c r="N43" i="23"/>
  <c r="N37" i="23"/>
  <c r="M20" i="23"/>
  <c r="F31" i="26" s="1"/>
  <c r="N20" i="23"/>
  <c r="G31" i="26" s="1"/>
  <c r="M37" i="23"/>
  <c r="F40" i="26" s="1"/>
  <c r="T34" i="23"/>
  <c r="N34" i="23"/>
  <c r="M19" i="23"/>
  <c r="F29" i="26" s="1"/>
  <c r="N19" i="23"/>
  <c r="N50" i="23"/>
  <c r="L50" i="23"/>
  <c r="M24" i="23"/>
  <c r="N24" i="23"/>
  <c r="N36" i="23"/>
  <c r="N25" i="23"/>
  <c r="M25" i="23"/>
  <c r="M35" i="23"/>
  <c r="F38" i="26" s="1"/>
  <c r="N21" i="23"/>
  <c r="M21" i="23"/>
  <c r="F30" i="26" s="1"/>
  <c r="N38" i="23"/>
  <c r="F39" i="26"/>
  <c r="N35" i="23"/>
  <c r="N26" i="23"/>
  <c r="M26" i="23"/>
  <c r="M16" i="23"/>
  <c r="M48" i="23"/>
  <c r="N48" i="23"/>
  <c r="N41" i="23"/>
  <c r="M17" i="23"/>
  <c r="F27" i="26" s="1"/>
  <c r="N17" i="23"/>
  <c r="G27" i="26" s="1"/>
  <c r="M7" i="31"/>
  <c r="O6" i="31" s="1"/>
  <c r="J770" i="31" s="1"/>
  <c r="J771" i="31" s="1"/>
  <c r="N12" i="31"/>
  <c r="M3" i="31"/>
  <c r="G31" i="24"/>
  <c r="M22" i="24"/>
  <c r="E9" i="28"/>
  <c r="E13" i="28" s="1"/>
  <c r="E27" i="26"/>
  <c r="T17" i="23"/>
  <c r="T48" i="23"/>
  <c r="E38" i="26"/>
  <c r="T35" i="23"/>
  <c r="T50" i="23"/>
  <c r="T26" i="23"/>
  <c r="E39" i="26"/>
  <c r="T36" i="23"/>
  <c r="T27" i="23"/>
  <c r="E40" i="26"/>
  <c r="T37" i="23"/>
  <c r="T38" i="23"/>
  <c r="E41" i="26"/>
  <c r="T41" i="23"/>
  <c r="T43" i="23"/>
  <c r="T42" i="23"/>
  <c r="E15" i="26"/>
  <c r="E24" i="26" s="1"/>
  <c r="E31" i="26"/>
  <c r="E36" i="26"/>
  <c r="F36" i="26"/>
  <c r="E30" i="26"/>
  <c r="H27" i="24"/>
  <c r="F41" i="26"/>
  <c r="F53" i="25"/>
  <c r="L32" i="24"/>
  <c r="E51" i="23"/>
  <c r="E46" i="25"/>
  <c r="G46" i="25" s="1"/>
  <c r="G29" i="25"/>
  <c r="I36" i="23"/>
  <c r="I20" i="23"/>
  <c r="I50" i="23"/>
  <c r="I48" i="23"/>
  <c r="I43" i="23"/>
  <c r="I42" i="23"/>
  <c r="I41" i="23"/>
  <c r="I38" i="23"/>
  <c r="G40" i="26"/>
  <c r="I35" i="23"/>
  <c r="I34" i="23"/>
  <c r="I27" i="23"/>
  <c r="Q27" i="23" s="1"/>
  <c r="I25" i="23"/>
  <c r="I24" i="23"/>
  <c r="I21" i="23"/>
  <c r="I19" i="23"/>
  <c r="I18" i="23"/>
  <c r="G16" i="23"/>
  <c r="Q7" i="23" s="1"/>
  <c r="Q8" i="23" s="1"/>
  <c r="H47" i="26"/>
  <c r="G54" i="26"/>
  <c r="H55" i="26"/>
  <c r="H54" i="26"/>
  <c r="G47" i="26"/>
  <c r="V39" i="26"/>
  <c r="T25" i="26"/>
  <c r="V25" i="26"/>
  <c r="G21" i="26"/>
  <c r="K21" i="26" s="1"/>
  <c r="G20" i="26"/>
  <c r="K20" i="26" s="1"/>
  <c r="I41" i="2"/>
  <c r="G19" i="26"/>
  <c r="K19" i="26" s="1"/>
  <c r="H19" i="26"/>
  <c r="G18" i="26"/>
  <c r="H18" i="26"/>
  <c r="T36" i="26" s="1"/>
  <c r="J55" i="26"/>
  <c r="J54" i="26"/>
  <c r="J50" i="26"/>
  <c r="J47" i="26"/>
  <c r="J40" i="26"/>
  <c r="J39" i="26"/>
  <c r="J32" i="26"/>
  <c r="J31" i="26"/>
  <c r="T30" i="26"/>
  <c r="J28" i="26"/>
  <c r="J27" i="26"/>
  <c r="V26" i="26"/>
  <c r="H23" i="26"/>
  <c r="H22" i="26"/>
  <c r="H21" i="26"/>
  <c r="J20" i="26"/>
  <c r="J18" i="26"/>
  <c r="T13" i="26"/>
  <c r="E26" i="25"/>
  <c r="E44" i="25" s="1"/>
  <c r="E53" i="25" s="1"/>
  <c r="D26" i="25"/>
  <c r="D35" i="25" s="1"/>
  <c r="D44" i="25" s="1"/>
  <c r="I29" i="24"/>
  <c r="I28" i="24"/>
  <c r="I24" i="24"/>
  <c r="H22" i="24"/>
  <c r="I23" i="24"/>
  <c r="I20" i="24"/>
  <c r="I17" i="24"/>
  <c r="I16" i="24"/>
  <c r="I15" i="24"/>
  <c r="L66" i="21"/>
  <c r="J66" i="21"/>
  <c r="L65" i="21"/>
  <c r="L67" i="21" s="1"/>
  <c r="J65" i="21"/>
  <c r="L38" i="21"/>
  <c r="L37" i="21"/>
  <c r="L33" i="21" s="1"/>
  <c r="L31" i="21"/>
  <c r="L29" i="21"/>
  <c r="L26" i="21"/>
  <c r="L25" i="21"/>
  <c r="U23" i="21"/>
  <c r="J19" i="21"/>
  <c r="L18" i="21"/>
  <c r="J17" i="21"/>
  <c r="L13" i="21"/>
  <c r="J13" i="21"/>
  <c r="U8" i="21"/>
  <c r="L54" i="21"/>
  <c r="J54" i="21"/>
  <c r="L47" i="21"/>
  <c r="J47" i="21"/>
  <c r="W37" i="21"/>
  <c r="U28" i="21"/>
  <c r="W24" i="21"/>
  <c r="W23" i="21"/>
  <c r="J20" i="21"/>
  <c r="V16" i="21"/>
  <c r="U10" i="14"/>
  <c r="D25" i="13"/>
  <c r="D24" i="13"/>
  <c r="D20" i="13"/>
  <c r="D19" i="13"/>
  <c r="D16" i="13"/>
  <c r="D12" i="13"/>
  <c r="D13" i="13"/>
  <c r="D11" i="13"/>
  <c r="M23" i="23" l="1"/>
  <c r="K31" i="26"/>
  <c r="F32" i="26"/>
  <c r="F26" i="26" s="1"/>
  <c r="E35" i="26"/>
  <c r="N16" i="23"/>
  <c r="N29" i="23" s="1"/>
  <c r="K40" i="26"/>
  <c r="M15" i="23"/>
  <c r="K27" i="26"/>
  <c r="E32" i="26"/>
  <c r="E26" i="26" s="1"/>
  <c r="G33" i="24"/>
  <c r="M31" i="24"/>
  <c r="T16" i="23"/>
  <c r="F35" i="26"/>
  <c r="D53" i="25"/>
  <c r="E46" i="23"/>
  <c r="E53" i="23" s="1"/>
  <c r="G56" i="26"/>
  <c r="T45" i="26"/>
  <c r="H56" i="26"/>
  <c r="I22" i="24"/>
  <c r="H14" i="24"/>
  <c r="H31" i="24" s="1"/>
  <c r="I37" i="23"/>
  <c r="I17" i="23"/>
  <c r="I26" i="23"/>
  <c r="I16" i="23"/>
  <c r="G38" i="26"/>
  <c r="K38" i="26" s="1"/>
  <c r="G28" i="26"/>
  <c r="K28" i="26" s="1"/>
  <c r="G30" i="26"/>
  <c r="K30" i="26" s="1"/>
  <c r="V45" i="26"/>
  <c r="G36" i="26"/>
  <c r="K36" i="26" s="1"/>
  <c r="G29" i="26"/>
  <c r="K29" i="26" s="1"/>
  <c r="I27" i="24"/>
  <c r="G39" i="26"/>
  <c r="K39" i="26" s="1"/>
  <c r="I14" i="24"/>
  <c r="H46" i="23"/>
  <c r="J35" i="26"/>
  <c r="J26" i="26"/>
  <c r="L22" i="21"/>
  <c r="L24" i="21"/>
  <c r="J24" i="26"/>
  <c r="G30" i="23"/>
  <c r="T30" i="23" s="1"/>
  <c r="H15" i="23"/>
  <c r="H40" i="23"/>
  <c r="G40" i="23"/>
  <c r="T40" i="23" s="1"/>
  <c r="G23" i="23"/>
  <c r="T23" i="23" s="1"/>
  <c r="H31" i="23"/>
  <c r="G15" i="23"/>
  <c r="T15" i="23" s="1"/>
  <c r="H23" i="23"/>
  <c r="J67" i="21"/>
  <c r="J56" i="26"/>
  <c r="U34" i="21"/>
  <c r="I47" i="2"/>
  <c r="H45" i="2"/>
  <c r="H47" i="2"/>
  <c r="H46" i="2"/>
  <c r="H41" i="2"/>
  <c r="J41" i="2" s="1"/>
  <c r="H40" i="2"/>
  <c r="H39" i="2"/>
  <c r="H38" i="2"/>
  <c r="H35" i="2"/>
  <c r="H34" i="2"/>
  <c r="H33" i="2"/>
  <c r="H32" i="2"/>
  <c r="H31" i="2"/>
  <c r="H16" i="2"/>
  <c r="D30" i="19"/>
  <c r="C31" i="15"/>
  <c r="D34" i="20"/>
  <c r="E35" i="20"/>
  <c r="E34" i="20"/>
  <c r="E33" i="20"/>
  <c r="D33" i="20"/>
  <c r="F36" i="20"/>
  <c r="E36" i="20"/>
  <c r="D36" i="20"/>
  <c r="C36" i="20"/>
  <c r="F35" i="20"/>
  <c r="D35" i="20"/>
  <c r="C35" i="20"/>
  <c r="F34" i="20"/>
  <c r="C34" i="20"/>
  <c r="F33" i="20"/>
  <c r="C33" i="20"/>
  <c r="F32" i="20"/>
  <c r="C32" i="20"/>
  <c r="G32" i="20" s="1"/>
  <c r="F31" i="20"/>
  <c r="D31" i="20"/>
  <c r="C31" i="20"/>
  <c r="D29" i="20"/>
  <c r="F27" i="20"/>
  <c r="E27" i="20"/>
  <c r="D27" i="20"/>
  <c r="C27" i="20"/>
  <c r="F26" i="20"/>
  <c r="E26" i="20"/>
  <c r="D26" i="20"/>
  <c r="C26" i="20"/>
  <c r="F25" i="20"/>
  <c r="E25" i="20"/>
  <c r="D25" i="20"/>
  <c r="C25" i="20"/>
  <c r="F24" i="20"/>
  <c r="C24" i="20"/>
  <c r="F23" i="20"/>
  <c r="D23" i="20"/>
  <c r="C23" i="20"/>
  <c r="F22" i="20"/>
  <c r="D22" i="20"/>
  <c r="C22" i="20"/>
  <c r="G20" i="20"/>
  <c r="I26" i="19"/>
  <c r="I23" i="19"/>
  <c r="J23" i="19" s="1"/>
  <c r="E21" i="19"/>
  <c r="H20" i="19"/>
  <c r="H19" i="19"/>
  <c r="G19" i="19"/>
  <c r="E18" i="19"/>
  <c r="H17" i="19"/>
  <c r="H15" i="19" s="1"/>
  <c r="G17" i="19"/>
  <c r="G16" i="19"/>
  <c r="I16" i="19" s="1"/>
  <c r="E15" i="19"/>
  <c r="G13" i="19"/>
  <c r="I13" i="19" s="1"/>
  <c r="H12" i="19"/>
  <c r="I12" i="19" s="1"/>
  <c r="E11" i="19"/>
  <c r="E10" i="19" s="1"/>
  <c r="K10" i="19"/>
  <c r="L10" i="19" s="1"/>
  <c r="I6" i="19"/>
  <c r="I5" i="19" s="1"/>
  <c r="E6" i="19"/>
  <c r="E5" i="19"/>
  <c r="L44" i="14"/>
  <c r="E43" i="26" l="1"/>
  <c r="E45" i="26" s="1"/>
  <c r="E53" i="26" s="1"/>
  <c r="E58" i="26" s="1"/>
  <c r="M29" i="23"/>
  <c r="F51" i="23"/>
  <c r="M33" i="24"/>
  <c r="E37" i="25"/>
  <c r="G9" i="28"/>
  <c r="G13" i="28" s="1"/>
  <c r="I19" i="19"/>
  <c r="H18" i="19"/>
  <c r="L41" i="21"/>
  <c r="L45" i="21" s="1"/>
  <c r="L62" i="21" s="1"/>
  <c r="L70" i="21" s="1"/>
  <c r="C38" i="20"/>
  <c r="G29" i="23"/>
  <c r="P29" i="23" s="1"/>
  <c r="G25" i="20"/>
  <c r="I11" i="19"/>
  <c r="I10" i="19" s="1"/>
  <c r="G24" i="20"/>
  <c r="H29" i="23"/>
  <c r="G32" i="26"/>
  <c r="I9" i="28"/>
  <c r="H33" i="24"/>
  <c r="P32" i="24" s="1"/>
  <c r="J43" i="26"/>
  <c r="J45" i="26" s="1"/>
  <c r="J53" i="26" s="1"/>
  <c r="K59" i="26" s="1"/>
  <c r="I31" i="24"/>
  <c r="I33" i="24" s="1"/>
  <c r="G41" i="26"/>
  <c r="E29" i="20"/>
  <c r="G35" i="20"/>
  <c r="E14" i="19"/>
  <c r="G15" i="19"/>
  <c r="K15" i="19" s="1"/>
  <c r="G36" i="20"/>
  <c r="G33" i="20"/>
  <c r="I22" i="19"/>
  <c r="G23" i="20"/>
  <c r="G26" i="20"/>
  <c r="G15" i="26"/>
  <c r="G24" i="26" s="1"/>
  <c r="H53" i="23"/>
  <c r="L69" i="21"/>
  <c r="J18" i="21"/>
  <c r="H20" i="26"/>
  <c r="H37" i="2"/>
  <c r="K19" i="19"/>
  <c r="G18" i="19"/>
  <c r="K18" i="19" s="1"/>
  <c r="G22" i="20"/>
  <c r="G31" i="20"/>
  <c r="G27" i="20"/>
  <c r="D38" i="20"/>
  <c r="E38" i="20"/>
  <c r="G34" i="20"/>
  <c r="F38" i="20"/>
  <c r="H14" i="19"/>
  <c r="G28" i="19"/>
  <c r="E4" i="19"/>
  <c r="J16" i="19"/>
  <c r="K26" i="19"/>
  <c r="I17" i="19"/>
  <c r="I15" i="19" s="1"/>
  <c r="I20" i="19"/>
  <c r="I18" i="19" s="1"/>
  <c r="K17" i="19"/>
  <c r="K20" i="19"/>
  <c r="O29" i="23" l="1"/>
  <c r="M51" i="23"/>
  <c r="L51" i="23"/>
  <c r="X53" i="23"/>
  <c r="N55" i="23"/>
  <c r="G35" i="26"/>
  <c r="K35" i="26" s="1"/>
  <c r="K41" i="26"/>
  <c r="G26" i="26"/>
  <c r="K26" i="26" s="1"/>
  <c r="K32" i="26"/>
  <c r="G37" i="25"/>
  <c r="G44" i="25"/>
  <c r="F15" i="26"/>
  <c r="F46" i="23"/>
  <c r="M46" i="23" s="1"/>
  <c r="T29" i="23"/>
  <c r="G51" i="23"/>
  <c r="E28" i="25"/>
  <c r="J58" i="26"/>
  <c r="J22" i="19"/>
  <c r="I21" i="19"/>
  <c r="G29" i="20"/>
  <c r="G14" i="19"/>
  <c r="K14" i="19" s="1"/>
  <c r="G38" i="20"/>
  <c r="G27" i="19"/>
  <c r="G29" i="19" s="1"/>
  <c r="I14" i="19"/>
  <c r="J15" i="19"/>
  <c r="L15" i="19"/>
  <c r="N469" i="18"/>
  <c r="N468" i="18"/>
  <c r="N472" i="18"/>
  <c r="N476" i="18"/>
  <c r="N475" i="18"/>
  <c r="J44" i="14"/>
  <c r="W34" i="14"/>
  <c r="N155" i="12"/>
  <c r="T51" i="23" l="1"/>
  <c r="N51" i="23"/>
  <c r="O49" i="23" s="1"/>
  <c r="R54" i="23"/>
  <c r="M53" i="23"/>
  <c r="F24" i="26"/>
  <c r="F43" i="26" s="1"/>
  <c r="K15" i="26"/>
  <c r="G43" i="26"/>
  <c r="G45" i="26" s="1"/>
  <c r="G53" i="26" s="1"/>
  <c r="G58" i="26" s="1"/>
  <c r="F53" i="23"/>
  <c r="I4" i="19"/>
  <c r="J4" i="19" s="1"/>
  <c r="J24" i="25"/>
  <c r="E35" i="25"/>
  <c r="I51" i="23"/>
  <c r="G28" i="25"/>
  <c r="G46" i="23"/>
  <c r="J21" i="19"/>
  <c r="K5" i="19"/>
  <c r="N479" i="18"/>
  <c r="N478" i="18"/>
  <c r="N465" i="18"/>
  <c r="N464" i="18"/>
  <c r="N463" i="18"/>
  <c r="N462" i="18"/>
  <c r="G14" i="15"/>
  <c r="N467" i="18"/>
  <c r="Q467" i="18" s="1"/>
  <c r="U20" i="14"/>
  <c r="N474" i="18"/>
  <c r="N473" i="18"/>
  <c r="K24" i="26" l="1"/>
  <c r="R57" i="23"/>
  <c r="L46" i="23"/>
  <c r="L53" i="23" s="1"/>
  <c r="O46" i="23"/>
  <c r="N46" i="23"/>
  <c r="N53" i="23" s="1"/>
  <c r="F45" i="26"/>
  <c r="K43" i="26"/>
  <c r="T46" i="23"/>
  <c r="G35" i="25"/>
  <c r="G53" i="25"/>
  <c r="G53" i="23"/>
  <c r="U22" i="21"/>
  <c r="T24" i="26"/>
  <c r="U19" i="14"/>
  <c r="N471" i="18"/>
  <c r="L479" i="18"/>
  <c r="L478" i="18"/>
  <c r="L477" i="18"/>
  <c r="L476" i="18"/>
  <c r="L475" i="18"/>
  <c r="L474" i="18"/>
  <c r="L473" i="18"/>
  <c r="L471" i="18"/>
  <c r="L470" i="18"/>
  <c r="L468" i="18"/>
  <c r="L467" i="18"/>
  <c r="L466" i="18"/>
  <c r="L460" i="18"/>
  <c r="L251" i="18"/>
  <c r="L250" i="18"/>
  <c r="L249" i="18"/>
  <c r="L248" i="18"/>
  <c r="L247" i="18"/>
  <c r="L246" i="18"/>
  <c r="L245" i="18"/>
  <c r="L244" i="18"/>
  <c r="L243" i="18"/>
  <c r="L198" i="18"/>
  <c r="L135" i="18"/>
  <c r="L115" i="18"/>
  <c r="E710" i="18"/>
  <c r="D710" i="18"/>
  <c r="C710" i="18"/>
  <c r="E709" i="18"/>
  <c r="D709" i="18"/>
  <c r="C709" i="18"/>
  <c r="E708" i="18"/>
  <c r="D708" i="18"/>
  <c r="C708" i="18"/>
  <c r="E707" i="18"/>
  <c r="D707" i="18"/>
  <c r="C707" i="18"/>
  <c r="E706" i="18"/>
  <c r="D706" i="18"/>
  <c r="C706" i="18"/>
  <c r="E705" i="18"/>
  <c r="D705" i="18"/>
  <c r="C705" i="18"/>
  <c r="E704" i="18"/>
  <c r="D704" i="18"/>
  <c r="C704" i="18"/>
  <c r="E703" i="18"/>
  <c r="D703" i="18"/>
  <c r="C703" i="18"/>
  <c r="E702" i="18"/>
  <c r="D702" i="18"/>
  <c r="C702" i="18"/>
  <c r="E701" i="18"/>
  <c r="D701" i="18"/>
  <c r="C701" i="18"/>
  <c r="E700" i="18"/>
  <c r="D700" i="18"/>
  <c r="C700" i="18"/>
  <c r="E699" i="18"/>
  <c r="D699" i="18"/>
  <c r="C699" i="18"/>
  <c r="E698" i="18"/>
  <c r="D698" i="18"/>
  <c r="C698" i="18"/>
  <c r="E697" i="18"/>
  <c r="D697" i="18"/>
  <c r="C697" i="18"/>
  <c r="E696" i="18"/>
  <c r="D696" i="18"/>
  <c r="C696" i="18"/>
  <c r="E695" i="18"/>
  <c r="D695" i="18"/>
  <c r="C695" i="18"/>
  <c r="E694" i="18"/>
  <c r="D694" i="18"/>
  <c r="C694" i="18"/>
  <c r="E693" i="18"/>
  <c r="D693" i="18"/>
  <c r="C693" i="18"/>
  <c r="E692" i="18"/>
  <c r="D692" i="18"/>
  <c r="C692" i="18"/>
  <c r="E691" i="18"/>
  <c r="D691" i="18"/>
  <c r="C691" i="18"/>
  <c r="E690" i="18"/>
  <c r="D690" i="18"/>
  <c r="C690" i="18"/>
  <c r="E689" i="18"/>
  <c r="D689" i="18"/>
  <c r="C689" i="18"/>
  <c r="E688" i="18"/>
  <c r="D688" i="18"/>
  <c r="C688" i="18"/>
  <c r="E687" i="18"/>
  <c r="D687" i="18"/>
  <c r="C687" i="18"/>
  <c r="E686" i="18"/>
  <c r="D686" i="18"/>
  <c r="C686" i="18"/>
  <c r="E685" i="18"/>
  <c r="D685" i="18"/>
  <c r="C685" i="18"/>
  <c r="E684" i="18"/>
  <c r="D684" i="18"/>
  <c r="C684" i="18"/>
  <c r="E683" i="18"/>
  <c r="D683" i="18"/>
  <c r="C683" i="18"/>
  <c r="E682" i="18"/>
  <c r="D682" i="18"/>
  <c r="C682" i="18"/>
  <c r="E681" i="18"/>
  <c r="D681" i="18"/>
  <c r="C681" i="18"/>
  <c r="E680" i="18"/>
  <c r="D680" i="18"/>
  <c r="C680" i="18"/>
  <c r="E679" i="18"/>
  <c r="D679" i="18"/>
  <c r="C679" i="18"/>
  <c r="E678" i="18"/>
  <c r="D678" i="18"/>
  <c r="C678" i="18"/>
  <c r="E677" i="18"/>
  <c r="D677" i="18"/>
  <c r="C677" i="18"/>
  <c r="E676" i="18"/>
  <c r="D676" i="18"/>
  <c r="C676" i="18"/>
  <c r="E675" i="18"/>
  <c r="D675" i="18"/>
  <c r="C675" i="18"/>
  <c r="E674" i="18"/>
  <c r="D674" i="18"/>
  <c r="C674" i="18"/>
  <c r="E673" i="18"/>
  <c r="D673" i="18"/>
  <c r="C673" i="18"/>
  <c r="E672" i="18"/>
  <c r="D672" i="18"/>
  <c r="C672" i="18"/>
  <c r="E671" i="18"/>
  <c r="D671" i="18"/>
  <c r="C671" i="18"/>
  <c r="E670" i="18"/>
  <c r="D670" i="18"/>
  <c r="C670" i="18"/>
  <c r="E669" i="18"/>
  <c r="D669" i="18"/>
  <c r="C669" i="18"/>
  <c r="E668" i="18"/>
  <c r="D668" i="18"/>
  <c r="C668" i="18"/>
  <c r="E667" i="18"/>
  <c r="D667" i="18"/>
  <c r="C667" i="18"/>
  <c r="E666" i="18"/>
  <c r="D666" i="18"/>
  <c r="C666" i="18"/>
  <c r="E665" i="18"/>
  <c r="D665" i="18"/>
  <c r="C665" i="18"/>
  <c r="E664" i="18"/>
  <c r="D664" i="18"/>
  <c r="C664" i="18"/>
  <c r="E663" i="18"/>
  <c r="D663" i="18"/>
  <c r="C663" i="18"/>
  <c r="E662" i="18"/>
  <c r="D662" i="18"/>
  <c r="C662" i="18"/>
  <c r="E661" i="18"/>
  <c r="D661" i="18"/>
  <c r="C661" i="18"/>
  <c r="E660" i="18"/>
  <c r="D660" i="18"/>
  <c r="C660" i="18"/>
  <c r="E659" i="18"/>
  <c r="D659" i="18"/>
  <c r="C659" i="18"/>
  <c r="E658" i="18"/>
  <c r="D658" i="18"/>
  <c r="C658" i="18"/>
  <c r="E657" i="18"/>
  <c r="D657" i="18"/>
  <c r="C657" i="18"/>
  <c r="E656" i="18"/>
  <c r="D656" i="18"/>
  <c r="C656" i="18"/>
  <c r="E655" i="18"/>
  <c r="D655" i="18"/>
  <c r="C655" i="18"/>
  <c r="E654" i="18"/>
  <c r="D654" i="18"/>
  <c r="C654" i="18"/>
  <c r="E653" i="18"/>
  <c r="D653" i="18"/>
  <c r="C653" i="18"/>
  <c r="E652" i="18"/>
  <c r="D652" i="18"/>
  <c r="C652" i="18"/>
  <c r="E651" i="18"/>
  <c r="D651" i="18"/>
  <c r="C651" i="18"/>
  <c r="E650" i="18"/>
  <c r="D650" i="18"/>
  <c r="C650" i="18"/>
  <c r="E649" i="18"/>
  <c r="D649" i="18"/>
  <c r="C649" i="18"/>
  <c r="E648" i="18"/>
  <c r="D648" i="18"/>
  <c r="C648" i="18"/>
  <c r="E647" i="18"/>
  <c r="D647" i="18"/>
  <c r="C647" i="18"/>
  <c r="E646" i="18"/>
  <c r="D646" i="18"/>
  <c r="C646" i="18"/>
  <c r="E645" i="18"/>
  <c r="D645" i="18"/>
  <c r="C645" i="18"/>
  <c r="E644" i="18"/>
  <c r="D644" i="18"/>
  <c r="C644" i="18"/>
  <c r="E643" i="18"/>
  <c r="D643" i="18"/>
  <c r="C643" i="18"/>
  <c r="E642" i="18"/>
  <c r="D642" i="18"/>
  <c r="C642" i="18"/>
  <c r="E641" i="18"/>
  <c r="D641" i="18"/>
  <c r="C641" i="18"/>
  <c r="E640" i="18"/>
  <c r="D640" i="18"/>
  <c r="C640" i="18"/>
  <c r="E639" i="18"/>
  <c r="D639" i="18"/>
  <c r="C639" i="18"/>
  <c r="E638" i="18"/>
  <c r="D638" i="18"/>
  <c r="C638" i="18"/>
  <c r="E637" i="18"/>
  <c r="D637" i="18"/>
  <c r="C637" i="18"/>
  <c r="E636" i="18"/>
  <c r="D636" i="18"/>
  <c r="C636" i="18"/>
  <c r="E635" i="18"/>
  <c r="D635" i="18"/>
  <c r="C635" i="18"/>
  <c r="E634" i="18"/>
  <c r="D634" i="18"/>
  <c r="C634" i="18"/>
  <c r="E633" i="18"/>
  <c r="D633" i="18"/>
  <c r="C633" i="18"/>
  <c r="E632" i="18"/>
  <c r="D632" i="18"/>
  <c r="C632" i="18"/>
  <c r="E631" i="18"/>
  <c r="D631" i="18"/>
  <c r="C631" i="18"/>
  <c r="E630" i="18"/>
  <c r="D630" i="18"/>
  <c r="C630" i="18"/>
  <c r="E629" i="18"/>
  <c r="D629" i="18"/>
  <c r="C629" i="18"/>
  <c r="E628" i="18"/>
  <c r="D628" i="18"/>
  <c r="C628" i="18"/>
  <c r="E627" i="18"/>
  <c r="D627" i="18"/>
  <c r="C627" i="18"/>
  <c r="E626" i="18"/>
  <c r="D626" i="18"/>
  <c r="C626" i="18"/>
  <c r="E625" i="18"/>
  <c r="D625" i="18"/>
  <c r="C625" i="18"/>
  <c r="E624" i="18"/>
  <c r="D624" i="18"/>
  <c r="C624" i="18"/>
  <c r="E623" i="18"/>
  <c r="D623" i="18"/>
  <c r="C623" i="18"/>
  <c r="E622" i="18"/>
  <c r="D622" i="18"/>
  <c r="C622" i="18"/>
  <c r="E621" i="18"/>
  <c r="D621" i="18"/>
  <c r="C621" i="18"/>
  <c r="E620" i="18"/>
  <c r="D620" i="18"/>
  <c r="C620" i="18"/>
  <c r="E619" i="18"/>
  <c r="D619" i="18"/>
  <c r="C619" i="18"/>
  <c r="E618" i="18"/>
  <c r="D618" i="18"/>
  <c r="C618" i="18"/>
  <c r="E617" i="18"/>
  <c r="D617" i="18"/>
  <c r="C617" i="18"/>
  <c r="E616" i="18"/>
  <c r="D616" i="18"/>
  <c r="C616" i="18"/>
  <c r="E615" i="18"/>
  <c r="D615" i="18"/>
  <c r="C615" i="18"/>
  <c r="E614" i="18"/>
  <c r="D614" i="18"/>
  <c r="C614" i="18"/>
  <c r="E613" i="18"/>
  <c r="D613" i="18"/>
  <c r="C613" i="18"/>
  <c r="E612" i="18"/>
  <c r="D612" i="18"/>
  <c r="C612" i="18"/>
  <c r="E611" i="18"/>
  <c r="D611" i="18"/>
  <c r="C611" i="18"/>
  <c r="E610" i="18"/>
  <c r="D610" i="18"/>
  <c r="C610" i="18"/>
  <c r="E609" i="18"/>
  <c r="F609" i="18" s="1"/>
  <c r="D609" i="18"/>
  <c r="C609" i="18"/>
  <c r="E608" i="18"/>
  <c r="D608" i="18"/>
  <c r="C608" i="18"/>
  <c r="E607" i="18"/>
  <c r="D607" i="18"/>
  <c r="C607" i="18"/>
  <c r="E606" i="18"/>
  <c r="D606" i="18"/>
  <c r="C606" i="18"/>
  <c r="E605" i="18"/>
  <c r="D605" i="18"/>
  <c r="C605" i="18"/>
  <c r="E604" i="18"/>
  <c r="D604" i="18"/>
  <c r="C604" i="18"/>
  <c r="E603" i="18"/>
  <c r="D603" i="18"/>
  <c r="C603" i="18"/>
  <c r="E602" i="18"/>
  <c r="D602" i="18"/>
  <c r="C602" i="18"/>
  <c r="E601" i="18"/>
  <c r="F601" i="18" s="1"/>
  <c r="D601" i="18"/>
  <c r="C601" i="18"/>
  <c r="E600" i="18"/>
  <c r="D600" i="18"/>
  <c r="C600" i="18"/>
  <c r="E599" i="18"/>
  <c r="D599" i="18"/>
  <c r="C599" i="18"/>
  <c r="E598" i="18"/>
  <c r="D598" i="18"/>
  <c r="C598" i="18"/>
  <c r="E597" i="18"/>
  <c r="D597" i="18"/>
  <c r="C597" i="18"/>
  <c r="E596" i="18"/>
  <c r="D596" i="18"/>
  <c r="C596" i="18"/>
  <c r="E595" i="18"/>
  <c r="D595" i="18"/>
  <c r="C595" i="18"/>
  <c r="E594" i="18"/>
  <c r="D594" i="18"/>
  <c r="C594" i="18"/>
  <c r="E593" i="18"/>
  <c r="F593" i="18" s="1"/>
  <c r="D593" i="18"/>
  <c r="C593" i="18"/>
  <c r="E592" i="18"/>
  <c r="D592" i="18"/>
  <c r="C592" i="18"/>
  <c r="E591" i="18"/>
  <c r="D591" i="18"/>
  <c r="C591" i="18"/>
  <c r="E590" i="18"/>
  <c r="D590" i="18"/>
  <c r="C590" i="18"/>
  <c r="E589" i="18"/>
  <c r="D589" i="18"/>
  <c r="C589" i="18"/>
  <c r="E588" i="18"/>
  <c r="D588" i="18"/>
  <c r="C588" i="18"/>
  <c r="E587" i="18"/>
  <c r="D587" i="18"/>
  <c r="C587" i="18"/>
  <c r="E586" i="18"/>
  <c r="D586" i="18"/>
  <c r="C586" i="18"/>
  <c r="E585" i="18"/>
  <c r="F585" i="18" s="1"/>
  <c r="D585" i="18"/>
  <c r="C585" i="18"/>
  <c r="E584" i="18"/>
  <c r="D584" i="18"/>
  <c r="C584" i="18"/>
  <c r="E583" i="18"/>
  <c r="D583" i="18"/>
  <c r="C583" i="18"/>
  <c r="E582" i="18"/>
  <c r="D582" i="18"/>
  <c r="C582" i="18"/>
  <c r="E581" i="18"/>
  <c r="D581" i="18"/>
  <c r="C581" i="18"/>
  <c r="E580" i="18"/>
  <c r="D580" i="18"/>
  <c r="C580" i="18"/>
  <c r="E579" i="18"/>
  <c r="D579" i="18"/>
  <c r="C579" i="18"/>
  <c r="E578" i="18"/>
  <c r="D578" i="18"/>
  <c r="C578" i="18"/>
  <c r="E577" i="18"/>
  <c r="F577" i="18" s="1"/>
  <c r="D577" i="18"/>
  <c r="C577" i="18"/>
  <c r="E576" i="18"/>
  <c r="D576" i="18"/>
  <c r="C576" i="18"/>
  <c r="E575" i="18"/>
  <c r="D575" i="18"/>
  <c r="C575" i="18"/>
  <c r="E574" i="18"/>
  <c r="D574" i="18"/>
  <c r="C574" i="18"/>
  <c r="E573" i="18"/>
  <c r="D573" i="18"/>
  <c r="C573" i="18"/>
  <c r="E572" i="18"/>
  <c r="D572" i="18"/>
  <c r="C572" i="18"/>
  <c r="E571" i="18"/>
  <c r="D571" i="18"/>
  <c r="C571" i="18"/>
  <c r="E570" i="18"/>
  <c r="D570" i="18"/>
  <c r="C570" i="18"/>
  <c r="E569" i="18"/>
  <c r="F569" i="18" s="1"/>
  <c r="D569" i="18"/>
  <c r="C569" i="18"/>
  <c r="E568" i="18"/>
  <c r="D568" i="18"/>
  <c r="C568" i="18"/>
  <c r="E567" i="18"/>
  <c r="D567" i="18"/>
  <c r="C567" i="18"/>
  <c r="E566" i="18"/>
  <c r="D566" i="18"/>
  <c r="C566" i="18"/>
  <c r="E565" i="18"/>
  <c r="D565" i="18"/>
  <c r="C565" i="18"/>
  <c r="E564" i="18"/>
  <c r="D564" i="18"/>
  <c r="C564" i="18"/>
  <c r="E563" i="18"/>
  <c r="D563" i="18"/>
  <c r="C563" i="18"/>
  <c r="E562" i="18"/>
  <c r="D562" i="18"/>
  <c r="C562" i="18"/>
  <c r="E561" i="18"/>
  <c r="F561" i="18" s="1"/>
  <c r="D561" i="18"/>
  <c r="C561" i="18"/>
  <c r="E560" i="18"/>
  <c r="D560" i="18"/>
  <c r="C560" i="18"/>
  <c r="E559" i="18"/>
  <c r="D559" i="18"/>
  <c r="C559" i="18"/>
  <c r="E558" i="18"/>
  <c r="D558" i="18"/>
  <c r="C558" i="18"/>
  <c r="E557" i="18"/>
  <c r="D557" i="18"/>
  <c r="C557" i="18"/>
  <c r="E556" i="18"/>
  <c r="D556" i="18"/>
  <c r="C556" i="18"/>
  <c r="E555" i="18"/>
  <c r="D555" i="18"/>
  <c r="C555" i="18"/>
  <c r="E554" i="18"/>
  <c r="D554" i="18"/>
  <c r="C554" i="18"/>
  <c r="E553" i="18"/>
  <c r="F553" i="18" s="1"/>
  <c r="D553" i="18"/>
  <c r="C553" i="18"/>
  <c r="E552" i="18"/>
  <c r="D552" i="18"/>
  <c r="C552" i="18"/>
  <c r="E551" i="18"/>
  <c r="D551" i="18"/>
  <c r="C551" i="18"/>
  <c r="E550" i="18"/>
  <c r="D550" i="18"/>
  <c r="C550" i="18"/>
  <c r="E549" i="18"/>
  <c r="D549" i="18"/>
  <c r="C549" i="18"/>
  <c r="E548" i="18"/>
  <c r="D548" i="18"/>
  <c r="C548" i="18"/>
  <c r="E547" i="18"/>
  <c r="D547" i="18"/>
  <c r="C547" i="18"/>
  <c r="E546" i="18"/>
  <c r="D546" i="18"/>
  <c r="C546" i="18"/>
  <c r="E545" i="18"/>
  <c r="F545" i="18" s="1"/>
  <c r="D545" i="18"/>
  <c r="C545" i="18"/>
  <c r="E544" i="18"/>
  <c r="D544" i="18"/>
  <c r="C544" i="18"/>
  <c r="E543" i="18"/>
  <c r="D543" i="18"/>
  <c r="C543" i="18"/>
  <c r="E542" i="18"/>
  <c r="D542" i="18"/>
  <c r="C542" i="18"/>
  <c r="E541" i="18"/>
  <c r="D541" i="18"/>
  <c r="C541" i="18"/>
  <c r="E540" i="18"/>
  <c r="D540" i="18"/>
  <c r="C540" i="18"/>
  <c r="E539" i="18"/>
  <c r="D539" i="18"/>
  <c r="C539" i="18"/>
  <c r="E538" i="18"/>
  <c r="D538" i="18"/>
  <c r="C538" i="18"/>
  <c r="E537" i="18"/>
  <c r="D537" i="18"/>
  <c r="C537" i="18"/>
  <c r="E536" i="18"/>
  <c r="D536" i="18"/>
  <c r="C536" i="18"/>
  <c r="E535" i="18"/>
  <c r="D535" i="18"/>
  <c r="C535" i="18"/>
  <c r="E534" i="18"/>
  <c r="D534" i="18"/>
  <c r="C534" i="18"/>
  <c r="E533" i="18"/>
  <c r="D533" i="18"/>
  <c r="C533" i="18"/>
  <c r="E532" i="18"/>
  <c r="D532" i="18"/>
  <c r="C532" i="18"/>
  <c r="E531" i="18"/>
  <c r="D531" i="18"/>
  <c r="C531" i="18"/>
  <c r="E530" i="18"/>
  <c r="D530" i="18"/>
  <c r="C530" i="18"/>
  <c r="E529" i="18"/>
  <c r="D529" i="18"/>
  <c r="C529" i="18"/>
  <c r="E528" i="18"/>
  <c r="D528" i="18"/>
  <c r="C528" i="18"/>
  <c r="E527" i="18"/>
  <c r="D527" i="18"/>
  <c r="C527" i="18"/>
  <c r="E526" i="18"/>
  <c r="D526" i="18"/>
  <c r="C526" i="18"/>
  <c r="E525" i="18"/>
  <c r="D525" i="18"/>
  <c r="C525" i="18"/>
  <c r="E524" i="18"/>
  <c r="D524" i="18"/>
  <c r="C524" i="18"/>
  <c r="E523" i="18"/>
  <c r="D523" i="18"/>
  <c r="C523" i="18"/>
  <c r="E522" i="18"/>
  <c r="D522" i="18"/>
  <c r="C522" i="18"/>
  <c r="E521" i="18"/>
  <c r="D521" i="18"/>
  <c r="C521" i="18"/>
  <c r="E520" i="18"/>
  <c r="D520" i="18"/>
  <c r="C520" i="18"/>
  <c r="E519" i="18"/>
  <c r="D519" i="18"/>
  <c r="C519" i="18"/>
  <c r="E518" i="18"/>
  <c r="D518" i="18"/>
  <c r="C518" i="18"/>
  <c r="E517" i="18"/>
  <c r="D517" i="18"/>
  <c r="C517" i="18"/>
  <c r="E516" i="18"/>
  <c r="D516" i="18"/>
  <c r="C516" i="18"/>
  <c r="E515" i="18"/>
  <c r="D515" i="18"/>
  <c r="C515" i="18"/>
  <c r="E514" i="18"/>
  <c r="D514" i="18"/>
  <c r="C514" i="18"/>
  <c r="E513" i="18"/>
  <c r="D513" i="18"/>
  <c r="C513" i="18"/>
  <c r="E512" i="18"/>
  <c r="D512" i="18"/>
  <c r="C512" i="18"/>
  <c r="E511" i="18"/>
  <c r="D511" i="18"/>
  <c r="C511" i="18"/>
  <c r="E510" i="18"/>
  <c r="D510" i="18"/>
  <c r="C510" i="18"/>
  <c r="E509" i="18"/>
  <c r="D509" i="18"/>
  <c r="C509" i="18"/>
  <c r="E508" i="18"/>
  <c r="D508" i="18"/>
  <c r="C508" i="18"/>
  <c r="E507" i="18"/>
  <c r="D507" i="18"/>
  <c r="C507" i="18"/>
  <c r="E506" i="18"/>
  <c r="D506" i="18"/>
  <c r="C506" i="18"/>
  <c r="E505" i="18"/>
  <c r="D505" i="18"/>
  <c r="C505" i="18"/>
  <c r="E504" i="18"/>
  <c r="D504" i="18"/>
  <c r="C504" i="18"/>
  <c r="E503" i="18"/>
  <c r="D503" i="18"/>
  <c r="C503" i="18"/>
  <c r="E502" i="18"/>
  <c r="D502" i="18"/>
  <c r="C502" i="18"/>
  <c r="E501" i="18"/>
  <c r="D501" i="18"/>
  <c r="C501" i="18"/>
  <c r="E500" i="18"/>
  <c r="D500" i="18"/>
  <c r="C500" i="18"/>
  <c r="E499" i="18"/>
  <c r="D499" i="18"/>
  <c r="C499" i="18"/>
  <c r="E498" i="18"/>
  <c r="D498" i="18"/>
  <c r="C498" i="18"/>
  <c r="E497" i="18"/>
  <c r="F497" i="18" s="1"/>
  <c r="D497" i="18"/>
  <c r="C497" i="18"/>
  <c r="E496" i="18"/>
  <c r="D496" i="18"/>
  <c r="C496" i="18"/>
  <c r="E495" i="18"/>
  <c r="D495" i="18"/>
  <c r="C495" i="18"/>
  <c r="E494" i="18"/>
  <c r="D494" i="18"/>
  <c r="C494" i="18"/>
  <c r="E493" i="18"/>
  <c r="D493" i="18"/>
  <c r="C493" i="18"/>
  <c r="E492" i="18"/>
  <c r="D492" i="18"/>
  <c r="C492" i="18"/>
  <c r="E491" i="18"/>
  <c r="D491" i="18"/>
  <c r="C491" i="18"/>
  <c r="E490" i="18"/>
  <c r="D490" i="18"/>
  <c r="C490" i="18"/>
  <c r="E489" i="18"/>
  <c r="D489" i="18"/>
  <c r="C489" i="18"/>
  <c r="E488" i="18"/>
  <c r="D488" i="18"/>
  <c r="C488" i="18"/>
  <c r="E487" i="18"/>
  <c r="D487" i="18"/>
  <c r="C487" i="18"/>
  <c r="E486" i="18"/>
  <c r="D486" i="18"/>
  <c r="C486" i="18"/>
  <c r="E485" i="18"/>
  <c r="D485" i="18"/>
  <c r="C485" i="18"/>
  <c r="E484" i="18"/>
  <c r="D484" i="18"/>
  <c r="C484" i="18"/>
  <c r="E483" i="18"/>
  <c r="D483" i="18"/>
  <c r="C483" i="18"/>
  <c r="E482" i="18"/>
  <c r="D482" i="18"/>
  <c r="C482" i="18"/>
  <c r="E481" i="18"/>
  <c r="D481" i="18"/>
  <c r="C481" i="18"/>
  <c r="E480" i="18"/>
  <c r="D480" i="18"/>
  <c r="C480" i="18"/>
  <c r="E479" i="18"/>
  <c r="D479" i="18"/>
  <c r="C479" i="18"/>
  <c r="E478" i="18"/>
  <c r="D478" i="18"/>
  <c r="C478" i="18"/>
  <c r="E477" i="18"/>
  <c r="D477" i="18"/>
  <c r="C477" i="18"/>
  <c r="E476" i="18"/>
  <c r="D476" i="18"/>
  <c r="C476" i="18"/>
  <c r="E475" i="18"/>
  <c r="D475" i="18"/>
  <c r="C475" i="18"/>
  <c r="E474" i="18"/>
  <c r="D474" i="18"/>
  <c r="C474" i="18"/>
  <c r="E473" i="18"/>
  <c r="D473" i="18"/>
  <c r="C473" i="18"/>
  <c r="E472" i="18"/>
  <c r="D472" i="18"/>
  <c r="C472" i="18"/>
  <c r="E471" i="18"/>
  <c r="D471" i="18"/>
  <c r="C471" i="18"/>
  <c r="E470" i="18"/>
  <c r="D470" i="18"/>
  <c r="C470" i="18"/>
  <c r="E469" i="18"/>
  <c r="D469" i="18"/>
  <c r="C469" i="18"/>
  <c r="E468" i="18"/>
  <c r="D468" i="18"/>
  <c r="C468" i="18"/>
  <c r="E467" i="18"/>
  <c r="D467" i="18"/>
  <c r="C467" i="18"/>
  <c r="E466" i="18"/>
  <c r="D466" i="18"/>
  <c r="C466" i="18"/>
  <c r="E465" i="18"/>
  <c r="D465" i="18"/>
  <c r="C465" i="18"/>
  <c r="E464" i="18"/>
  <c r="D464" i="18"/>
  <c r="C464" i="18"/>
  <c r="E463" i="18"/>
  <c r="D463" i="18"/>
  <c r="C463" i="18"/>
  <c r="E462" i="18"/>
  <c r="D462" i="18"/>
  <c r="C462" i="18"/>
  <c r="E461" i="18"/>
  <c r="D461" i="18"/>
  <c r="C461" i="18"/>
  <c r="E460" i="18"/>
  <c r="D460" i="18"/>
  <c r="C460" i="18"/>
  <c r="E459" i="18"/>
  <c r="D459" i="18"/>
  <c r="C459" i="18"/>
  <c r="E458" i="18"/>
  <c r="D458" i="18"/>
  <c r="C458" i="18"/>
  <c r="E457" i="18"/>
  <c r="D457" i="18"/>
  <c r="C457" i="18"/>
  <c r="E456" i="18"/>
  <c r="D456" i="18"/>
  <c r="C456" i="18"/>
  <c r="E455" i="18"/>
  <c r="D455" i="18"/>
  <c r="C455" i="18"/>
  <c r="E454" i="18"/>
  <c r="D454" i="18"/>
  <c r="C454" i="18"/>
  <c r="E453" i="18"/>
  <c r="D453" i="18"/>
  <c r="C453" i="18"/>
  <c r="E452" i="18"/>
  <c r="D452" i="18"/>
  <c r="C452" i="18"/>
  <c r="E451" i="18"/>
  <c r="D451" i="18"/>
  <c r="C451" i="18"/>
  <c r="E450" i="18"/>
  <c r="D450" i="18"/>
  <c r="C450" i="18"/>
  <c r="E449" i="18"/>
  <c r="D449" i="18"/>
  <c r="C449" i="18"/>
  <c r="E448" i="18"/>
  <c r="D448" i="18"/>
  <c r="C448" i="18"/>
  <c r="E447" i="18"/>
  <c r="D447" i="18"/>
  <c r="C447" i="18"/>
  <c r="E446" i="18"/>
  <c r="D446" i="18"/>
  <c r="C446" i="18"/>
  <c r="E445" i="18"/>
  <c r="D445" i="18"/>
  <c r="C445" i="18"/>
  <c r="E444" i="18"/>
  <c r="D444" i="18"/>
  <c r="C444" i="18"/>
  <c r="E443" i="18"/>
  <c r="D443" i="18"/>
  <c r="C443" i="18"/>
  <c r="E442" i="18"/>
  <c r="D442" i="18"/>
  <c r="C442" i="18"/>
  <c r="E441" i="18"/>
  <c r="D441" i="18"/>
  <c r="C441" i="18"/>
  <c r="E440" i="18"/>
  <c r="D440" i="18"/>
  <c r="C440" i="18"/>
  <c r="E439" i="18"/>
  <c r="D439" i="18"/>
  <c r="C439" i="18"/>
  <c r="E438" i="18"/>
  <c r="D438" i="18"/>
  <c r="C438" i="18"/>
  <c r="E437" i="18"/>
  <c r="D437" i="18"/>
  <c r="C437" i="18"/>
  <c r="E436" i="18"/>
  <c r="D436" i="18"/>
  <c r="C436" i="18"/>
  <c r="E435" i="18"/>
  <c r="D435" i="18"/>
  <c r="C435" i="18"/>
  <c r="E434" i="18"/>
  <c r="D434" i="18"/>
  <c r="C434" i="18"/>
  <c r="E433" i="18"/>
  <c r="D433" i="18"/>
  <c r="C433" i="18"/>
  <c r="E432" i="18"/>
  <c r="D432" i="18"/>
  <c r="C432" i="18"/>
  <c r="E431" i="18"/>
  <c r="D431" i="18"/>
  <c r="C431" i="18"/>
  <c r="E430" i="18"/>
  <c r="D430" i="18"/>
  <c r="C430" i="18"/>
  <c r="E429" i="18"/>
  <c r="D429" i="18"/>
  <c r="C429" i="18"/>
  <c r="E428" i="18"/>
  <c r="D428" i="18"/>
  <c r="C428" i="18"/>
  <c r="E427" i="18"/>
  <c r="D427" i="18"/>
  <c r="C427" i="18"/>
  <c r="E426" i="18"/>
  <c r="D426" i="18"/>
  <c r="C426" i="18"/>
  <c r="E425" i="18"/>
  <c r="D425" i="18"/>
  <c r="C425" i="18"/>
  <c r="E424" i="18"/>
  <c r="D424" i="18"/>
  <c r="C424" i="18"/>
  <c r="E423" i="18"/>
  <c r="D423" i="18"/>
  <c r="C423" i="18"/>
  <c r="E422" i="18"/>
  <c r="D422" i="18"/>
  <c r="C422" i="18"/>
  <c r="E421" i="18"/>
  <c r="D421" i="18"/>
  <c r="C421" i="18"/>
  <c r="E420" i="18"/>
  <c r="D420" i="18"/>
  <c r="C420" i="18"/>
  <c r="E419" i="18"/>
  <c r="D419" i="18"/>
  <c r="C419" i="18"/>
  <c r="E418" i="18"/>
  <c r="D418" i="18"/>
  <c r="C418" i="18"/>
  <c r="E417" i="18"/>
  <c r="D417" i="18"/>
  <c r="C417" i="18"/>
  <c r="E416" i="18"/>
  <c r="D416" i="18"/>
  <c r="C416" i="18"/>
  <c r="E415" i="18"/>
  <c r="D415" i="18"/>
  <c r="C415" i="18"/>
  <c r="E414" i="18"/>
  <c r="D414" i="18"/>
  <c r="C414" i="18"/>
  <c r="E413" i="18"/>
  <c r="D413" i="18"/>
  <c r="C413" i="18"/>
  <c r="E412" i="18"/>
  <c r="D412" i="18"/>
  <c r="C412" i="18"/>
  <c r="E411" i="18"/>
  <c r="D411" i="18"/>
  <c r="C411" i="18"/>
  <c r="E410" i="18"/>
  <c r="D410" i="18"/>
  <c r="C410" i="18"/>
  <c r="E409" i="18"/>
  <c r="D409" i="18"/>
  <c r="C409" i="18"/>
  <c r="E408" i="18"/>
  <c r="D408" i="18"/>
  <c r="C408" i="18"/>
  <c r="E407" i="18"/>
  <c r="D407" i="18"/>
  <c r="C407" i="18"/>
  <c r="E406" i="18"/>
  <c r="D406" i="18"/>
  <c r="C406" i="18"/>
  <c r="E405" i="18"/>
  <c r="D405" i="18"/>
  <c r="C405" i="18"/>
  <c r="E404" i="18"/>
  <c r="D404" i="18"/>
  <c r="C404" i="18"/>
  <c r="E403" i="18"/>
  <c r="D403" i="18"/>
  <c r="C403" i="18"/>
  <c r="E402" i="18"/>
  <c r="D402" i="18"/>
  <c r="C402" i="18"/>
  <c r="E401" i="18"/>
  <c r="D401" i="18"/>
  <c r="C401" i="18"/>
  <c r="E400" i="18"/>
  <c r="D400" i="18"/>
  <c r="C400" i="18"/>
  <c r="E399" i="18"/>
  <c r="D399" i="18"/>
  <c r="C399" i="18"/>
  <c r="E398" i="18"/>
  <c r="D398" i="18"/>
  <c r="C398" i="18"/>
  <c r="E397" i="18"/>
  <c r="D397" i="18"/>
  <c r="C397" i="18"/>
  <c r="E396" i="18"/>
  <c r="D396" i="18"/>
  <c r="C396" i="18"/>
  <c r="E395" i="18"/>
  <c r="D395" i="18"/>
  <c r="C395" i="18"/>
  <c r="E394" i="18"/>
  <c r="D394" i="18"/>
  <c r="C394" i="18"/>
  <c r="E393" i="18"/>
  <c r="D393" i="18"/>
  <c r="C393" i="18"/>
  <c r="E392" i="18"/>
  <c r="D392" i="18"/>
  <c r="C392" i="18"/>
  <c r="E391" i="18"/>
  <c r="D391" i="18"/>
  <c r="C391" i="18"/>
  <c r="E390" i="18"/>
  <c r="D390" i="18"/>
  <c r="C390" i="18"/>
  <c r="E389" i="18"/>
  <c r="D389" i="18"/>
  <c r="C389" i="18"/>
  <c r="E388" i="18"/>
  <c r="D388" i="18"/>
  <c r="C388" i="18"/>
  <c r="E387" i="18"/>
  <c r="D387" i="18"/>
  <c r="C387" i="18"/>
  <c r="E386" i="18"/>
  <c r="D386" i="18"/>
  <c r="C386" i="18"/>
  <c r="E385" i="18"/>
  <c r="D385" i="18"/>
  <c r="C385" i="18"/>
  <c r="E384" i="18"/>
  <c r="D384" i="18"/>
  <c r="C384" i="18"/>
  <c r="E383" i="18"/>
  <c r="D383" i="18"/>
  <c r="C383" i="18"/>
  <c r="E382" i="18"/>
  <c r="D382" i="18"/>
  <c r="C382" i="18"/>
  <c r="E381" i="18"/>
  <c r="D381" i="18"/>
  <c r="C381" i="18"/>
  <c r="E380" i="18"/>
  <c r="D380" i="18"/>
  <c r="C380" i="18"/>
  <c r="E379" i="18"/>
  <c r="D379" i="18"/>
  <c r="C379" i="18"/>
  <c r="E378" i="18"/>
  <c r="D378" i="18"/>
  <c r="C378" i="18"/>
  <c r="E377" i="18"/>
  <c r="D377" i="18"/>
  <c r="C377" i="18"/>
  <c r="E376" i="18"/>
  <c r="D376" i="18"/>
  <c r="C376" i="18"/>
  <c r="E375" i="18"/>
  <c r="D375" i="18"/>
  <c r="C375" i="18"/>
  <c r="E374" i="18"/>
  <c r="D374" i="18"/>
  <c r="C374" i="18"/>
  <c r="E373" i="18"/>
  <c r="D373" i="18"/>
  <c r="C373" i="18"/>
  <c r="E372" i="18"/>
  <c r="D372" i="18"/>
  <c r="C372" i="18"/>
  <c r="E371" i="18"/>
  <c r="D371" i="18"/>
  <c r="C371" i="18"/>
  <c r="E370" i="18"/>
  <c r="D370" i="18"/>
  <c r="C370" i="18"/>
  <c r="E369" i="18"/>
  <c r="D369" i="18"/>
  <c r="C369" i="18"/>
  <c r="E368" i="18"/>
  <c r="D368" i="18"/>
  <c r="C368" i="18"/>
  <c r="E367" i="18"/>
  <c r="D367" i="18"/>
  <c r="C367" i="18"/>
  <c r="E366" i="18"/>
  <c r="D366" i="18"/>
  <c r="C366" i="18"/>
  <c r="E365" i="18"/>
  <c r="D365" i="18"/>
  <c r="C365" i="18"/>
  <c r="E364" i="18"/>
  <c r="D364" i="18"/>
  <c r="C364" i="18"/>
  <c r="E363" i="18"/>
  <c r="D363" i="18"/>
  <c r="C363" i="18"/>
  <c r="E362" i="18"/>
  <c r="D362" i="18"/>
  <c r="C362" i="18"/>
  <c r="E361" i="18"/>
  <c r="D361" i="18"/>
  <c r="C361" i="18"/>
  <c r="E360" i="18"/>
  <c r="D360" i="18"/>
  <c r="C360" i="18"/>
  <c r="E359" i="18"/>
  <c r="D359" i="18"/>
  <c r="C359" i="18"/>
  <c r="E358" i="18"/>
  <c r="D358" i="18"/>
  <c r="C358" i="18"/>
  <c r="E357" i="18"/>
  <c r="D357" i="18"/>
  <c r="C357" i="18"/>
  <c r="E356" i="18"/>
  <c r="D356" i="18"/>
  <c r="C356" i="18"/>
  <c r="E355" i="18"/>
  <c r="D355" i="18"/>
  <c r="C355" i="18"/>
  <c r="E354" i="18"/>
  <c r="D354" i="18"/>
  <c r="C354" i="18"/>
  <c r="E353" i="18"/>
  <c r="D353" i="18"/>
  <c r="C353" i="18"/>
  <c r="E352" i="18"/>
  <c r="D352" i="18"/>
  <c r="C352" i="18"/>
  <c r="E351" i="18"/>
  <c r="D351" i="18"/>
  <c r="C351" i="18"/>
  <c r="E350" i="18"/>
  <c r="D350" i="18"/>
  <c r="C350" i="18"/>
  <c r="E349" i="18"/>
  <c r="D349" i="18"/>
  <c r="C349" i="18"/>
  <c r="E348" i="18"/>
  <c r="D348" i="18"/>
  <c r="C348" i="18"/>
  <c r="E347" i="18"/>
  <c r="D347" i="18"/>
  <c r="C347" i="18"/>
  <c r="E346" i="18"/>
  <c r="D346" i="18"/>
  <c r="C346" i="18"/>
  <c r="E345" i="18"/>
  <c r="D345" i="18"/>
  <c r="C345" i="18"/>
  <c r="E344" i="18"/>
  <c r="D344" i="18"/>
  <c r="C344" i="18"/>
  <c r="E343" i="18"/>
  <c r="D343" i="18"/>
  <c r="C343" i="18"/>
  <c r="E342" i="18"/>
  <c r="D342" i="18"/>
  <c r="C342" i="18"/>
  <c r="E341" i="18"/>
  <c r="D341" i="18"/>
  <c r="C341" i="18"/>
  <c r="E340" i="18"/>
  <c r="D340" i="18"/>
  <c r="C340" i="18"/>
  <c r="E339" i="18"/>
  <c r="D339" i="18"/>
  <c r="C339" i="18"/>
  <c r="E338" i="18"/>
  <c r="D338" i="18"/>
  <c r="C338" i="18"/>
  <c r="E337" i="18"/>
  <c r="D337" i="18"/>
  <c r="C337" i="18"/>
  <c r="E336" i="18"/>
  <c r="D336" i="18"/>
  <c r="C336" i="18"/>
  <c r="E335" i="18"/>
  <c r="D335" i="18"/>
  <c r="C335" i="18"/>
  <c r="E334" i="18"/>
  <c r="D334" i="18"/>
  <c r="C334" i="18"/>
  <c r="E333" i="18"/>
  <c r="D333" i="18"/>
  <c r="C333" i="18"/>
  <c r="E332" i="18"/>
  <c r="D332" i="18"/>
  <c r="C332" i="18"/>
  <c r="E331" i="18"/>
  <c r="D331" i="18"/>
  <c r="C331" i="18"/>
  <c r="E330" i="18"/>
  <c r="D330" i="18"/>
  <c r="C330" i="18"/>
  <c r="E329" i="18"/>
  <c r="D329" i="18"/>
  <c r="C329" i="18"/>
  <c r="E328" i="18"/>
  <c r="D328" i="18"/>
  <c r="C328" i="18"/>
  <c r="E327" i="18"/>
  <c r="D327" i="18"/>
  <c r="C327" i="18"/>
  <c r="E326" i="18"/>
  <c r="D326" i="18"/>
  <c r="C326" i="18"/>
  <c r="E325" i="18"/>
  <c r="D325" i="18"/>
  <c r="C325" i="18"/>
  <c r="E324" i="18"/>
  <c r="D324" i="18"/>
  <c r="C324" i="18"/>
  <c r="E323" i="18"/>
  <c r="D323" i="18"/>
  <c r="C323" i="18"/>
  <c r="E322" i="18"/>
  <c r="D322" i="18"/>
  <c r="C322" i="18"/>
  <c r="E321" i="18"/>
  <c r="D321" i="18"/>
  <c r="C321" i="18"/>
  <c r="E320" i="18"/>
  <c r="D320" i="18"/>
  <c r="C320" i="18"/>
  <c r="E319" i="18"/>
  <c r="D319" i="18"/>
  <c r="C319" i="18"/>
  <c r="E318" i="18"/>
  <c r="D318" i="18"/>
  <c r="C318" i="18"/>
  <c r="E317" i="18"/>
  <c r="D317" i="18"/>
  <c r="C317" i="18"/>
  <c r="E316" i="18"/>
  <c r="D316" i="18"/>
  <c r="C316" i="18"/>
  <c r="E315" i="18"/>
  <c r="D315" i="18"/>
  <c r="C315" i="18"/>
  <c r="E314" i="18"/>
  <c r="D314" i="18"/>
  <c r="C314" i="18"/>
  <c r="E313" i="18"/>
  <c r="D313" i="18"/>
  <c r="C313" i="18"/>
  <c r="E312" i="18"/>
  <c r="D312" i="18"/>
  <c r="C312" i="18"/>
  <c r="E311" i="18"/>
  <c r="D311" i="18"/>
  <c r="C311" i="18"/>
  <c r="E310" i="18"/>
  <c r="D310" i="18"/>
  <c r="C310" i="18"/>
  <c r="E309" i="18"/>
  <c r="D309" i="18"/>
  <c r="C309" i="18"/>
  <c r="E308" i="18"/>
  <c r="D308" i="18"/>
  <c r="C308" i="18"/>
  <c r="E307" i="18"/>
  <c r="D307" i="18"/>
  <c r="C307" i="18"/>
  <c r="E306" i="18"/>
  <c r="D306" i="18"/>
  <c r="C306" i="18"/>
  <c r="E305" i="18"/>
  <c r="D305" i="18"/>
  <c r="C305" i="18"/>
  <c r="E304" i="18"/>
  <c r="D304" i="18"/>
  <c r="C304" i="18"/>
  <c r="E303" i="18"/>
  <c r="D303" i="18"/>
  <c r="C303" i="18"/>
  <c r="E302" i="18"/>
  <c r="D302" i="18"/>
  <c r="C302" i="18"/>
  <c r="E301" i="18"/>
  <c r="D301" i="18"/>
  <c r="C301" i="18"/>
  <c r="E300" i="18"/>
  <c r="D300" i="18"/>
  <c r="C300" i="18"/>
  <c r="E299" i="18"/>
  <c r="D299" i="18"/>
  <c r="C299" i="18"/>
  <c r="E298" i="18"/>
  <c r="D298" i="18"/>
  <c r="C298" i="18"/>
  <c r="E297" i="18"/>
  <c r="D297" i="18"/>
  <c r="C297" i="18"/>
  <c r="E296" i="18"/>
  <c r="D296" i="18"/>
  <c r="C296" i="18"/>
  <c r="E295" i="18"/>
  <c r="D295" i="18"/>
  <c r="C295" i="18"/>
  <c r="E294" i="18"/>
  <c r="D294" i="18"/>
  <c r="C294" i="18"/>
  <c r="E293" i="18"/>
  <c r="D293" i="18"/>
  <c r="C293" i="18"/>
  <c r="E292" i="18"/>
  <c r="D292" i="18"/>
  <c r="C292" i="18"/>
  <c r="E291" i="18"/>
  <c r="D291" i="18"/>
  <c r="C291" i="18"/>
  <c r="E290" i="18"/>
  <c r="D290" i="18"/>
  <c r="C290" i="18"/>
  <c r="E289" i="18"/>
  <c r="F289" i="18" s="1"/>
  <c r="D289" i="18"/>
  <c r="C289" i="18"/>
  <c r="E288" i="18"/>
  <c r="D288" i="18"/>
  <c r="C288" i="18"/>
  <c r="E287" i="18"/>
  <c r="D287" i="18"/>
  <c r="C287" i="18"/>
  <c r="E286" i="18"/>
  <c r="D286" i="18"/>
  <c r="C286" i="18"/>
  <c r="E285" i="18"/>
  <c r="D285" i="18"/>
  <c r="C285" i="18"/>
  <c r="E284" i="18"/>
  <c r="D284" i="18"/>
  <c r="C284" i="18"/>
  <c r="E283" i="18"/>
  <c r="D283" i="18"/>
  <c r="C283" i="18"/>
  <c r="E282" i="18"/>
  <c r="D282" i="18"/>
  <c r="C282" i="18"/>
  <c r="E281" i="18"/>
  <c r="F281" i="18" s="1"/>
  <c r="D281" i="18"/>
  <c r="C281" i="18"/>
  <c r="E280" i="18"/>
  <c r="D280" i="18"/>
  <c r="C280" i="18"/>
  <c r="E279" i="18"/>
  <c r="D279" i="18"/>
  <c r="C279" i="18"/>
  <c r="E278" i="18"/>
  <c r="D278" i="18"/>
  <c r="C278" i="18"/>
  <c r="E277" i="18"/>
  <c r="D277" i="18"/>
  <c r="C277" i="18"/>
  <c r="E276" i="18"/>
  <c r="D276" i="18"/>
  <c r="C276" i="18"/>
  <c r="E275" i="18"/>
  <c r="D275" i="18"/>
  <c r="C275" i="18"/>
  <c r="E274" i="18"/>
  <c r="D274" i="18"/>
  <c r="C274" i="18"/>
  <c r="E273" i="18"/>
  <c r="D273" i="18"/>
  <c r="C273" i="18"/>
  <c r="E272" i="18"/>
  <c r="D272" i="18"/>
  <c r="C272" i="18"/>
  <c r="E271" i="18"/>
  <c r="D271" i="18"/>
  <c r="C271" i="18"/>
  <c r="E270" i="18"/>
  <c r="D270" i="18"/>
  <c r="C270" i="18"/>
  <c r="E269" i="18"/>
  <c r="D269" i="18"/>
  <c r="C269" i="18"/>
  <c r="E268" i="18"/>
  <c r="D268" i="18"/>
  <c r="C268" i="18"/>
  <c r="E267" i="18"/>
  <c r="D267" i="18"/>
  <c r="C267" i="18"/>
  <c r="E266" i="18"/>
  <c r="D266" i="18"/>
  <c r="C266" i="18"/>
  <c r="E265" i="18"/>
  <c r="D265" i="18"/>
  <c r="C265" i="18"/>
  <c r="E264" i="18"/>
  <c r="D264" i="18"/>
  <c r="C264" i="18"/>
  <c r="E263" i="18"/>
  <c r="D263" i="18"/>
  <c r="C263" i="18"/>
  <c r="E262" i="18"/>
  <c r="D262" i="18"/>
  <c r="C262" i="18"/>
  <c r="E261" i="18"/>
  <c r="D261" i="18"/>
  <c r="C261" i="18"/>
  <c r="E260" i="18"/>
  <c r="D260" i="18"/>
  <c r="C260" i="18"/>
  <c r="E259" i="18"/>
  <c r="D259" i="18"/>
  <c r="C259" i="18"/>
  <c r="E258" i="18"/>
  <c r="D258" i="18"/>
  <c r="C258" i="18"/>
  <c r="E257" i="18"/>
  <c r="D257" i="18"/>
  <c r="C257" i="18"/>
  <c r="E256" i="18"/>
  <c r="D256" i="18"/>
  <c r="C256" i="18"/>
  <c r="E255" i="18"/>
  <c r="D255" i="18"/>
  <c r="C255" i="18"/>
  <c r="E254" i="18"/>
  <c r="D254" i="18"/>
  <c r="C254" i="18"/>
  <c r="E253" i="18"/>
  <c r="D253" i="18"/>
  <c r="C253" i="18"/>
  <c r="E252" i="18"/>
  <c r="D252" i="18"/>
  <c r="C252" i="18"/>
  <c r="E251" i="18"/>
  <c r="D251" i="18"/>
  <c r="C251" i="18"/>
  <c r="E250" i="18"/>
  <c r="D250" i="18"/>
  <c r="C250" i="18"/>
  <c r="E249" i="18"/>
  <c r="D249" i="18"/>
  <c r="C249" i="18"/>
  <c r="E248" i="18"/>
  <c r="D248" i="18"/>
  <c r="C248" i="18"/>
  <c r="E247" i="18"/>
  <c r="D247" i="18"/>
  <c r="C247" i="18"/>
  <c r="E246" i="18"/>
  <c r="D246" i="18"/>
  <c r="C246" i="18"/>
  <c r="E245" i="18"/>
  <c r="D245" i="18"/>
  <c r="C245" i="18"/>
  <c r="E244" i="18"/>
  <c r="D244" i="18"/>
  <c r="C244" i="18"/>
  <c r="E243" i="18"/>
  <c r="D243" i="18"/>
  <c r="C243" i="18"/>
  <c r="E242" i="18"/>
  <c r="D242" i="18"/>
  <c r="C242" i="18"/>
  <c r="E241" i="18"/>
  <c r="D241" i="18"/>
  <c r="C241" i="18"/>
  <c r="E240" i="18"/>
  <c r="D240" i="18"/>
  <c r="C240" i="18"/>
  <c r="E239" i="18"/>
  <c r="D239" i="18"/>
  <c r="C239" i="18"/>
  <c r="E238" i="18"/>
  <c r="D238" i="18"/>
  <c r="C238" i="18"/>
  <c r="E237" i="18"/>
  <c r="D237" i="18"/>
  <c r="C237" i="18"/>
  <c r="E236" i="18"/>
  <c r="D236" i="18"/>
  <c r="C236" i="18"/>
  <c r="E235" i="18"/>
  <c r="D235" i="18"/>
  <c r="C235" i="18"/>
  <c r="E234" i="18"/>
  <c r="D234" i="18"/>
  <c r="C234" i="18"/>
  <c r="E233" i="18"/>
  <c r="D233" i="18"/>
  <c r="C233" i="18"/>
  <c r="E232" i="18"/>
  <c r="D232" i="18"/>
  <c r="C232" i="18"/>
  <c r="E231" i="18"/>
  <c r="D231" i="18"/>
  <c r="C231" i="18"/>
  <c r="E230" i="18"/>
  <c r="D230" i="18"/>
  <c r="C230" i="18"/>
  <c r="E229" i="18"/>
  <c r="D229" i="18"/>
  <c r="C229" i="18"/>
  <c r="E228" i="18"/>
  <c r="D228" i="18"/>
  <c r="C228" i="18"/>
  <c r="E227" i="18"/>
  <c r="D227" i="18"/>
  <c r="C227" i="18"/>
  <c r="E226" i="18"/>
  <c r="D226" i="18"/>
  <c r="C226" i="18"/>
  <c r="E225" i="18"/>
  <c r="D225" i="18"/>
  <c r="C225" i="18"/>
  <c r="E224" i="18"/>
  <c r="D224" i="18"/>
  <c r="C224" i="18"/>
  <c r="E223" i="18"/>
  <c r="D223" i="18"/>
  <c r="C223" i="18"/>
  <c r="E222" i="18"/>
  <c r="D222" i="18"/>
  <c r="C222" i="18"/>
  <c r="E221" i="18"/>
  <c r="D221" i="18"/>
  <c r="C221" i="18"/>
  <c r="E220" i="18"/>
  <c r="D220" i="18"/>
  <c r="C220" i="18"/>
  <c r="E219" i="18"/>
  <c r="D219" i="18"/>
  <c r="C219" i="18"/>
  <c r="E218" i="18"/>
  <c r="D218" i="18"/>
  <c r="C218" i="18"/>
  <c r="E217" i="18"/>
  <c r="D217" i="18"/>
  <c r="C217" i="18"/>
  <c r="E216" i="18"/>
  <c r="D216" i="18"/>
  <c r="C216" i="18"/>
  <c r="E215" i="18"/>
  <c r="D215" i="18"/>
  <c r="C215" i="18"/>
  <c r="E214" i="18"/>
  <c r="D214" i="18"/>
  <c r="C214" i="18"/>
  <c r="E213" i="18"/>
  <c r="D213" i="18"/>
  <c r="C213" i="18"/>
  <c r="E212" i="18"/>
  <c r="D212" i="18"/>
  <c r="C212" i="18"/>
  <c r="E211" i="18"/>
  <c r="D211" i="18"/>
  <c r="C211" i="18"/>
  <c r="E210" i="18"/>
  <c r="D210" i="18"/>
  <c r="C210" i="18"/>
  <c r="E209" i="18"/>
  <c r="D209" i="18"/>
  <c r="C209" i="18"/>
  <c r="E208" i="18"/>
  <c r="D208" i="18"/>
  <c r="C208" i="18"/>
  <c r="E207" i="18"/>
  <c r="D207" i="18"/>
  <c r="C207" i="18"/>
  <c r="E206" i="18"/>
  <c r="D206" i="18"/>
  <c r="C206" i="18"/>
  <c r="E205" i="18"/>
  <c r="D205" i="18"/>
  <c r="C205" i="18"/>
  <c r="E204" i="18"/>
  <c r="D204" i="18"/>
  <c r="C204" i="18"/>
  <c r="E203" i="18"/>
  <c r="D203" i="18"/>
  <c r="C203" i="18"/>
  <c r="E202" i="18"/>
  <c r="D202" i="18"/>
  <c r="C202" i="18"/>
  <c r="E201" i="18"/>
  <c r="D201" i="18"/>
  <c r="C201" i="18"/>
  <c r="E200" i="18"/>
  <c r="D200" i="18"/>
  <c r="C200" i="18"/>
  <c r="E199" i="18"/>
  <c r="D199" i="18"/>
  <c r="C199" i="18"/>
  <c r="E198" i="18"/>
  <c r="D198" i="18"/>
  <c r="C198" i="18"/>
  <c r="E197" i="18"/>
  <c r="D197" i="18"/>
  <c r="C197" i="18"/>
  <c r="E196" i="18"/>
  <c r="D196" i="18"/>
  <c r="C196" i="18"/>
  <c r="E195" i="18"/>
  <c r="D195" i="18"/>
  <c r="C195" i="18"/>
  <c r="E194" i="18"/>
  <c r="D194" i="18"/>
  <c r="C194" i="18"/>
  <c r="E193" i="18"/>
  <c r="D193" i="18"/>
  <c r="C193" i="18"/>
  <c r="E192" i="18"/>
  <c r="D192" i="18"/>
  <c r="C192" i="18"/>
  <c r="E191" i="18"/>
  <c r="D191" i="18"/>
  <c r="C191" i="18"/>
  <c r="E190" i="18"/>
  <c r="D190" i="18"/>
  <c r="C190" i="18"/>
  <c r="E189" i="18"/>
  <c r="D189" i="18"/>
  <c r="C189" i="18"/>
  <c r="E188" i="18"/>
  <c r="D188" i="18"/>
  <c r="C188" i="18"/>
  <c r="E187" i="18"/>
  <c r="D187" i="18"/>
  <c r="C187" i="18"/>
  <c r="E186" i="18"/>
  <c r="D186" i="18"/>
  <c r="C186" i="18"/>
  <c r="E185" i="18"/>
  <c r="D185" i="18"/>
  <c r="C185" i="18"/>
  <c r="E184" i="18"/>
  <c r="D184" i="18"/>
  <c r="C184" i="18"/>
  <c r="E183" i="18"/>
  <c r="D183" i="18"/>
  <c r="C183" i="18"/>
  <c r="E182" i="18"/>
  <c r="D182" i="18"/>
  <c r="C182" i="18"/>
  <c r="E181" i="18"/>
  <c r="D181" i="18"/>
  <c r="C181" i="18"/>
  <c r="E180" i="18"/>
  <c r="D180" i="18"/>
  <c r="C180" i="18"/>
  <c r="E179" i="18"/>
  <c r="D179" i="18"/>
  <c r="C179" i="18"/>
  <c r="E178" i="18"/>
  <c r="D178" i="18"/>
  <c r="C178" i="18"/>
  <c r="E177" i="18"/>
  <c r="D177" i="18"/>
  <c r="C177" i="18"/>
  <c r="E176" i="18"/>
  <c r="D176" i="18"/>
  <c r="C176" i="18"/>
  <c r="E175" i="18"/>
  <c r="D175" i="18"/>
  <c r="C175" i="18"/>
  <c r="E174" i="18"/>
  <c r="D174" i="18"/>
  <c r="C174" i="18"/>
  <c r="E173" i="18"/>
  <c r="D173" i="18"/>
  <c r="C173" i="18"/>
  <c r="E172" i="18"/>
  <c r="D172" i="18"/>
  <c r="C172" i="18"/>
  <c r="E171" i="18"/>
  <c r="D171" i="18"/>
  <c r="C171" i="18"/>
  <c r="E170" i="18"/>
  <c r="D170" i="18"/>
  <c r="C170" i="18"/>
  <c r="E169" i="18"/>
  <c r="D169" i="18"/>
  <c r="C169" i="18"/>
  <c r="E168" i="18"/>
  <c r="D168" i="18"/>
  <c r="C168" i="18"/>
  <c r="E167" i="18"/>
  <c r="D167" i="18"/>
  <c r="C167" i="18"/>
  <c r="E166" i="18"/>
  <c r="D166" i="18"/>
  <c r="C166" i="18"/>
  <c r="E165" i="18"/>
  <c r="D165" i="18"/>
  <c r="C165" i="18"/>
  <c r="E164" i="18"/>
  <c r="D164" i="18"/>
  <c r="C164" i="18"/>
  <c r="E163" i="18"/>
  <c r="D163" i="18"/>
  <c r="C163" i="18"/>
  <c r="E162" i="18"/>
  <c r="D162" i="18"/>
  <c r="C162" i="18"/>
  <c r="E161" i="18"/>
  <c r="D161" i="18"/>
  <c r="C161" i="18"/>
  <c r="E160" i="18"/>
  <c r="D160" i="18"/>
  <c r="C160" i="18"/>
  <c r="E159" i="18"/>
  <c r="D159" i="18"/>
  <c r="C159" i="18"/>
  <c r="E158" i="18"/>
  <c r="D158" i="18"/>
  <c r="C158" i="18"/>
  <c r="E157" i="18"/>
  <c r="D157" i="18"/>
  <c r="C157" i="18"/>
  <c r="E156" i="18"/>
  <c r="D156" i="18"/>
  <c r="C156" i="18"/>
  <c r="E155" i="18"/>
  <c r="D155" i="18"/>
  <c r="C155" i="18"/>
  <c r="E154" i="18"/>
  <c r="D154" i="18"/>
  <c r="C154" i="18"/>
  <c r="E153" i="18"/>
  <c r="D153" i="18"/>
  <c r="C153" i="18"/>
  <c r="E152" i="18"/>
  <c r="D152" i="18"/>
  <c r="C152" i="18"/>
  <c r="E151" i="18"/>
  <c r="D151" i="18"/>
  <c r="C151" i="18"/>
  <c r="E150" i="18"/>
  <c r="D150" i="18"/>
  <c r="C150" i="18"/>
  <c r="E149" i="18"/>
  <c r="D149" i="18"/>
  <c r="C149" i="18"/>
  <c r="E148" i="18"/>
  <c r="D148" i="18"/>
  <c r="C148" i="18"/>
  <c r="E147" i="18"/>
  <c r="D147" i="18"/>
  <c r="C147" i="18"/>
  <c r="E146" i="18"/>
  <c r="D146" i="18"/>
  <c r="C146" i="18"/>
  <c r="E145" i="18"/>
  <c r="D145" i="18"/>
  <c r="C145" i="18"/>
  <c r="E144" i="18"/>
  <c r="D144" i="18"/>
  <c r="C144" i="18"/>
  <c r="E143" i="18"/>
  <c r="D143" i="18"/>
  <c r="C143" i="18"/>
  <c r="E142" i="18"/>
  <c r="D142" i="18"/>
  <c r="C142" i="18"/>
  <c r="E141" i="18"/>
  <c r="D141" i="18"/>
  <c r="C141" i="18"/>
  <c r="E140" i="18"/>
  <c r="D140" i="18"/>
  <c r="C140" i="18"/>
  <c r="E139" i="18"/>
  <c r="D139" i="18"/>
  <c r="C139" i="18"/>
  <c r="E138" i="18"/>
  <c r="D138" i="18"/>
  <c r="C138" i="18"/>
  <c r="E137" i="18"/>
  <c r="D137" i="18"/>
  <c r="C137" i="18"/>
  <c r="E136" i="18"/>
  <c r="D136" i="18"/>
  <c r="C136" i="18"/>
  <c r="E135" i="18"/>
  <c r="D135" i="18"/>
  <c r="C135" i="18"/>
  <c r="E134" i="18"/>
  <c r="D134" i="18"/>
  <c r="C134" i="18"/>
  <c r="E133" i="18"/>
  <c r="D133" i="18"/>
  <c r="C133" i="18"/>
  <c r="E132" i="18"/>
  <c r="D132" i="18"/>
  <c r="C132" i="18"/>
  <c r="E131" i="18"/>
  <c r="D131" i="18"/>
  <c r="C131" i="18"/>
  <c r="E130" i="18"/>
  <c r="D130" i="18"/>
  <c r="C130" i="18"/>
  <c r="E129" i="18"/>
  <c r="D129" i="18"/>
  <c r="C129" i="18"/>
  <c r="E128" i="18"/>
  <c r="D128" i="18"/>
  <c r="C128" i="18"/>
  <c r="E127" i="18"/>
  <c r="D127" i="18"/>
  <c r="C127" i="18"/>
  <c r="E126" i="18"/>
  <c r="D126" i="18"/>
  <c r="C126" i="18"/>
  <c r="E125" i="18"/>
  <c r="D125" i="18"/>
  <c r="C125" i="18"/>
  <c r="E124" i="18"/>
  <c r="D124" i="18"/>
  <c r="C124" i="18"/>
  <c r="E123" i="18"/>
  <c r="D123" i="18"/>
  <c r="C123" i="18"/>
  <c r="E122" i="18"/>
  <c r="D122" i="18"/>
  <c r="C122" i="18"/>
  <c r="E121" i="18"/>
  <c r="D121" i="18"/>
  <c r="C121" i="18"/>
  <c r="E120" i="18"/>
  <c r="D120" i="18"/>
  <c r="C120" i="18"/>
  <c r="E119" i="18"/>
  <c r="D119" i="18"/>
  <c r="C119" i="18"/>
  <c r="E118" i="18"/>
  <c r="D118" i="18"/>
  <c r="C118" i="18"/>
  <c r="E117" i="18"/>
  <c r="D117" i="18"/>
  <c r="C117" i="18"/>
  <c r="E116" i="18"/>
  <c r="D116" i="18"/>
  <c r="C116" i="18"/>
  <c r="E115" i="18"/>
  <c r="D115" i="18"/>
  <c r="C115" i="18"/>
  <c r="E114" i="18"/>
  <c r="D114" i="18"/>
  <c r="C114" i="18"/>
  <c r="E113" i="18"/>
  <c r="D113" i="18"/>
  <c r="C113" i="18"/>
  <c r="E112" i="18"/>
  <c r="D112" i="18"/>
  <c r="C112" i="18"/>
  <c r="E111" i="18"/>
  <c r="D111" i="18"/>
  <c r="C111" i="18"/>
  <c r="E110" i="18"/>
  <c r="D110" i="18"/>
  <c r="C110" i="18"/>
  <c r="E109" i="18"/>
  <c r="D109" i="18"/>
  <c r="C109" i="18"/>
  <c r="E108" i="18"/>
  <c r="D108" i="18"/>
  <c r="C108" i="18"/>
  <c r="E107" i="18"/>
  <c r="D107" i="18"/>
  <c r="C107" i="18"/>
  <c r="E106" i="18"/>
  <c r="D106" i="18"/>
  <c r="C106" i="18"/>
  <c r="E105" i="18"/>
  <c r="D105" i="18"/>
  <c r="C105" i="18"/>
  <c r="E104" i="18"/>
  <c r="D104" i="18"/>
  <c r="C104" i="18"/>
  <c r="E103" i="18"/>
  <c r="D103" i="18"/>
  <c r="C103" i="18"/>
  <c r="E102" i="18"/>
  <c r="D102" i="18"/>
  <c r="C102" i="18"/>
  <c r="E101" i="18"/>
  <c r="D101" i="18"/>
  <c r="C101" i="18"/>
  <c r="E100" i="18"/>
  <c r="D100" i="18"/>
  <c r="C100" i="18"/>
  <c r="E99" i="18"/>
  <c r="D99" i="18"/>
  <c r="C99" i="18"/>
  <c r="E98" i="18"/>
  <c r="D98" i="18"/>
  <c r="C98" i="18"/>
  <c r="E97" i="18"/>
  <c r="D97" i="18"/>
  <c r="C97" i="18"/>
  <c r="E96" i="18"/>
  <c r="D96" i="18"/>
  <c r="C96" i="18"/>
  <c r="E95" i="18"/>
  <c r="D95" i="18"/>
  <c r="C95" i="18"/>
  <c r="E94" i="18"/>
  <c r="D94" i="18"/>
  <c r="C94" i="18"/>
  <c r="E93" i="18"/>
  <c r="D93" i="18"/>
  <c r="C93" i="18"/>
  <c r="E92" i="18"/>
  <c r="D92" i="18"/>
  <c r="C92" i="18"/>
  <c r="E91" i="18"/>
  <c r="D91" i="18"/>
  <c r="C91" i="18"/>
  <c r="E90" i="18"/>
  <c r="D90" i="18"/>
  <c r="C90" i="18"/>
  <c r="E89" i="18"/>
  <c r="D89" i="18"/>
  <c r="C89" i="18"/>
  <c r="E88" i="18"/>
  <c r="D88" i="18"/>
  <c r="C88" i="18"/>
  <c r="E87" i="18"/>
  <c r="D87" i="18"/>
  <c r="C87" i="18"/>
  <c r="E86" i="18"/>
  <c r="D86" i="18"/>
  <c r="C86" i="18"/>
  <c r="E85" i="18"/>
  <c r="D85" i="18"/>
  <c r="C85" i="18"/>
  <c r="E84" i="18"/>
  <c r="D84" i="18"/>
  <c r="C84" i="18"/>
  <c r="E83" i="18"/>
  <c r="D83" i="18"/>
  <c r="C83" i="18"/>
  <c r="E82" i="18"/>
  <c r="D82" i="18"/>
  <c r="C82" i="18"/>
  <c r="E81" i="18"/>
  <c r="D81" i="18"/>
  <c r="C81" i="18"/>
  <c r="E80" i="18"/>
  <c r="D80" i="18"/>
  <c r="C80" i="18"/>
  <c r="E79" i="18"/>
  <c r="D79" i="18"/>
  <c r="C79" i="18"/>
  <c r="E78" i="18"/>
  <c r="D78" i="18"/>
  <c r="C78" i="18"/>
  <c r="E77" i="18"/>
  <c r="D77" i="18"/>
  <c r="C77" i="18"/>
  <c r="E76" i="18"/>
  <c r="D76" i="18"/>
  <c r="C76" i="18"/>
  <c r="E75" i="18"/>
  <c r="D75" i="18"/>
  <c r="C75" i="18"/>
  <c r="E74" i="18"/>
  <c r="D74" i="18"/>
  <c r="C74" i="18"/>
  <c r="E73" i="18"/>
  <c r="D73" i="18"/>
  <c r="C73" i="18"/>
  <c r="E72" i="18"/>
  <c r="D72" i="18"/>
  <c r="C72" i="18"/>
  <c r="E71" i="18"/>
  <c r="D71" i="18"/>
  <c r="C71" i="18"/>
  <c r="E70" i="18"/>
  <c r="D70" i="18"/>
  <c r="C70" i="18"/>
  <c r="E69" i="18"/>
  <c r="D69" i="18"/>
  <c r="C69" i="18"/>
  <c r="E68" i="18"/>
  <c r="D68" i="18"/>
  <c r="C68" i="18"/>
  <c r="E67" i="18"/>
  <c r="D67" i="18"/>
  <c r="C67" i="18"/>
  <c r="E66" i="18"/>
  <c r="D66" i="18"/>
  <c r="C66" i="18"/>
  <c r="E65" i="18"/>
  <c r="D65" i="18"/>
  <c r="C65" i="18"/>
  <c r="E64" i="18"/>
  <c r="D64" i="18"/>
  <c r="C64" i="18"/>
  <c r="E63" i="18"/>
  <c r="D63" i="18"/>
  <c r="C63" i="18"/>
  <c r="E62" i="18"/>
  <c r="D62" i="18"/>
  <c r="C62" i="18"/>
  <c r="E61" i="18"/>
  <c r="D61" i="18"/>
  <c r="C61" i="18"/>
  <c r="E60" i="18"/>
  <c r="D60" i="18"/>
  <c r="C60" i="18"/>
  <c r="E59" i="18"/>
  <c r="D59" i="18"/>
  <c r="C59" i="18"/>
  <c r="E58" i="18"/>
  <c r="D58" i="18"/>
  <c r="C58" i="18"/>
  <c r="E57" i="18"/>
  <c r="D57" i="18"/>
  <c r="C57" i="18"/>
  <c r="E56" i="18"/>
  <c r="D56" i="18"/>
  <c r="C56" i="18"/>
  <c r="E55" i="18"/>
  <c r="D55" i="18"/>
  <c r="C55" i="18"/>
  <c r="E54" i="18"/>
  <c r="D54" i="18"/>
  <c r="C54" i="18"/>
  <c r="E53" i="18"/>
  <c r="D53" i="18"/>
  <c r="C53" i="18"/>
  <c r="E52" i="18"/>
  <c r="D52" i="18"/>
  <c r="C52" i="18"/>
  <c r="E51" i="18"/>
  <c r="D51" i="18"/>
  <c r="C51" i="18"/>
  <c r="E50" i="18"/>
  <c r="D50" i="18"/>
  <c r="C50" i="18"/>
  <c r="E49" i="18"/>
  <c r="D49" i="18"/>
  <c r="C49" i="18"/>
  <c r="E48" i="18"/>
  <c r="D48" i="18"/>
  <c r="C48" i="18"/>
  <c r="E47" i="18"/>
  <c r="D47" i="18"/>
  <c r="C47" i="18"/>
  <c r="E46" i="18"/>
  <c r="D46" i="18"/>
  <c r="C46" i="18"/>
  <c r="E45" i="18"/>
  <c r="D45" i="18"/>
  <c r="C45" i="18"/>
  <c r="E44" i="18"/>
  <c r="D44" i="18"/>
  <c r="C44" i="18"/>
  <c r="E43" i="18"/>
  <c r="D43" i="18"/>
  <c r="C43" i="18"/>
  <c r="E42" i="18"/>
  <c r="D42" i="18"/>
  <c r="C42" i="18"/>
  <c r="E41" i="18"/>
  <c r="D41" i="18"/>
  <c r="C41" i="18"/>
  <c r="E40" i="18"/>
  <c r="D40" i="18"/>
  <c r="C40" i="18"/>
  <c r="E39" i="18"/>
  <c r="D39" i="18"/>
  <c r="C39" i="18"/>
  <c r="E38" i="18"/>
  <c r="D38" i="18"/>
  <c r="C38" i="18"/>
  <c r="E37" i="18"/>
  <c r="D37" i="18"/>
  <c r="C37" i="18"/>
  <c r="E36" i="18"/>
  <c r="D36" i="18"/>
  <c r="C36" i="18"/>
  <c r="E35" i="18"/>
  <c r="D35" i="18"/>
  <c r="C35" i="18"/>
  <c r="E34" i="18"/>
  <c r="D34" i="18"/>
  <c r="C34" i="18"/>
  <c r="E33" i="18"/>
  <c r="D33" i="18"/>
  <c r="C33" i="18"/>
  <c r="E32" i="18"/>
  <c r="D32" i="18"/>
  <c r="C32" i="18"/>
  <c r="E31" i="18"/>
  <c r="D31" i="18"/>
  <c r="C31" i="18"/>
  <c r="E30" i="18"/>
  <c r="D30" i="18"/>
  <c r="C30" i="18"/>
  <c r="E29" i="18"/>
  <c r="D29" i="18"/>
  <c r="C29" i="18"/>
  <c r="E28" i="18"/>
  <c r="D28" i="18"/>
  <c r="C28" i="18"/>
  <c r="E27" i="18"/>
  <c r="D27" i="18"/>
  <c r="C27" i="18"/>
  <c r="E26" i="18"/>
  <c r="D26" i="18"/>
  <c r="C26" i="18"/>
  <c r="E25" i="18"/>
  <c r="D25" i="18"/>
  <c r="C25" i="18"/>
  <c r="E24" i="18"/>
  <c r="D24" i="18"/>
  <c r="C24" i="18"/>
  <c r="E23" i="18"/>
  <c r="D23" i="18"/>
  <c r="C23" i="18"/>
  <c r="E22" i="18"/>
  <c r="D22" i="18"/>
  <c r="C22" i="18"/>
  <c r="E21" i="18"/>
  <c r="D21" i="18"/>
  <c r="C21" i="18"/>
  <c r="E20" i="18"/>
  <c r="D20" i="18"/>
  <c r="C20" i="18"/>
  <c r="E19" i="18"/>
  <c r="D19" i="18"/>
  <c r="C19" i="18"/>
  <c r="E18" i="18"/>
  <c r="D18" i="18"/>
  <c r="C18" i="18"/>
  <c r="E17" i="18"/>
  <c r="D17" i="18"/>
  <c r="C17" i="18"/>
  <c r="E16" i="18"/>
  <c r="D16" i="18"/>
  <c r="C16" i="18"/>
  <c r="E15" i="18"/>
  <c r="D15" i="18"/>
  <c r="C15" i="18"/>
  <c r="E14" i="18"/>
  <c r="D14" i="18"/>
  <c r="C14" i="18"/>
  <c r="E13" i="18"/>
  <c r="D13" i="18"/>
  <c r="C13" i="18"/>
  <c r="E11" i="18"/>
  <c r="D11" i="18"/>
  <c r="C11" i="18"/>
  <c r="E10" i="18"/>
  <c r="D10" i="18"/>
  <c r="C10" i="18"/>
  <c r="E9" i="18"/>
  <c r="D9" i="18"/>
  <c r="C9" i="18"/>
  <c r="E8" i="18"/>
  <c r="D8" i="18"/>
  <c r="C8" i="18"/>
  <c r="E7" i="18"/>
  <c r="D7" i="18"/>
  <c r="C7" i="18"/>
  <c r="E6" i="18"/>
  <c r="D6" i="18"/>
  <c r="C6" i="18"/>
  <c r="E5" i="18"/>
  <c r="D5" i="18"/>
  <c r="C5" i="18"/>
  <c r="E4" i="18"/>
  <c r="D4" i="18"/>
  <c r="C4" i="18"/>
  <c r="E3" i="18"/>
  <c r="D3" i="18"/>
  <c r="C3" i="18"/>
  <c r="E2" i="18"/>
  <c r="D2" i="18"/>
  <c r="C2" i="18"/>
  <c r="E12" i="18"/>
  <c r="D12" i="18"/>
  <c r="C12" i="18"/>
  <c r="L710" i="18"/>
  <c r="K710" i="18"/>
  <c r="L709" i="18"/>
  <c r="K709" i="18"/>
  <c r="L708" i="18"/>
  <c r="K708" i="18"/>
  <c r="L707" i="18"/>
  <c r="K707" i="18"/>
  <c r="L706" i="18"/>
  <c r="K706" i="18"/>
  <c r="L705" i="18"/>
  <c r="K705" i="18"/>
  <c r="L704" i="18"/>
  <c r="K704" i="18"/>
  <c r="L703" i="18"/>
  <c r="K703" i="18"/>
  <c r="L702" i="18"/>
  <c r="K702" i="18"/>
  <c r="L701" i="18"/>
  <c r="K701" i="18"/>
  <c r="L700" i="18"/>
  <c r="K700" i="18"/>
  <c r="L699" i="18"/>
  <c r="K699" i="18"/>
  <c r="L698" i="18"/>
  <c r="K698" i="18"/>
  <c r="L697" i="18"/>
  <c r="K697" i="18"/>
  <c r="L696" i="18"/>
  <c r="K696" i="18"/>
  <c r="L695" i="18"/>
  <c r="K695" i="18"/>
  <c r="L694" i="18"/>
  <c r="K694" i="18"/>
  <c r="L693" i="18"/>
  <c r="K693" i="18"/>
  <c r="L692" i="18"/>
  <c r="K692" i="18"/>
  <c r="L691" i="18"/>
  <c r="K691" i="18"/>
  <c r="L690" i="18"/>
  <c r="K690" i="18"/>
  <c r="L689" i="18"/>
  <c r="K689" i="18"/>
  <c r="L688" i="18"/>
  <c r="K688" i="18"/>
  <c r="L687" i="18"/>
  <c r="K687" i="18"/>
  <c r="L686" i="18"/>
  <c r="K686" i="18"/>
  <c r="L685" i="18"/>
  <c r="K685" i="18"/>
  <c r="L684" i="18"/>
  <c r="K684" i="18"/>
  <c r="L683" i="18"/>
  <c r="K683" i="18"/>
  <c r="L682" i="18"/>
  <c r="K682" i="18"/>
  <c r="L681" i="18"/>
  <c r="K681" i="18"/>
  <c r="L680" i="18"/>
  <c r="K680" i="18"/>
  <c r="L679" i="18"/>
  <c r="K679" i="18"/>
  <c r="L678" i="18"/>
  <c r="K678" i="18"/>
  <c r="L677" i="18"/>
  <c r="K677" i="18"/>
  <c r="L676" i="18"/>
  <c r="K676" i="18"/>
  <c r="L675" i="18"/>
  <c r="K675" i="18"/>
  <c r="L674" i="18"/>
  <c r="K674" i="18"/>
  <c r="L673" i="18"/>
  <c r="K673" i="18"/>
  <c r="L672" i="18"/>
  <c r="K672" i="18"/>
  <c r="L671" i="18"/>
  <c r="K671" i="18"/>
  <c r="L670" i="18"/>
  <c r="K670" i="18"/>
  <c r="L669" i="18"/>
  <c r="K669" i="18"/>
  <c r="L668" i="18"/>
  <c r="K668" i="18"/>
  <c r="L667" i="18"/>
  <c r="K667" i="18"/>
  <c r="L666" i="18"/>
  <c r="K666" i="18"/>
  <c r="L665" i="18"/>
  <c r="K665" i="18"/>
  <c r="L664" i="18"/>
  <c r="K664" i="18"/>
  <c r="L663" i="18"/>
  <c r="K663" i="18"/>
  <c r="L662" i="18"/>
  <c r="K662" i="18"/>
  <c r="L661" i="18"/>
  <c r="K661" i="18"/>
  <c r="L660" i="18"/>
  <c r="K660" i="18"/>
  <c r="L659" i="18"/>
  <c r="K659" i="18"/>
  <c r="L658" i="18"/>
  <c r="K658" i="18"/>
  <c r="L657" i="18"/>
  <c r="K657" i="18"/>
  <c r="L656" i="18"/>
  <c r="K656" i="18"/>
  <c r="L655" i="18"/>
  <c r="K655" i="18"/>
  <c r="L654" i="18"/>
  <c r="K654" i="18"/>
  <c r="L653" i="18"/>
  <c r="K653" i="18"/>
  <c r="L652" i="18"/>
  <c r="K652" i="18"/>
  <c r="L651" i="18"/>
  <c r="K651" i="18"/>
  <c r="L650" i="18"/>
  <c r="K650" i="18"/>
  <c r="L649" i="18"/>
  <c r="K649" i="18"/>
  <c r="L648" i="18"/>
  <c r="K648" i="18"/>
  <c r="L647" i="18"/>
  <c r="K647" i="18"/>
  <c r="L646" i="18"/>
  <c r="K646" i="18"/>
  <c r="L645" i="18"/>
  <c r="K645" i="18"/>
  <c r="L644" i="18"/>
  <c r="K644" i="18"/>
  <c r="L643" i="18"/>
  <c r="K643" i="18"/>
  <c r="L642" i="18"/>
  <c r="K642" i="18"/>
  <c r="L641" i="18"/>
  <c r="K641" i="18"/>
  <c r="L640" i="18"/>
  <c r="K640" i="18"/>
  <c r="L639" i="18"/>
  <c r="K639" i="18"/>
  <c r="L638" i="18"/>
  <c r="K638" i="18"/>
  <c r="L637" i="18"/>
  <c r="K637" i="18"/>
  <c r="L636" i="18"/>
  <c r="K636" i="18"/>
  <c r="L635" i="18"/>
  <c r="K635" i="18"/>
  <c r="L634" i="18"/>
  <c r="K634" i="18"/>
  <c r="L633" i="18"/>
  <c r="K633" i="18"/>
  <c r="L632" i="18"/>
  <c r="K632" i="18"/>
  <c r="L631" i="18"/>
  <c r="K631" i="18"/>
  <c r="L630" i="18"/>
  <c r="K630" i="18"/>
  <c r="L629" i="18"/>
  <c r="K629" i="18"/>
  <c r="L628" i="18"/>
  <c r="K628" i="18"/>
  <c r="L627" i="18"/>
  <c r="K627" i="18"/>
  <c r="L626" i="18"/>
  <c r="K626" i="18"/>
  <c r="L625" i="18"/>
  <c r="K625" i="18"/>
  <c r="L624" i="18"/>
  <c r="K624" i="18"/>
  <c r="L623" i="18"/>
  <c r="K623" i="18"/>
  <c r="L622" i="18"/>
  <c r="K622" i="18"/>
  <c r="L621" i="18"/>
  <c r="K621" i="18"/>
  <c r="L620" i="18"/>
  <c r="K620" i="18"/>
  <c r="L619" i="18"/>
  <c r="K619" i="18"/>
  <c r="L618" i="18"/>
  <c r="K618" i="18"/>
  <c r="L617" i="18"/>
  <c r="K617" i="18"/>
  <c r="L616" i="18"/>
  <c r="K616" i="18"/>
  <c r="L615" i="18"/>
  <c r="K615" i="18"/>
  <c r="L614" i="18"/>
  <c r="K614" i="18"/>
  <c r="L613" i="18"/>
  <c r="K613" i="18"/>
  <c r="L612" i="18"/>
  <c r="K612" i="18"/>
  <c r="L611" i="18"/>
  <c r="K611" i="18"/>
  <c r="L610" i="18"/>
  <c r="K610" i="18"/>
  <c r="L609" i="18"/>
  <c r="K609" i="18"/>
  <c r="L608" i="18"/>
  <c r="K608" i="18"/>
  <c r="L607" i="18"/>
  <c r="K607" i="18"/>
  <c r="L606" i="18"/>
  <c r="K606" i="18"/>
  <c r="L605" i="18"/>
  <c r="K605" i="18"/>
  <c r="L604" i="18"/>
  <c r="K604" i="18"/>
  <c r="L603" i="18"/>
  <c r="K603" i="18"/>
  <c r="L602" i="18"/>
  <c r="K602" i="18"/>
  <c r="L601" i="18"/>
  <c r="K601" i="18"/>
  <c r="L600" i="18"/>
  <c r="K600" i="18"/>
  <c r="L599" i="18"/>
  <c r="K599" i="18"/>
  <c r="L598" i="18"/>
  <c r="K598" i="18"/>
  <c r="L597" i="18"/>
  <c r="K597" i="18"/>
  <c r="L596" i="18"/>
  <c r="K596" i="18"/>
  <c r="L595" i="18"/>
  <c r="K595" i="18"/>
  <c r="L594" i="18"/>
  <c r="K594" i="18"/>
  <c r="L593" i="18"/>
  <c r="K593" i="18"/>
  <c r="L592" i="18"/>
  <c r="K592" i="18"/>
  <c r="L591" i="18"/>
  <c r="K591" i="18"/>
  <c r="L590" i="18"/>
  <c r="K590" i="18"/>
  <c r="L589" i="18"/>
  <c r="K589" i="18"/>
  <c r="L588" i="18"/>
  <c r="K588" i="18"/>
  <c r="L587" i="18"/>
  <c r="K587" i="18"/>
  <c r="L586" i="18"/>
  <c r="K586" i="18"/>
  <c r="L585" i="18"/>
  <c r="K585" i="18"/>
  <c r="L584" i="18"/>
  <c r="K584" i="18"/>
  <c r="L583" i="18"/>
  <c r="K583" i="18"/>
  <c r="L582" i="18"/>
  <c r="K582" i="18"/>
  <c r="L581" i="18"/>
  <c r="K581" i="18"/>
  <c r="L580" i="18"/>
  <c r="K580" i="18"/>
  <c r="L579" i="18"/>
  <c r="K579" i="18"/>
  <c r="L578" i="18"/>
  <c r="K578" i="18"/>
  <c r="L577" i="18"/>
  <c r="K577" i="18"/>
  <c r="L576" i="18"/>
  <c r="K576" i="18"/>
  <c r="L575" i="18"/>
  <c r="K575" i="18"/>
  <c r="L574" i="18"/>
  <c r="K574" i="18"/>
  <c r="L573" i="18"/>
  <c r="K573" i="18"/>
  <c r="L572" i="18"/>
  <c r="K572" i="18"/>
  <c r="L571" i="18"/>
  <c r="K571" i="18"/>
  <c r="L570" i="18"/>
  <c r="K570" i="18"/>
  <c r="L569" i="18"/>
  <c r="K569" i="18"/>
  <c r="L568" i="18"/>
  <c r="K568" i="18"/>
  <c r="L567" i="18"/>
  <c r="K567" i="18"/>
  <c r="L566" i="18"/>
  <c r="K566" i="18"/>
  <c r="L565" i="18"/>
  <c r="K565" i="18"/>
  <c r="L564" i="18"/>
  <c r="K564" i="18"/>
  <c r="L563" i="18"/>
  <c r="K563" i="18"/>
  <c r="L562" i="18"/>
  <c r="K562" i="18"/>
  <c r="L561" i="18"/>
  <c r="K561" i="18"/>
  <c r="L560" i="18"/>
  <c r="K560" i="18"/>
  <c r="L559" i="18"/>
  <c r="K559" i="18"/>
  <c r="L558" i="18"/>
  <c r="K558" i="18"/>
  <c r="L557" i="18"/>
  <c r="K557" i="18"/>
  <c r="L556" i="18"/>
  <c r="K556" i="18"/>
  <c r="L555" i="18"/>
  <c r="K555" i="18"/>
  <c r="L554" i="18"/>
  <c r="K554" i="18"/>
  <c r="L553" i="18"/>
  <c r="K553" i="18"/>
  <c r="L552" i="18"/>
  <c r="K552" i="18"/>
  <c r="L551" i="18"/>
  <c r="K551" i="18"/>
  <c r="L550" i="18"/>
  <c r="K550" i="18"/>
  <c r="L549" i="18"/>
  <c r="K549" i="18"/>
  <c r="L548" i="18"/>
  <c r="K548" i="18"/>
  <c r="L547" i="18"/>
  <c r="K547" i="18"/>
  <c r="L546" i="18"/>
  <c r="K546" i="18"/>
  <c r="L545" i="18"/>
  <c r="K545" i="18"/>
  <c r="L544" i="18"/>
  <c r="K544" i="18"/>
  <c r="L543" i="18"/>
  <c r="K543" i="18"/>
  <c r="L542" i="18"/>
  <c r="K542" i="18"/>
  <c r="L541" i="18"/>
  <c r="K541" i="18"/>
  <c r="L540" i="18"/>
  <c r="K540" i="18"/>
  <c r="L539" i="18"/>
  <c r="K539" i="18"/>
  <c r="L538" i="18"/>
  <c r="K538" i="18"/>
  <c r="L537" i="18"/>
  <c r="K537" i="18"/>
  <c r="L536" i="18"/>
  <c r="K536" i="18"/>
  <c r="L535" i="18"/>
  <c r="K535" i="18"/>
  <c r="L534" i="18"/>
  <c r="K534" i="18"/>
  <c r="L533" i="18"/>
  <c r="K533" i="18"/>
  <c r="L532" i="18"/>
  <c r="K532" i="18"/>
  <c r="L531" i="18"/>
  <c r="K531" i="18"/>
  <c r="L530" i="18"/>
  <c r="K530" i="18"/>
  <c r="L529" i="18"/>
  <c r="K529" i="18"/>
  <c r="L528" i="18"/>
  <c r="K528" i="18"/>
  <c r="L527" i="18"/>
  <c r="K527" i="18"/>
  <c r="L526" i="18"/>
  <c r="K526" i="18"/>
  <c r="L525" i="18"/>
  <c r="K525" i="18"/>
  <c r="L524" i="18"/>
  <c r="K524" i="18"/>
  <c r="L523" i="18"/>
  <c r="K523" i="18"/>
  <c r="L522" i="18"/>
  <c r="K522" i="18"/>
  <c r="L521" i="18"/>
  <c r="K521" i="18"/>
  <c r="L520" i="18"/>
  <c r="K520" i="18"/>
  <c r="L519" i="18"/>
  <c r="K519" i="18"/>
  <c r="L518" i="18"/>
  <c r="K518" i="18"/>
  <c r="L517" i="18"/>
  <c r="K517" i="18"/>
  <c r="L516" i="18"/>
  <c r="K516" i="18"/>
  <c r="L515" i="18"/>
  <c r="K515" i="18"/>
  <c r="L514" i="18"/>
  <c r="K514" i="18"/>
  <c r="L513" i="18"/>
  <c r="K513" i="18"/>
  <c r="L512" i="18"/>
  <c r="K512" i="18"/>
  <c r="L511" i="18"/>
  <c r="K511" i="18"/>
  <c r="L510" i="18"/>
  <c r="K510" i="18"/>
  <c r="L509" i="18"/>
  <c r="K509" i="18"/>
  <c r="L508" i="18"/>
  <c r="K508" i="18"/>
  <c r="L507" i="18"/>
  <c r="K507" i="18"/>
  <c r="L506" i="18"/>
  <c r="K506" i="18"/>
  <c r="L505" i="18"/>
  <c r="K505" i="18"/>
  <c r="L504" i="18"/>
  <c r="K504" i="18"/>
  <c r="L503" i="18"/>
  <c r="K503" i="18"/>
  <c r="L502" i="18"/>
  <c r="K502" i="18"/>
  <c r="L501" i="18"/>
  <c r="K501" i="18"/>
  <c r="L500" i="18"/>
  <c r="K500" i="18"/>
  <c r="L499" i="18"/>
  <c r="K499" i="18"/>
  <c r="L498" i="18"/>
  <c r="K498" i="18"/>
  <c r="L497" i="18"/>
  <c r="K497" i="18"/>
  <c r="L496" i="18"/>
  <c r="K496" i="18"/>
  <c r="L495" i="18"/>
  <c r="K495" i="18"/>
  <c r="L494" i="18"/>
  <c r="K494" i="18"/>
  <c r="L493" i="18"/>
  <c r="K493" i="18"/>
  <c r="L492" i="18"/>
  <c r="K492" i="18"/>
  <c r="L491" i="18"/>
  <c r="K491" i="18"/>
  <c r="L490" i="18"/>
  <c r="K490" i="18"/>
  <c r="L489" i="18"/>
  <c r="K489" i="18"/>
  <c r="L488" i="18"/>
  <c r="K488" i="18"/>
  <c r="L487" i="18"/>
  <c r="K487" i="18"/>
  <c r="L486" i="18"/>
  <c r="K486" i="18"/>
  <c r="L485" i="18"/>
  <c r="K485" i="18"/>
  <c r="L484" i="18"/>
  <c r="K484" i="18"/>
  <c r="L483" i="18"/>
  <c r="K483" i="18"/>
  <c r="L482" i="18"/>
  <c r="K482" i="18"/>
  <c r="L481" i="18"/>
  <c r="K481" i="18"/>
  <c r="L480" i="18"/>
  <c r="K480" i="18"/>
  <c r="K479" i="18"/>
  <c r="K478" i="18"/>
  <c r="N477" i="18"/>
  <c r="K477" i="18"/>
  <c r="K476" i="18"/>
  <c r="K475" i="18"/>
  <c r="K474" i="18"/>
  <c r="K473" i="18"/>
  <c r="L472" i="18"/>
  <c r="K472" i="18"/>
  <c r="K471" i="18"/>
  <c r="N470" i="18"/>
  <c r="E31" i="4" s="1"/>
  <c r="K470" i="18"/>
  <c r="L469" i="18"/>
  <c r="K469" i="18"/>
  <c r="K468" i="18"/>
  <c r="K467" i="18"/>
  <c r="N466" i="18"/>
  <c r="D33" i="4" s="1"/>
  <c r="K466" i="18"/>
  <c r="L465" i="18"/>
  <c r="K465" i="18"/>
  <c r="L464" i="18"/>
  <c r="K464" i="18"/>
  <c r="L463" i="18"/>
  <c r="K463" i="18"/>
  <c r="L462" i="18"/>
  <c r="K462" i="18"/>
  <c r="N461" i="18"/>
  <c r="L461" i="18"/>
  <c r="K461" i="18"/>
  <c r="N460" i="18"/>
  <c r="G40" i="4"/>
  <c r="K460" i="18"/>
  <c r="L459" i="18"/>
  <c r="K459" i="18"/>
  <c r="L458" i="18"/>
  <c r="K458" i="18"/>
  <c r="L457" i="18"/>
  <c r="K457" i="18"/>
  <c r="L456" i="18"/>
  <c r="K456" i="18"/>
  <c r="L455" i="18"/>
  <c r="K455" i="18"/>
  <c r="L454" i="18"/>
  <c r="K454" i="18"/>
  <c r="L453" i="18"/>
  <c r="K453" i="18"/>
  <c r="L452" i="18"/>
  <c r="K452" i="18"/>
  <c r="L451" i="18"/>
  <c r="K451" i="18"/>
  <c r="L450" i="18"/>
  <c r="K450" i="18"/>
  <c r="L449" i="18"/>
  <c r="K449" i="18"/>
  <c r="L448" i="18"/>
  <c r="K448" i="18"/>
  <c r="L447" i="18"/>
  <c r="K447" i="18"/>
  <c r="L446" i="18"/>
  <c r="K446" i="18"/>
  <c r="L445" i="18"/>
  <c r="K445" i="18"/>
  <c r="L444" i="18"/>
  <c r="K444" i="18"/>
  <c r="L443" i="18"/>
  <c r="K443" i="18"/>
  <c r="L442" i="18"/>
  <c r="K442" i="18"/>
  <c r="L441" i="18"/>
  <c r="K441" i="18"/>
  <c r="L440" i="18"/>
  <c r="K440" i="18"/>
  <c r="L439" i="18"/>
  <c r="K439" i="18"/>
  <c r="L438" i="18"/>
  <c r="K438" i="18"/>
  <c r="L437" i="18"/>
  <c r="K437" i="18"/>
  <c r="L436" i="18"/>
  <c r="K436" i="18"/>
  <c r="L435" i="18"/>
  <c r="K435" i="18"/>
  <c r="L434" i="18"/>
  <c r="K434" i="18"/>
  <c r="L433" i="18"/>
  <c r="K433" i="18"/>
  <c r="L432" i="18"/>
  <c r="K432" i="18"/>
  <c r="L431" i="18"/>
  <c r="K431" i="18"/>
  <c r="L430" i="18"/>
  <c r="K430" i="18"/>
  <c r="L429" i="18"/>
  <c r="K429" i="18"/>
  <c r="L428" i="18"/>
  <c r="K428" i="18"/>
  <c r="L427" i="18"/>
  <c r="K427" i="18"/>
  <c r="L426" i="18"/>
  <c r="K426" i="18"/>
  <c r="L425" i="18"/>
  <c r="K425" i="18"/>
  <c r="L424" i="18"/>
  <c r="K424" i="18"/>
  <c r="L423" i="18"/>
  <c r="K423" i="18"/>
  <c r="L422" i="18"/>
  <c r="K422" i="18"/>
  <c r="L421" i="18"/>
  <c r="K421" i="18"/>
  <c r="L420" i="18"/>
  <c r="K420" i="18"/>
  <c r="L419" i="18"/>
  <c r="K419" i="18"/>
  <c r="L418" i="18"/>
  <c r="K418" i="18"/>
  <c r="L417" i="18"/>
  <c r="K417" i="18"/>
  <c r="L416" i="18"/>
  <c r="K416" i="18"/>
  <c r="L415" i="18"/>
  <c r="K415" i="18"/>
  <c r="L414" i="18"/>
  <c r="K414" i="18"/>
  <c r="L413" i="18"/>
  <c r="K413" i="18"/>
  <c r="L412" i="18"/>
  <c r="K412" i="18"/>
  <c r="L411" i="18"/>
  <c r="K411" i="18"/>
  <c r="L410" i="18"/>
  <c r="K410" i="18"/>
  <c r="L409" i="18"/>
  <c r="K409" i="18"/>
  <c r="L408" i="18"/>
  <c r="K408" i="18"/>
  <c r="L407" i="18"/>
  <c r="K407" i="18"/>
  <c r="L406" i="18"/>
  <c r="K406" i="18"/>
  <c r="L405" i="18"/>
  <c r="K405" i="18"/>
  <c r="L404" i="18"/>
  <c r="K404" i="18"/>
  <c r="L403" i="18"/>
  <c r="K403" i="18"/>
  <c r="L402" i="18"/>
  <c r="K402" i="18"/>
  <c r="L401" i="18"/>
  <c r="K401" i="18"/>
  <c r="L400" i="18"/>
  <c r="K400" i="18"/>
  <c r="L399" i="18"/>
  <c r="K399" i="18"/>
  <c r="L398" i="18"/>
  <c r="K398" i="18"/>
  <c r="L397" i="18"/>
  <c r="K397" i="18"/>
  <c r="L396" i="18"/>
  <c r="K396" i="18"/>
  <c r="L395" i="18"/>
  <c r="K395" i="18"/>
  <c r="L394" i="18"/>
  <c r="K394" i="18"/>
  <c r="L393" i="18"/>
  <c r="K393" i="18"/>
  <c r="L392" i="18"/>
  <c r="K392" i="18"/>
  <c r="L391" i="18"/>
  <c r="K391" i="18"/>
  <c r="L390" i="18"/>
  <c r="K390" i="18"/>
  <c r="L389" i="18"/>
  <c r="K389" i="18"/>
  <c r="L388" i="18"/>
  <c r="K388" i="18"/>
  <c r="L387" i="18"/>
  <c r="K387" i="18"/>
  <c r="L386" i="18"/>
  <c r="K386" i="18"/>
  <c r="L385" i="18"/>
  <c r="K385" i="18"/>
  <c r="L384" i="18"/>
  <c r="K384" i="18"/>
  <c r="L383" i="18"/>
  <c r="K383" i="18"/>
  <c r="L382" i="18"/>
  <c r="K382" i="18"/>
  <c r="L381" i="18"/>
  <c r="K381" i="18"/>
  <c r="L380" i="18"/>
  <c r="K380" i="18"/>
  <c r="L379" i="18"/>
  <c r="K379" i="18"/>
  <c r="L378" i="18"/>
  <c r="K378" i="18"/>
  <c r="L377" i="18"/>
  <c r="K377" i="18"/>
  <c r="L376" i="18"/>
  <c r="K376" i="18"/>
  <c r="L375" i="18"/>
  <c r="K375" i="18"/>
  <c r="L374" i="18"/>
  <c r="K374" i="18"/>
  <c r="L373" i="18"/>
  <c r="K373" i="18"/>
  <c r="L372" i="18"/>
  <c r="K372" i="18"/>
  <c r="L371" i="18"/>
  <c r="K371" i="18"/>
  <c r="L370" i="18"/>
  <c r="K370" i="18"/>
  <c r="L369" i="18"/>
  <c r="K369" i="18"/>
  <c r="L368" i="18"/>
  <c r="K368" i="18"/>
  <c r="L367" i="18"/>
  <c r="K367" i="18"/>
  <c r="L366" i="18"/>
  <c r="K366" i="18"/>
  <c r="L365" i="18"/>
  <c r="K365" i="18"/>
  <c r="L364" i="18"/>
  <c r="K364" i="18"/>
  <c r="L363" i="18"/>
  <c r="K363" i="18"/>
  <c r="L362" i="18"/>
  <c r="K362" i="18"/>
  <c r="L361" i="18"/>
  <c r="K361" i="18"/>
  <c r="L360" i="18"/>
  <c r="K360" i="18"/>
  <c r="L359" i="18"/>
  <c r="K359" i="18"/>
  <c r="L358" i="18"/>
  <c r="K358" i="18"/>
  <c r="L357" i="18"/>
  <c r="K357" i="18"/>
  <c r="L356" i="18"/>
  <c r="K356" i="18"/>
  <c r="L355" i="18"/>
  <c r="K355" i="18"/>
  <c r="L354" i="18"/>
  <c r="K354" i="18"/>
  <c r="L353" i="18"/>
  <c r="K353" i="18"/>
  <c r="L352" i="18"/>
  <c r="K352" i="18"/>
  <c r="L351" i="18"/>
  <c r="K351" i="18"/>
  <c r="L350" i="18"/>
  <c r="K350" i="18"/>
  <c r="L349" i="18"/>
  <c r="K349" i="18"/>
  <c r="L348" i="18"/>
  <c r="K348" i="18"/>
  <c r="L347" i="18"/>
  <c r="K347" i="18"/>
  <c r="L346" i="18"/>
  <c r="K346" i="18"/>
  <c r="L345" i="18"/>
  <c r="K345" i="18"/>
  <c r="L344" i="18"/>
  <c r="K344" i="18"/>
  <c r="L343" i="18"/>
  <c r="K343" i="18"/>
  <c r="L342" i="18"/>
  <c r="K342" i="18"/>
  <c r="L341" i="18"/>
  <c r="K341" i="18"/>
  <c r="L340" i="18"/>
  <c r="K340" i="18"/>
  <c r="L339" i="18"/>
  <c r="K339" i="18"/>
  <c r="L338" i="18"/>
  <c r="K338" i="18"/>
  <c r="L337" i="18"/>
  <c r="K337" i="18"/>
  <c r="L336" i="18"/>
  <c r="K336" i="18"/>
  <c r="L335" i="18"/>
  <c r="K335" i="18"/>
  <c r="L334" i="18"/>
  <c r="K334" i="18"/>
  <c r="L333" i="18"/>
  <c r="K333" i="18"/>
  <c r="L332" i="18"/>
  <c r="K332" i="18"/>
  <c r="L331" i="18"/>
  <c r="K331" i="18"/>
  <c r="L330" i="18"/>
  <c r="K330" i="18"/>
  <c r="L329" i="18"/>
  <c r="K329" i="18"/>
  <c r="L328" i="18"/>
  <c r="K328" i="18"/>
  <c r="L327" i="18"/>
  <c r="K327" i="18"/>
  <c r="L326" i="18"/>
  <c r="K326" i="18"/>
  <c r="L325" i="18"/>
  <c r="K325" i="18"/>
  <c r="L324" i="18"/>
  <c r="K324" i="18"/>
  <c r="L323" i="18"/>
  <c r="K323" i="18"/>
  <c r="L322" i="18"/>
  <c r="K322" i="18"/>
  <c r="L321" i="18"/>
  <c r="K321" i="18"/>
  <c r="L320" i="18"/>
  <c r="K320" i="18"/>
  <c r="L319" i="18"/>
  <c r="K319" i="18"/>
  <c r="L318" i="18"/>
  <c r="K318" i="18"/>
  <c r="L317" i="18"/>
  <c r="K317" i="18"/>
  <c r="L316" i="18"/>
  <c r="K316" i="18"/>
  <c r="L315" i="18"/>
  <c r="K315" i="18"/>
  <c r="L314" i="18"/>
  <c r="K314" i="18"/>
  <c r="L313" i="18"/>
  <c r="K313" i="18"/>
  <c r="L312" i="18"/>
  <c r="K312" i="18"/>
  <c r="L311" i="18"/>
  <c r="K311" i="18"/>
  <c r="L310" i="18"/>
  <c r="K310" i="18"/>
  <c r="L309" i="18"/>
  <c r="K309" i="18"/>
  <c r="L308" i="18"/>
  <c r="K308" i="18"/>
  <c r="L307" i="18"/>
  <c r="K307" i="18"/>
  <c r="L306" i="18"/>
  <c r="K306" i="18"/>
  <c r="L305" i="18"/>
  <c r="K305" i="18"/>
  <c r="L304" i="18"/>
  <c r="K304" i="18"/>
  <c r="L303" i="18"/>
  <c r="K303" i="18"/>
  <c r="L302" i="18"/>
  <c r="K302" i="18"/>
  <c r="L301" i="18"/>
  <c r="K301" i="18"/>
  <c r="L300" i="18"/>
  <c r="K300" i="18"/>
  <c r="L299" i="18"/>
  <c r="K299" i="18"/>
  <c r="L298" i="18"/>
  <c r="K298" i="18"/>
  <c r="L297" i="18"/>
  <c r="K297" i="18"/>
  <c r="L296" i="18"/>
  <c r="K296" i="18"/>
  <c r="L295" i="18"/>
  <c r="K295" i="18"/>
  <c r="L294" i="18"/>
  <c r="K294" i="18"/>
  <c r="L293" i="18"/>
  <c r="K293" i="18"/>
  <c r="L292" i="18"/>
  <c r="K292" i="18"/>
  <c r="L291" i="18"/>
  <c r="K291" i="18"/>
  <c r="L290" i="18"/>
  <c r="K290" i="18"/>
  <c r="L289" i="18"/>
  <c r="K289" i="18"/>
  <c r="L288" i="18"/>
  <c r="K288" i="18"/>
  <c r="L287" i="18"/>
  <c r="K287" i="18"/>
  <c r="L286" i="18"/>
  <c r="K286" i="18"/>
  <c r="L285" i="18"/>
  <c r="K285" i="18"/>
  <c r="L284" i="18"/>
  <c r="K284" i="18"/>
  <c r="L283" i="18"/>
  <c r="K283" i="18"/>
  <c r="L282" i="18"/>
  <c r="K282" i="18"/>
  <c r="L281" i="18"/>
  <c r="K281" i="18"/>
  <c r="L280" i="18"/>
  <c r="K280" i="18"/>
  <c r="L279" i="18"/>
  <c r="K279" i="18"/>
  <c r="L278" i="18"/>
  <c r="K278" i="18"/>
  <c r="L277" i="18"/>
  <c r="K277" i="18"/>
  <c r="L276" i="18"/>
  <c r="K276" i="18"/>
  <c r="L275" i="18"/>
  <c r="K275" i="18"/>
  <c r="L274" i="18"/>
  <c r="K274" i="18"/>
  <c r="L273" i="18"/>
  <c r="K273" i="18"/>
  <c r="L272" i="18"/>
  <c r="K272" i="18"/>
  <c r="L271" i="18"/>
  <c r="K271" i="18"/>
  <c r="L270" i="18"/>
  <c r="K270" i="18"/>
  <c r="L269" i="18"/>
  <c r="K269" i="18"/>
  <c r="L268" i="18"/>
  <c r="K268" i="18"/>
  <c r="L267" i="18"/>
  <c r="K267" i="18"/>
  <c r="L266" i="18"/>
  <c r="K266" i="18"/>
  <c r="L265" i="18"/>
  <c r="K265" i="18"/>
  <c r="L264" i="18"/>
  <c r="K264" i="18"/>
  <c r="L263" i="18"/>
  <c r="K263" i="18"/>
  <c r="L262" i="18"/>
  <c r="K262" i="18"/>
  <c r="L261" i="18"/>
  <c r="K261" i="18"/>
  <c r="L260" i="18"/>
  <c r="K260" i="18"/>
  <c r="L259" i="18"/>
  <c r="K259" i="18"/>
  <c r="L258" i="18"/>
  <c r="K258" i="18"/>
  <c r="L257" i="18"/>
  <c r="K257" i="18"/>
  <c r="L256" i="18"/>
  <c r="K256" i="18"/>
  <c r="L255" i="18"/>
  <c r="K255" i="18"/>
  <c r="L254" i="18"/>
  <c r="K254" i="18"/>
  <c r="L253" i="18"/>
  <c r="K253" i="18"/>
  <c r="L252" i="18"/>
  <c r="K252" i="18"/>
  <c r="K251" i="18"/>
  <c r="K250" i="18"/>
  <c r="K249" i="18"/>
  <c r="K248" i="18"/>
  <c r="K247" i="18"/>
  <c r="K246" i="18"/>
  <c r="K245" i="18"/>
  <c r="K244" i="18"/>
  <c r="K243" i="18"/>
  <c r="L242" i="18"/>
  <c r="K242" i="18"/>
  <c r="L241" i="18"/>
  <c r="K241" i="18"/>
  <c r="L240" i="18"/>
  <c r="K240" i="18"/>
  <c r="L239" i="18"/>
  <c r="K239" i="18"/>
  <c r="L238" i="18"/>
  <c r="K238" i="18"/>
  <c r="L237" i="18"/>
  <c r="K237" i="18"/>
  <c r="L236" i="18"/>
  <c r="K236" i="18"/>
  <c r="L235" i="18"/>
  <c r="K235" i="18"/>
  <c r="L234" i="18"/>
  <c r="K234" i="18"/>
  <c r="L233" i="18"/>
  <c r="K233" i="18"/>
  <c r="L232" i="18"/>
  <c r="K232" i="18"/>
  <c r="L231" i="18"/>
  <c r="K231" i="18"/>
  <c r="L230" i="18"/>
  <c r="K230" i="18"/>
  <c r="L229" i="18"/>
  <c r="K229" i="18"/>
  <c r="L228" i="18"/>
  <c r="K228" i="18"/>
  <c r="L227" i="18"/>
  <c r="K227" i="18"/>
  <c r="L226" i="18"/>
  <c r="K226" i="18"/>
  <c r="L225" i="18"/>
  <c r="K225" i="18"/>
  <c r="L224" i="18"/>
  <c r="K224" i="18"/>
  <c r="L223" i="18"/>
  <c r="K223" i="18"/>
  <c r="L222" i="18"/>
  <c r="K222" i="18"/>
  <c r="L221" i="18"/>
  <c r="K221" i="18"/>
  <c r="L220" i="18"/>
  <c r="K220" i="18"/>
  <c r="L219" i="18"/>
  <c r="K219" i="18"/>
  <c r="L218" i="18"/>
  <c r="K218" i="18"/>
  <c r="L217" i="18"/>
  <c r="K217" i="18"/>
  <c r="L216" i="18"/>
  <c r="K216" i="18"/>
  <c r="L215" i="18"/>
  <c r="K215" i="18"/>
  <c r="L214" i="18"/>
  <c r="K214" i="18"/>
  <c r="L213" i="18"/>
  <c r="K213" i="18"/>
  <c r="L212" i="18"/>
  <c r="K212" i="18"/>
  <c r="L211" i="18"/>
  <c r="K211" i="18"/>
  <c r="L210" i="18"/>
  <c r="K210" i="18"/>
  <c r="L209" i="18"/>
  <c r="K209" i="18"/>
  <c r="L208" i="18"/>
  <c r="K208" i="18"/>
  <c r="L207" i="18"/>
  <c r="K207" i="18"/>
  <c r="L206" i="18"/>
  <c r="K206" i="18"/>
  <c r="L205" i="18"/>
  <c r="K205" i="18"/>
  <c r="L204" i="18"/>
  <c r="K204" i="18"/>
  <c r="L203" i="18"/>
  <c r="K203" i="18"/>
  <c r="L202" i="18"/>
  <c r="K202" i="18"/>
  <c r="L201" i="18"/>
  <c r="K201" i="18"/>
  <c r="L200" i="18"/>
  <c r="K200" i="18"/>
  <c r="L199" i="18"/>
  <c r="K199" i="18"/>
  <c r="K198" i="18"/>
  <c r="L197" i="18"/>
  <c r="K197" i="18"/>
  <c r="L196" i="18"/>
  <c r="K196" i="18"/>
  <c r="L195" i="18"/>
  <c r="K195" i="18"/>
  <c r="L194" i="18"/>
  <c r="K194" i="18"/>
  <c r="L193" i="18"/>
  <c r="K193" i="18"/>
  <c r="L192" i="18"/>
  <c r="K192" i="18"/>
  <c r="L191" i="18"/>
  <c r="K191" i="18"/>
  <c r="L190" i="18"/>
  <c r="K190" i="18"/>
  <c r="L189" i="18"/>
  <c r="K189" i="18"/>
  <c r="L188" i="18"/>
  <c r="K188" i="18"/>
  <c r="L187" i="18"/>
  <c r="K187" i="18"/>
  <c r="L186" i="18"/>
  <c r="K186" i="18"/>
  <c r="L185" i="18"/>
  <c r="K185" i="18"/>
  <c r="L184" i="18"/>
  <c r="K184" i="18"/>
  <c r="L183" i="18"/>
  <c r="K183" i="18"/>
  <c r="L182" i="18"/>
  <c r="K182" i="18"/>
  <c r="L181" i="18"/>
  <c r="K181" i="18"/>
  <c r="L180" i="18"/>
  <c r="K180" i="18"/>
  <c r="L179" i="18"/>
  <c r="K179" i="18"/>
  <c r="L178" i="18"/>
  <c r="K178" i="18"/>
  <c r="L177" i="18"/>
  <c r="K177" i="18"/>
  <c r="L176" i="18"/>
  <c r="K176" i="18"/>
  <c r="L175" i="18"/>
  <c r="K175" i="18"/>
  <c r="L174" i="18"/>
  <c r="K174" i="18"/>
  <c r="L173" i="18"/>
  <c r="K173" i="18"/>
  <c r="L172" i="18"/>
  <c r="K172" i="18"/>
  <c r="L171" i="18"/>
  <c r="K171" i="18"/>
  <c r="L170" i="18"/>
  <c r="K170" i="18"/>
  <c r="L169" i="18"/>
  <c r="K169" i="18"/>
  <c r="L168" i="18"/>
  <c r="K168" i="18"/>
  <c r="L167" i="18"/>
  <c r="K167" i="18"/>
  <c r="L166" i="18"/>
  <c r="K166" i="18"/>
  <c r="L165" i="18"/>
  <c r="K165" i="18"/>
  <c r="L164" i="18"/>
  <c r="K164" i="18"/>
  <c r="L163" i="18"/>
  <c r="K163" i="18"/>
  <c r="L162" i="18"/>
  <c r="K162" i="18"/>
  <c r="L161" i="18"/>
  <c r="K161" i="18"/>
  <c r="L160" i="18"/>
  <c r="K160" i="18"/>
  <c r="L159" i="18"/>
  <c r="K159" i="18"/>
  <c r="L158" i="18"/>
  <c r="K158" i="18"/>
  <c r="L157" i="18"/>
  <c r="K157" i="18"/>
  <c r="L156" i="18"/>
  <c r="K156" i="18"/>
  <c r="L155" i="18"/>
  <c r="K155" i="18"/>
  <c r="L154" i="18"/>
  <c r="K154" i="18"/>
  <c r="L153" i="18"/>
  <c r="K153" i="18"/>
  <c r="L152" i="18"/>
  <c r="K152" i="18"/>
  <c r="L151" i="18"/>
  <c r="K151" i="18"/>
  <c r="L150" i="18"/>
  <c r="K150" i="18"/>
  <c r="L149" i="18"/>
  <c r="K149" i="18"/>
  <c r="L148" i="18"/>
  <c r="K148" i="18"/>
  <c r="L147" i="18"/>
  <c r="K147" i="18"/>
  <c r="L146" i="18"/>
  <c r="K146" i="18"/>
  <c r="L145" i="18"/>
  <c r="K145" i="18"/>
  <c r="L144" i="18"/>
  <c r="K144" i="18"/>
  <c r="L143" i="18"/>
  <c r="K143" i="18"/>
  <c r="L142" i="18"/>
  <c r="K142" i="18"/>
  <c r="L141" i="18"/>
  <c r="K141" i="18"/>
  <c r="L140" i="18"/>
  <c r="K140" i="18"/>
  <c r="L139" i="18"/>
  <c r="K139" i="18"/>
  <c r="L138" i="18"/>
  <c r="K138" i="18"/>
  <c r="L137" i="18"/>
  <c r="K137" i="18"/>
  <c r="L136" i="18"/>
  <c r="K136" i="18"/>
  <c r="K135" i="18"/>
  <c r="L134" i="18"/>
  <c r="K134" i="18"/>
  <c r="L133" i="18"/>
  <c r="K133" i="18"/>
  <c r="L132" i="18"/>
  <c r="K132" i="18"/>
  <c r="L131" i="18"/>
  <c r="K131" i="18"/>
  <c r="L130" i="18"/>
  <c r="K130" i="18"/>
  <c r="L129" i="18"/>
  <c r="K129" i="18"/>
  <c r="L128" i="18"/>
  <c r="K128" i="18"/>
  <c r="L127" i="18"/>
  <c r="K127" i="18"/>
  <c r="L126" i="18"/>
  <c r="K126" i="18"/>
  <c r="L125" i="18"/>
  <c r="K125" i="18"/>
  <c r="L124" i="18"/>
  <c r="K124" i="18"/>
  <c r="L123" i="18"/>
  <c r="K123" i="18"/>
  <c r="L122" i="18"/>
  <c r="K122" i="18"/>
  <c r="L121" i="18"/>
  <c r="K121" i="18"/>
  <c r="L120" i="18"/>
  <c r="K120" i="18"/>
  <c r="L119" i="18"/>
  <c r="K119" i="18"/>
  <c r="L118" i="18"/>
  <c r="K118" i="18"/>
  <c r="L117" i="18"/>
  <c r="K117" i="18"/>
  <c r="L116" i="18"/>
  <c r="K116" i="18"/>
  <c r="K115" i="18"/>
  <c r="L114" i="18"/>
  <c r="K114" i="18"/>
  <c r="L113" i="18"/>
  <c r="K113" i="18"/>
  <c r="L112" i="18"/>
  <c r="K112" i="18"/>
  <c r="L111" i="18"/>
  <c r="K111" i="18"/>
  <c r="L110" i="18"/>
  <c r="K110" i="18"/>
  <c r="L109" i="18"/>
  <c r="K109" i="18"/>
  <c r="L108" i="18"/>
  <c r="K108" i="18"/>
  <c r="L107" i="18"/>
  <c r="K107" i="18"/>
  <c r="L106" i="18"/>
  <c r="K106" i="18"/>
  <c r="L105" i="18"/>
  <c r="K105" i="18"/>
  <c r="L104" i="18"/>
  <c r="K104" i="18"/>
  <c r="L103" i="18"/>
  <c r="K103" i="18"/>
  <c r="L102" i="18"/>
  <c r="K102" i="18"/>
  <c r="L101" i="18"/>
  <c r="K101" i="18"/>
  <c r="L100" i="18"/>
  <c r="K100" i="18"/>
  <c r="L99" i="18"/>
  <c r="K99" i="18"/>
  <c r="L98" i="18"/>
  <c r="K98" i="18"/>
  <c r="L97" i="18"/>
  <c r="K97" i="18"/>
  <c r="L96" i="18"/>
  <c r="K96" i="18"/>
  <c r="L95" i="18"/>
  <c r="K95" i="18"/>
  <c r="L94" i="18"/>
  <c r="K94" i="18"/>
  <c r="L93" i="18"/>
  <c r="K93" i="18"/>
  <c r="L92" i="18"/>
  <c r="K92" i="18"/>
  <c r="L91" i="18"/>
  <c r="K91" i="18"/>
  <c r="L90" i="18"/>
  <c r="K90" i="18"/>
  <c r="L89" i="18"/>
  <c r="K89" i="18"/>
  <c r="L88" i="18"/>
  <c r="K88" i="18"/>
  <c r="L87" i="18"/>
  <c r="K87" i="18"/>
  <c r="L86" i="18"/>
  <c r="K86" i="18"/>
  <c r="L85" i="18"/>
  <c r="K85" i="18"/>
  <c r="L84" i="18"/>
  <c r="K84" i="18"/>
  <c r="L83" i="18"/>
  <c r="K83" i="18"/>
  <c r="L82" i="18"/>
  <c r="K82" i="18"/>
  <c r="L81" i="18"/>
  <c r="K81" i="18"/>
  <c r="L80" i="18"/>
  <c r="K80" i="18"/>
  <c r="L79" i="18"/>
  <c r="K79" i="18"/>
  <c r="L78" i="18"/>
  <c r="K78" i="18"/>
  <c r="L77" i="18"/>
  <c r="K77" i="18"/>
  <c r="L76" i="18"/>
  <c r="K76" i="18"/>
  <c r="L75" i="18"/>
  <c r="K75" i="18"/>
  <c r="L74" i="18"/>
  <c r="K74" i="18"/>
  <c r="L73" i="18"/>
  <c r="K73" i="18"/>
  <c r="L72" i="18"/>
  <c r="K72" i="18"/>
  <c r="L71" i="18"/>
  <c r="K71" i="18"/>
  <c r="L70" i="18"/>
  <c r="K70" i="18"/>
  <c r="L69" i="18"/>
  <c r="K69" i="18"/>
  <c r="L68" i="18"/>
  <c r="K68" i="18"/>
  <c r="L67" i="18"/>
  <c r="K67" i="18"/>
  <c r="L66" i="18"/>
  <c r="K66" i="18"/>
  <c r="L65" i="18"/>
  <c r="K65" i="18"/>
  <c r="L64" i="18"/>
  <c r="K64" i="18"/>
  <c r="L63" i="18"/>
  <c r="K63" i="18"/>
  <c r="L62" i="18"/>
  <c r="K62" i="18"/>
  <c r="L61" i="18"/>
  <c r="K61" i="18"/>
  <c r="L60" i="18"/>
  <c r="K60" i="18"/>
  <c r="L59" i="18"/>
  <c r="K59" i="18"/>
  <c r="L58" i="18"/>
  <c r="K58" i="18"/>
  <c r="L57" i="18"/>
  <c r="K57" i="18"/>
  <c r="L56" i="18"/>
  <c r="K56" i="18"/>
  <c r="L55" i="18"/>
  <c r="K55" i="18"/>
  <c r="L54" i="18"/>
  <c r="K54" i="18"/>
  <c r="L53" i="18"/>
  <c r="K53" i="18"/>
  <c r="L52" i="18"/>
  <c r="K52" i="18"/>
  <c r="L51" i="18"/>
  <c r="K51" i="18"/>
  <c r="L50" i="18"/>
  <c r="K50" i="18"/>
  <c r="L49" i="18"/>
  <c r="K49" i="18"/>
  <c r="L48" i="18"/>
  <c r="K48" i="18"/>
  <c r="L47" i="18"/>
  <c r="K47" i="18"/>
  <c r="L46" i="18"/>
  <c r="K46" i="18"/>
  <c r="L45" i="18"/>
  <c r="K45" i="18"/>
  <c r="L44" i="18"/>
  <c r="K44" i="18"/>
  <c r="L43" i="18"/>
  <c r="K43" i="18"/>
  <c r="L42" i="18"/>
  <c r="K42" i="18"/>
  <c r="L41" i="18"/>
  <c r="K41" i="18"/>
  <c r="L40" i="18"/>
  <c r="K40" i="18"/>
  <c r="L39" i="18"/>
  <c r="K39" i="18"/>
  <c r="L38" i="18"/>
  <c r="K38" i="18"/>
  <c r="L37" i="18"/>
  <c r="K37" i="18"/>
  <c r="L36" i="18"/>
  <c r="K36" i="18"/>
  <c r="L35" i="18"/>
  <c r="K35" i="18"/>
  <c r="L34" i="18"/>
  <c r="K34" i="18"/>
  <c r="L33" i="18"/>
  <c r="K33" i="18"/>
  <c r="L32" i="18"/>
  <c r="K32" i="18"/>
  <c r="L31" i="18"/>
  <c r="K31" i="18"/>
  <c r="L30" i="18"/>
  <c r="K30" i="18"/>
  <c r="L29" i="18"/>
  <c r="K29" i="18"/>
  <c r="L28" i="18"/>
  <c r="K28" i="18"/>
  <c r="L27" i="18"/>
  <c r="K27" i="18"/>
  <c r="L26" i="18"/>
  <c r="K26" i="18"/>
  <c r="L25" i="18"/>
  <c r="K25" i="18"/>
  <c r="L24" i="18"/>
  <c r="K24" i="18"/>
  <c r="L23" i="18"/>
  <c r="K23" i="18"/>
  <c r="L22" i="18"/>
  <c r="K22" i="18"/>
  <c r="L21" i="18"/>
  <c r="K21" i="18"/>
  <c r="L20" i="18"/>
  <c r="K20" i="18"/>
  <c r="L19" i="18"/>
  <c r="K19" i="18"/>
  <c r="L18" i="18"/>
  <c r="K18" i="18"/>
  <c r="L17" i="18"/>
  <c r="K17" i="18"/>
  <c r="L16" i="18"/>
  <c r="K16" i="18"/>
  <c r="L15" i="18"/>
  <c r="K15" i="18"/>
  <c r="L14" i="18"/>
  <c r="K14" i="18"/>
  <c r="L13" i="18"/>
  <c r="K13" i="18"/>
  <c r="L12" i="18"/>
  <c r="K12" i="18"/>
  <c r="L11" i="18"/>
  <c r="K11" i="18"/>
  <c r="L10" i="18"/>
  <c r="K10" i="18"/>
  <c r="L9" i="18"/>
  <c r="K9" i="18"/>
  <c r="L8" i="18"/>
  <c r="K8" i="18"/>
  <c r="L7" i="18"/>
  <c r="K7" i="18"/>
  <c r="L6" i="18"/>
  <c r="K6" i="18"/>
  <c r="L5" i="18"/>
  <c r="K5" i="18"/>
  <c r="L4" i="18"/>
  <c r="K4" i="18"/>
  <c r="L3" i="18"/>
  <c r="K3" i="18"/>
  <c r="L2" i="18"/>
  <c r="K2" i="18"/>
  <c r="C49" i="15"/>
  <c r="C50" i="15"/>
  <c r="E51" i="15"/>
  <c r="N587" i="12"/>
  <c r="N588" i="12"/>
  <c r="N589" i="12"/>
  <c r="N590" i="12"/>
  <c r="N591" i="12"/>
  <c r="N592" i="12"/>
  <c r="N585" i="12"/>
  <c r="C39" i="15"/>
  <c r="C40" i="15"/>
  <c r="C41" i="15"/>
  <c r="C32" i="15"/>
  <c r="N494" i="12"/>
  <c r="N497" i="12"/>
  <c r="N495" i="12"/>
  <c r="N496" i="12"/>
  <c r="N493" i="12"/>
  <c r="N498" i="12"/>
  <c r="N499" i="12"/>
  <c r="N500" i="12"/>
  <c r="N501" i="12"/>
  <c r="N502" i="12"/>
  <c r="N503" i="12"/>
  <c r="N504" i="12"/>
  <c r="N505" i="12"/>
  <c r="N506" i="12"/>
  <c r="N507" i="12"/>
  <c r="N508" i="12"/>
  <c r="N509" i="12"/>
  <c r="N510" i="12"/>
  <c r="N514" i="12"/>
  <c r="N513" i="12"/>
  <c r="N515" i="12"/>
  <c r="N516" i="12"/>
  <c r="N518" i="12"/>
  <c r="N511" i="12"/>
  <c r="N517" i="12"/>
  <c r="N512" i="12"/>
  <c r="N519" i="12"/>
  <c r="N520" i="12"/>
  <c r="N521" i="12"/>
  <c r="N522" i="12"/>
  <c r="N523" i="12"/>
  <c r="N524" i="12"/>
  <c r="N525" i="12"/>
  <c r="N526" i="12"/>
  <c r="N527" i="12"/>
  <c r="N528" i="12"/>
  <c r="N529" i="12"/>
  <c r="N530" i="12"/>
  <c r="N531" i="12"/>
  <c r="N532" i="12"/>
  <c r="N533" i="12"/>
  <c r="N534" i="12"/>
  <c r="N535" i="12"/>
  <c r="N536" i="12"/>
  <c r="N537" i="12"/>
  <c r="N538" i="12"/>
  <c r="N539" i="12"/>
  <c r="N540" i="12"/>
  <c r="N541" i="12"/>
  <c r="N542" i="12"/>
  <c r="N543" i="12"/>
  <c r="N544" i="12"/>
  <c r="N545" i="12"/>
  <c r="N546" i="12"/>
  <c r="N547" i="12"/>
  <c r="N548" i="12"/>
  <c r="N549" i="12"/>
  <c r="N550" i="12"/>
  <c r="N551" i="12"/>
  <c r="N552" i="12"/>
  <c r="N553" i="12"/>
  <c r="N554" i="12"/>
  <c r="N555" i="12"/>
  <c r="N556" i="12"/>
  <c r="N557" i="12"/>
  <c r="N558" i="12"/>
  <c r="N559" i="12"/>
  <c r="N560" i="12"/>
  <c r="N561" i="12"/>
  <c r="N562" i="12"/>
  <c r="N563" i="12"/>
  <c r="N564" i="12"/>
  <c r="N565" i="12"/>
  <c r="N566" i="12"/>
  <c r="N567" i="12"/>
  <c r="N568" i="12"/>
  <c r="N569" i="12"/>
  <c r="N570" i="12"/>
  <c r="N571" i="12"/>
  <c r="N572" i="12"/>
  <c r="N573" i="12"/>
  <c r="N574" i="12"/>
  <c r="N575" i="12"/>
  <c r="N576" i="12"/>
  <c r="N577" i="12"/>
  <c r="N578" i="12"/>
  <c r="N579" i="12"/>
  <c r="N580" i="12"/>
  <c r="N581" i="12"/>
  <c r="N582" i="12"/>
  <c r="N583" i="12"/>
  <c r="N584" i="12"/>
  <c r="N586" i="12"/>
  <c r="N593" i="12"/>
  <c r="N594" i="12"/>
  <c r="N595" i="12"/>
  <c r="N596" i="12"/>
  <c r="N597" i="12"/>
  <c r="N598" i="12"/>
  <c r="N599" i="12"/>
  <c r="N600" i="12"/>
  <c r="N601" i="12"/>
  <c r="N602" i="12"/>
  <c r="N603" i="12"/>
  <c r="N604" i="12"/>
  <c r="N605" i="12"/>
  <c r="N606" i="12"/>
  <c r="N607" i="12"/>
  <c r="N608" i="12"/>
  <c r="N609" i="12"/>
  <c r="N610" i="12"/>
  <c r="N611" i="12"/>
  <c r="N612" i="12"/>
  <c r="N613" i="12"/>
  <c r="N614" i="12"/>
  <c r="N615" i="12"/>
  <c r="N616" i="12"/>
  <c r="N617" i="12"/>
  <c r="N618" i="12"/>
  <c r="N619" i="12"/>
  <c r="N620" i="12"/>
  <c r="N621" i="12"/>
  <c r="N622" i="12"/>
  <c r="N623" i="12"/>
  <c r="N624" i="12"/>
  <c r="N625" i="12"/>
  <c r="N626" i="12"/>
  <c r="N627" i="12"/>
  <c r="N628" i="12"/>
  <c r="N629" i="12"/>
  <c r="N630" i="12"/>
  <c r="N631" i="12"/>
  <c r="N632" i="12"/>
  <c r="N633" i="12"/>
  <c r="N634" i="12"/>
  <c r="N635" i="12"/>
  <c r="N636" i="12"/>
  <c r="N637" i="12"/>
  <c r="N638" i="12"/>
  <c r="N639" i="12"/>
  <c r="N640" i="12"/>
  <c r="N641" i="12"/>
  <c r="N642" i="12"/>
  <c r="N643" i="12"/>
  <c r="N644" i="12"/>
  <c r="N645" i="12"/>
  <c r="N646" i="12"/>
  <c r="N647" i="12"/>
  <c r="N648" i="12"/>
  <c r="N649" i="12"/>
  <c r="N650" i="12"/>
  <c r="N651" i="12"/>
  <c r="N652" i="12"/>
  <c r="N653" i="12"/>
  <c r="N654" i="12"/>
  <c r="N655" i="12"/>
  <c r="N656" i="12"/>
  <c r="N657" i="12"/>
  <c r="N658" i="12"/>
  <c r="N659" i="12"/>
  <c r="N660" i="12"/>
  <c r="N661" i="12"/>
  <c r="N662" i="12"/>
  <c r="N663" i="12"/>
  <c r="N664" i="12"/>
  <c r="N665" i="12"/>
  <c r="N666" i="12"/>
  <c r="N667" i="12"/>
  <c r="N668" i="12"/>
  <c r="N669" i="12"/>
  <c r="N670" i="12"/>
  <c r="N671" i="12"/>
  <c r="N672" i="12"/>
  <c r="N673" i="12"/>
  <c r="N674" i="12"/>
  <c r="N675" i="12"/>
  <c r="N676" i="12"/>
  <c r="N677" i="12"/>
  <c r="N678" i="12"/>
  <c r="N679" i="12"/>
  <c r="N680" i="12"/>
  <c r="N681" i="12"/>
  <c r="N682" i="12"/>
  <c r="N683" i="12"/>
  <c r="N684" i="12"/>
  <c r="N685" i="12"/>
  <c r="N686" i="12"/>
  <c r="N687" i="12"/>
  <c r="N688" i="12"/>
  <c r="N689" i="12"/>
  <c r="N690" i="12"/>
  <c r="N691" i="12"/>
  <c r="N692" i="12"/>
  <c r="N693" i="12"/>
  <c r="N694" i="12"/>
  <c r="N695" i="12"/>
  <c r="N696" i="12"/>
  <c r="N697" i="12"/>
  <c r="N698" i="12"/>
  <c r="N699" i="12"/>
  <c r="N700" i="12"/>
  <c r="N701" i="12"/>
  <c r="N702" i="12"/>
  <c r="N703" i="12"/>
  <c r="N704" i="12"/>
  <c r="N705" i="12"/>
  <c r="N706" i="12"/>
  <c r="N707" i="12"/>
  <c r="N708" i="12"/>
  <c r="N709" i="12"/>
  <c r="N710" i="12"/>
  <c r="N711" i="12"/>
  <c r="N712" i="12"/>
  <c r="N713" i="12"/>
  <c r="N714" i="12"/>
  <c r="N12" i="12"/>
  <c r="N13" i="12"/>
  <c r="N14" i="12"/>
  <c r="N15" i="12"/>
  <c r="N16" i="12"/>
  <c r="N17" i="12"/>
  <c r="N18" i="12"/>
  <c r="N19" i="12"/>
  <c r="N20" i="12"/>
  <c r="N21" i="12"/>
  <c r="N22" i="12"/>
  <c r="N23" i="12"/>
  <c r="N24" i="12"/>
  <c r="N25" i="12"/>
  <c r="N26" i="12"/>
  <c r="N27" i="12"/>
  <c r="N28" i="12"/>
  <c r="N29" i="12"/>
  <c r="N30" i="12"/>
  <c r="N31" i="12"/>
  <c r="N32" i="12"/>
  <c r="N33" i="12"/>
  <c r="N34" i="12"/>
  <c r="N35" i="12"/>
  <c r="N36" i="12"/>
  <c r="N37" i="12"/>
  <c r="N38" i="12"/>
  <c r="N39" i="12"/>
  <c r="N40" i="12"/>
  <c r="N41" i="12"/>
  <c r="N42" i="12"/>
  <c r="N43" i="12"/>
  <c r="N44" i="12"/>
  <c r="N45" i="12"/>
  <c r="N46" i="12"/>
  <c r="N47" i="12"/>
  <c r="N48" i="12"/>
  <c r="N49" i="12"/>
  <c r="N50" i="12"/>
  <c r="N51" i="12"/>
  <c r="N52" i="12"/>
  <c r="N53" i="12"/>
  <c r="N54" i="12"/>
  <c r="N55" i="12"/>
  <c r="N56" i="12"/>
  <c r="N57" i="12"/>
  <c r="N58" i="12"/>
  <c r="N59" i="12"/>
  <c r="N60" i="12"/>
  <c r="N61" i="12"/>
  <c r="N62" i="12"/>
  <c r="N63" i="12"/>
  <c r="N64" i="12"/>
  <c r="N65" i="12"/>
  <c r="N66" i="12"/>
  <c r="N67" i="12"/>
  <c r="N68" i="12"/>
  <c r="N69" i="12"/>
  <c r="N70" i="12"/>
  <c r="N71" i="12"/>
  <c r="N72" i="12"/>
  <c r="N73" i="12"/>
  <c r="N74" i="12"/>
  <c r="N75" i="12"/>
  <c r="N76" i="12"/>
  <c r="N77" i="12"/>
  <c r="N78" i="12"/>
  <c r="N79" i="12"/>
  <c r="N80" i="12"/>
  <c r="N81" i="12"/>
  <c r="N82" i="12"/>
  <c r="N83" i="12"/>
  <c r="N84" i="12"/>
  <c r="N85" i="12"/>
  <c r="N86" i="12"/>
  <c r="N87" i="12"/>
  <c r="N88" i="12"/>
  <c r="N89" i="12"/>
  <c r="N90" i="12"/>
  <c r="N91" i="12"/>
  <c r="N92" i="12"/>
  <c r="N93" i="12"/>
  <c r="N94" i="12"/>
  <c r="N95" i="12"/>
  <c r="N96" i="12"/>
  <c r="N97" i="12"/>
  <c r="N98" i="12"/>
  <c r="N99" i="12"/>
  <c r="N100" i="12"/>
  <c r="N101" i="12"/>
  <c r="N102" i="12"/>
  <c r="N103" i="12"/>
  <c r="N104" i="12"/>
  <c r="N105" i="12"/>
  <c r="N106" i="12"/>
  <c r="N107" i="12"/>
  <c r="N108" i="12"/>
  <c r="N109" i="12"/>
  <c r="N110" i="12"/>
  <c r="N111" i="12"/>
  <c r="N112" i="12"/>
  <c r="N113" i="12"/>
  <c r="N114" i="12"/>
  <c r="N115" i="12"/>
  <c r="N116" i="12"/>
  <c r="N117" i="12"/>
  <c r="N118" i="12"/>
  <c r="N119" i="12"/>
  <c r="N120" i="12"/>
  <c r="N121" i="12"/>
  <c r="N122" i="12"/>
  <c r="N123" i="12"/>
  <c r="N124" i="12"/>
  <c r="N125" i="12"/>
  <c r="N126" i="12"/>
  <c r="N127" i="12"/>
  <c r="N128" i="12"/>
  <c r="N129" i="12"/>
  <c r="N130" i="12"/>
  <c r="N131" i="12"/>
  <c r="N132" i="12"/>
  <c r="N133" i="12"/>
  <c r="N134" i="12"/>
  <c r="N135" i="12"/>
  <c r="N136" i="12"/>
  <c r="N137" i="12"/>
  <c r="N138" i="12"/>
  <c r="N139" i="12"/>
  <c r="N140" i="12"/>
  <c r="N141" i="12"/>
  <c r="N142" i="12"/>
  <c r="N143" i="12"/>
  <c r="N144" i="12"/>
  <c r="N145" i="12"/>
  <c r="N146" i="12"/>
  <c r="N147" i="12"/>
  <c r="N148" i="12"/>
  <c r="N149" i="12"/>
  <c r="N150" i="12"/>
  <c r="N151" i="12"/>
  <c r="N152" i="12"/>
  <c r="N156" i="12"/>
  <c r="N157" i="12"/>
  <c r="N158" i="12"/>
  <c r="N159" i="12"/>
  <c r="N160" i="12"/>
  <c r="N161" i="12"/>
  <c r="N162" i="12"/>
  <c r="N163" i="12"/>
  <c r="N164" i="12"/>
  <c r="N165" i="12"/>
  <c r="N166" i="12"/>
  <c r="N167" i="12"/>
  <c r="N168" i="12"/>
  <c r="N169" i="12"/>
  <c r="N170" i="12"/>
  <c r="N171" i="12"/>
  <c r="N172" i="12"/>
  <c r="N173" i="12"/>
  <c r="N174" i="12"/>
  <c r="N175" i="12"/>
  <c r="N176" i="12"/>
  <c r="N177" i="12"/>
  <c r="N178" i="12"/>
  <c r="N179" i="12"/>
  <c r="N180" i="12"/>
  <c r="N181" i="12"/>
  <c r="N182" i="12"/>
  <c r="N183" i="12"/>
  <c r="N184" i="12"/>
  <c r="N185" i="12"/>
  <c r="N186" i="12"/>
  <c r="N187" i="12"/>
  <c r="N188" i="12"/>
  <c r="N189" i="12"/>
  <c r="N190" i="12"/>
  <c r="N191" i="12"/>
  <c r="N192" i="12"/>
  <c r="N193" i="12"/>
  <c r="N194" i="12"/>
  <c r="N195" i="12"/>
  <c r="N196" i="12"/>
  <c r="N197" i="12"/>
  <c r="N198" i="12"/>
  <c r="N199" i="12"/>
  <c r="N200" i="12"/>
  <c r="N201" i="12"/>
  <c r="N202" i="12"/>
  <c r="N203" i="12"/>
  <c r="N204" i="12"/>
  <c r="N205" i="12"/>
  <c r="N206" i="12"/>
  <c r="N207" i="12"/>
  <c r="N208" i="12"/>
  <c r="N209" i="12"/>
  <c r="N210" i="12"/>
  <c r="N211" i="12"/>
  <c r="N212" i="12"/>
  <c r="N213" i="12"/>
  <c r="N214" i="12"/>
  <c r="N215" i="12"/>
  <c r="N216" i="12"/>
  <c r="N217" i="12"/>
  <c r="N218" i="12"/>
  <c r="N219" i="12"/>
  <c r="N220" i="12"/>
  <c r="N221" i="12"/>
  <c r="N222" i="12"/>
  <c r="N223" i="12"/>
  <c r="N224" i="12"/>
  <c r="N225" i="12"/>
  <c r="N226" i="12"/>
  <c r="N227" i="12"/>
  <c r="N228" i="12"/>
  <c r="N229" i="12"/>
  <c r="N230" i="12"/>
  <c r="N231" i="12"/>
  <c r="N232" i="12"/>
  <c r="N233" i="12"/>
  <c r="N234" i="12"/>
  <c r="N235" i="12"/>
  <c r="N236" i="12"/>
  <c r="N237" i="12"/>
  <c r="N238" i="12"/>
  <c r="N239" i="12"/>
  <c r="N240" i="12"/>
  <c r="N241" i="12"/>
  <c r="N242" i="12"/>
  <c r="N243" i="12"/>
  <c r="N244" i="12"/>
  <c r="N245" i="12"/>
  <c r="N246" i="12"/>
  <c r="N247" i="12"/>
  <c r="N248" i="12"/>
  <c r="N249" i="12"/>
  <c r="N250" i="12"/>
  <c r="N251" i="12"/>
  <c r="N252" i="12"/>
  <c r="N253" i="12"/>
  <c r="N254" i="12"/>
  <c r="N255" i="12"/>
  <c r="N256" i="12"/>
  <c r="N257" i="12"/>
  <c r="N258" i="12"/>
  <c r="N259" i="12"/>
  <c r="N260" i="12"/>
  <c r="N261" i="12"/>
  <c r="N262" i="12"/>
  <c r="N263" i="12"/>
  <c r="N264" i="12"/>
  <c r="N265" i="12"/>
  <c r="N267" i="12"/>
  <c r="N268" i="12"/>
  <c r="N269" i="12"/>
  <c r="N270" i="12"/>
  <c r="N271" i="12"/>
  <c r="N272" i="12"/>
  <c r="N273" i="12"/>
  <c r="N274" i="12"/>
  <c r="N275" i="12"/>
  <c r="N276" i="12"/>
  <c r="N277" i="12"/>
  <c r="N278" i="12"/>
  <c r="N279" i="12"/>
  <c r="N280" i="12"/>
  <c r="N281" i="12"/>
  <c r="N282" i="12"/>
  <c r="N283" i="12"/>
  <c r="N284" i="12"/>
  <c r="N285" i="12"/>
  <c r="N286" i="12"/>
  <c r="N287" i="12"/>
  <c r="N288" i="12"/>
  <c r="N289" i="12"/>
  <c r="N290" i="12"/>
  <c r="N291" i="12"/>
  <c r="N292" i="12"/>
  <c r="N293" i="12"/>
  <c r="N294" i="12"/>
  <c r="N295" i="12"/>
  <c r="N296" i="12"/>
  <c r="N297" i="12"/>
  <c r="N298" i="12"/>
  <c r="N299" i="12"/>
  <c r="N300" i="12"/>
  <c r="N301" i="12"/>
  <c r="N302" i="12"/>
  <c r="N303" i="12"/>
  <c r="N304" i="12"/>
  <c r="N305" i="12"/>
  <c r="N306" i="12"/>
  <c r="N307" i="12"/>
  <c r="N308" i="12"/>
  <c r="N309" i="12"/>
  <c r="N310" i="12"/>
  <c r="N311" i="12"/>
  <c r="N312" i="12"/>
  <c r="N313" i="12"/>
  <c r="N314" i="12"/>
  <c r="N315" i="12"/>
  <c r="N316" i="12"/>
  <c r="N317" i="12"/>
  <c r="N318" i="12"/>
  <c r="N319" i="12"/>
  <c r="N320" i="12"/>
  <c r="N321" i="12"/>
  <c r="N322" i="12"/>
  <c r="N323" i="12"/>
  <c r="N324" i="12"/>
  <c r="N325" i="12"/>
  <c r="N326" i="12"/>
  <c r="N327" i="12"/>
  <c r="N328" i="12"/>
  <c r="N329" i="12"/>
  <c r="N330" i="12"/>
  <c r="N331" i="12"/>
  <c r="N332" i="12"/>
  <c r="N333" i="12"/>
  <c r="N334" i="12"/>
  <c r="N335" i="12"/>
  <c r="N336" i="12"/>
  <c r="N337" i="12"/>
  <c r="N338" i="12"/>
  <c r="N339" i="12"/>
  <c r="N340" i="12"/>
  <c r="N341" i="12"/>
  <c r="N342" i="12"/>
  <c r="N343" i="12"/>
  <c r="N344" i="12"/>
  <c r="N345" i="12"/>
  <c r="N346" i="12"/>
  <c r="N347" i="12"/>
  <c r="N348" i="12"/>
  <c r="N349" i="12"/>
  <c r="N350" i="12"/>
  <c r="N351" i="12"/>
  <c r="N352" i="12"/>
  <c r="N353" i="12"/>
  <c r="N354" i="12"/>
  <c r="N355" i="12"/>
  <c r="N356" i="12"/>
  <c r="N357" i="12"/>
  <c r="N358" i="12"/>
  <c r="N359" i="12"/>
  <c r="N360" i="12"/>
  <c r="N361" i="12"/>
  <c r="N362" i="12"/>
  <c r="N363" i="12"/>
  <c r="N364" i="12"/>
  <c r="N365" i="12"/>
  <c r="N366" i="12"/>
  <c r="N367" i="12"/>
  <c r="N368" i="12"/>
  <c r="N369" i="12"/>
  <c r="N370" i="12"/>
  <c r="N371" i="12"/>
  <c r="N372" i="12"/>
  <c r="N373" i="12"/>
  <c r="N374" i="12"/>
  <c r="N375" i="12"/>
  <c r="N376" i="12"/>
  <c r="N377" i="12"/>
  <c r="N378" i="12"/>
  <c r="N379" i="12"/>
  <c r="N380" i="12"/>
  <c r="N381" i="12"/>
  <c r="N382" i="12"/>
  <c r="N383" i="12"/>
  <c r="N384" i="12"/>
  <c r="N385" i="12"/>
  <c r="N386" i="12"/>
  <c r="N387" i="12"/>
  <c r="N388" i="12"/>
  <c r="N389" i="12"/>
  <c r="N390" i="12"/>
  <c r="N391" i="12"/>
  <c r="N392" i="12"/>
  <c r="N393" i="12"/>
  <c r="N394" i="12"/>
  <c r="N395" i="12"/>
  <c r="N396" i="12"/>
  <c r="N397" i="12"/>
  <c r="N398" i="12"/>
  <c r="N399" i="12"/>
  <c r="N400" i="12"/>
  <c r="N401" i="12"/>
  <c r="N402" i="12"/>
  <c r="N403" i="12"/>
  <c r="N404" i="12"/>
  <c r="N405" i="12"/>
  <c r="N406" i="12"/>
  <c r="N407" i="12"/>
  <c r="N408" i="12"/>
  <c r="N409" i="12"/>
  <c r="N410" i="12"/>
  <c r="N411" i="12"/>
  <c r="N412" i="12"/>
  <c r="N413" i="12"/>
  <c r="N414" i="12"/>
  <c r="N415" i="12"/>
  <c r="N416" i="12"/>
  <c r="N417" i="12"/>
  <c r="N418" i="12"/>
  <c r="N419" i="12"/>
  <c r="N420" i="12"/>
  <c r="N421" i="12"/>
  <c r="N422" i="12"/>
  <c r="N423" i="12"/>
  <c r="N424" i="12"/>
  <c r="N425" i="12"/>
  <c r="N426" i="12"/>
  <c r="N427" i="12"/>
  <c r="N428" i="12"/>
  <c r="N429" i="12"/>
  <c r="N430" i="12"/>
  <c r="N431" i="12"/>
  <c r="N432" i="12"/>
  <c r="N433" i="12"/>
  <c r="N434" i="12"/>
  <c r="N435" i="12"/>
  <c r="N436" i="12"/>
  <c r="N437" i="12"/>
  <c r="N438" i="12"/>
  <c r="N439" i="12"/>
  <c r="N440" i="12"/>
  <c r="N441" i="12"/>
  <c r="N442" i="12"/>
  <c r="N443" i="12"/>
  <c r="N444" i="12"/>
  <c r="N445" i="12"/>
  <c r="N446" i="12"/>
  <c r="N447" i="12"/>
  <c r="N448" i="12"/>
  <c r="N449" i="12"/>
  <c r="N450" i="12"/>
  <c r="N451" i="12"/>
  <c r="N452" i="12"/>
  <c r="N453" i="12"/>
  <c r="N454" i="12"/>
  <c r="N455" i="12"/>
  <c r="N456" i="12"/>
  <c r="N457" i="12"/>
  <c r="N458" i="12"/>
  <c r="N459" i="12"/>
  <c r="N460" i="12"/>
  <c r="N461" i="12"/>
  <c r="N462" i="12"/>
  <c r="N463" i="12"/>
  <c r="N464" i="12"/>
  <c r="N465" i="12"/>
  <c r="N466" i="12"/>
  <c r="N467" i="12"/>
  <c r="N468" i="12"/>
  <c r="N469" i="12"/>
  <c r="N470" i="12"/>
  <c r="N471" i="12"/>
  <c r="N472" i="12"/>
  <c r="N473" i="12"/>
  <c r="N474" i="12"/>
  <c r="N475" i="12"/>
  <c r="N476" i="12"/>
  <c r="N477" i="12"/>
  <c r="N478" i="12"/>
  <c r="N479" i="12"/>
  <c r="N480" i="12"/>
  <c r="N481" i="12"/>
  <c r="N482" i="12"/>
  <c r="N483" i="12"/>
  <c r="N484" i="12"/>
  <c r="N485" i="12"/>
  <c r="N486" i="12"/>
  <c r="N487" i="12"/>
  <c r="N489" i="12"/>
  <c r="N490" i="12"/>
  <c r="N491" i="12"/>
  <c r="N492" i="12"/>
  <c r="C22" i="15"/>
  <c r="C23" i="15"/>
  <c r="C24" i="15"/>
  <c r="C25" i="15"/>
  <c r="C26" i="15"/>
  <c r="C27" i="15"/>
  <c r="C28" i="15"/>
  <c r="C29" i="15"/>
  <c r="C30" i="15"/>
  <c r="C33" i="15"/>
  <c r="C16" i="15"/>
  <c r="C15" i="15"/>
  <c r="C14" i="15"/>
  <c r="C13" i="15"/>
  <c r="L592" i="8"/>
  <c r="L554" i="8"/>
  <c r="L670" i="8"/>
  <c r="L671" i="8"/>
  <c r="L668" i="8"/>
  <c r="L660" i="8"/>
  <c r="L661" i="8"/>
  <c r="L662" i="8"/>
  <c r="L663" i="8"/>
  <c r="L664" i="8"/>
  <c r="L658" i="8"/>
  <c r="L655" i="8"/>
  <c r="L653" i="8"/>
  <c r="L650" i="8"/>
  <c r="L647" i="8"/>
  <c r="L643" i="8"/>
  <c r="L639" i="8"/>
  <c r="L640" i="8"/>
  <c r="L629" i="8"/>
  <c r="L630" i="8"/>
  <c r="L631" i="8"/>
  <c r="L632" i="8"/>
  <c r="L633" i="8"/>
  <c r="L634" i="8"/>
  <c r="L622" i="8"/>
  <c r="L623" i="8"/>
  <c r="L624" i="8"/>
  <c r="L625" i="8"/>
  <c r="L626" i="8"/>
  <c r="L627" i="8"/>
  <c r="L595" i="8"/>
  <c r="L596" i="8"/>
  <c r="L597" i="8"/>
  <c r="L598" i="8"/>
  <c r="L599" i="8"/>
  <c r="L600" i="8"/>
  <c r="L601" i="8"/>
  <c r="L602" i="8"/>
  <c r="L603" i="8"/>
  <c r="L604" i="8"/>
  <c r="L605" i="8"/>
  <c r="L606" i="8"/>
  <c r="L607" i="8"/>
  <c r="L608" i="8"/>
  <c r="L609" i="8"/>
  <c r="L610" i="8"/>
  <c r="L611" i="8"/>
  <c r="L612" i="8"/>
  <c r="L613" i="8"/>
  <c r="L614" i="8"/>
  <c r="L615" i="8"/>
  <c r="L616" i="8"/>
  <c r="L617" i="8"/>
  <c r="L618" i="8"/>
  <c r="L619" i="8"/>
  <c r="L620" i="8"/>
  <c r="L588" i="8"/>
  <c r="L589" i="8"/>
  <c r="L590" i="8"/>
  <c r="L591" i="8"/>
  <c r="L593" i="8"/>
  <c r="L583" i="8"/>
  <c r="L584" i="8"/>
  <c r="L585" i="8"/>
  <c r="L586" i="8"/>
  <c r="L568" i="8"/>
  <c r="L569" i="8"/>
  <c r="L570" i="8"/>
  <c r="L571" i="8"/>
  <c r="L572" i="8"/>
  <c r="L573" i="8"/>
  <c r="L574" i="8"/>
  <c r="L575" i="8"/>
  <c r="L576" i="8"/>
  <c r="L577" i="8"/>
  <c r="L578" i="8"/>
  <c r="L579" i="8"/>
  <c r="L580" i="8"/>
  <c r="L581" i="8"/>
  <c r="L560" i="8"/>
  <c r="L561" i="8"/>
  <c r="L562" i="8"/>
  <c r="L563" i="8"/>
  <c r="L564" i="8"/>
  <c r="L558" i="8"/>
  <c r="L549" i="8"/>
  <c r="L550" i="8"/>
  <c r="L551" i="8"/>
  <c r="L552" i="8"/>
  <c r="L553" i="8"/>
  <c r="L555" i="8"/>
  <c r="L547" i="8"/>
  <c r="P660" i="8"/>
  <c r="P643" i="8"/>
  <c r="P622" i="8"/>
  <c r="P625" i="8"/>
  <c r="P599" i="8"/>
  <c r="P601" i="8"/>
  <c r="P617" i="8"/>
  <c r="P620" i="8"/>
  <c r="P570" i="8"/>
  <c r="P572" i="8"/>
  <c r="P558" i="8"/>
  <c r="P553" i="8"/>
  <c r="E22" i="17"/>
  <c r="D22" i="17"/>
  <c r="C22" i="17"/>
  <c r="E21" i="17"/>
  <c r="D21" i="17"/>
  <c r="C21" i="17"/>
  <c r="E20" i="17"/>
  <c r="D20" i="17"/>
  <c r="C20" i="17"/>
  <c r="E19" i="17"/>
  <c r="D19" i="17"/>
  <c r="C19" i="17"/>
  <c r="E18" i="17"/>
  <c r="D18" i="17"/>
  <c r="C18" i="17"/>
  <c r="E17" i="17"/>
  <c r="F17" i="17" s="1"/>
  <c r="D17" i="17"/>
  <c r="C17" i="17"/>
  <c r="E16" i="17"/>
  <c r="D16" i="17"/>
  <c r="C16" i="17"/>
  <c r="E15" i="17"/>
  <c r="D15" i="17"/>
  <c r="C15" i="17"/>
  <c r="E14" i="17"/>
  <c r="D14" i="17"/>
  <c r="C14" i="17"/>
  <c r="E13" i="17"/>
  <c r="D13" i="17"/>
  <c r="C13" i="17"/>
  <c r="E12" i="17"/>
  <c r="D12" i="17"/>
  <c r="C12" i="17"/>
  <c r="E11" i="17"/>
  <c r="D11" i="17"/>
  <c r="C11" i="17"/>
  <c r="E10" i="17"/>
  <c r="D10" i="17"/>
  <c r="C10" i="17"/>
  <c r="E9" i="17"/>
  <c r="F9" i="17" s="1"/>
  <c r="D9" i="17"/>
  <c r="C9" i="17"/>
  <c r="E8" i="17"/>
  <c r="D8" i="17"/>
  <c r="C8" i="17"/>
  <c r="E7" i="17"/>
  <c r="D7" i="17"/>
  <c r="C7" i="17"/>
  <c r="E6" i="17"/>
  <c r="D6" i="17"/>
  <c r="C6" i="17"/>
  <c r="E5" i="17"/>
  <c r="D5" i="17"/>
  <c r="C5" i="17"/>
  <c r="E4" i="17"/>
  <c r="D4" i="17"/>
  <c r="C4" i="17"/>
  <c r="E3" i="17"/>
  <c r="D3" i="17"/>
  <c r="C3" i="17"/>
  <c r="E2" i="17"/>
  <c r="D2" i="17"/>
  <c r="C2" i="17"/>
  <c r="E1" i="17"/>
  <c r="F1" i="17" s="1"/>
  <c r="D1" i="17"/>
  <c r="C1" i="17"/>
  <c r="O547" i="8"/>
  <c r="P547" i="8" s="1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113" i="8"/>
  <c r="C114" i="8"/>
  <c r="C115" i="8"/>
  <c r="C116" i="8"/>
  <c r="C117" i="8"/>
  <c r="C118" i="8"/>
  <c r="C119" i="8"/>
  <c r="C120" i="8"/>
  <c r="C121" i="8"/>
  <c r="C122" i="8"/>
  <c r="C123" i="8"/>
  <c r="C124" i="8"/>
  <c r="C125" i="8"/>
  <c r="C126" i="8"/>
  <c r="C127" i="8"/>
  <c r="C128" i="8"/>
  <c r="C129" i="8"/>
  <c r="C130" i="8"/>
  <c r="C131" i="8"/>
  <c r="C132" i="8"/>
  <c r="C133" i="8"/>
  <c r="C134" i="8"/>
  <c r="C135" i="8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49" i="8"/>
  <c r="C150" i="8"/>
  <c r="C151" i="8"/>
  <c r="C152" i="8"/>
  <c r="C153" i="8"/>
  <c r="C154" i="8"/>
  <c r="C155" i="8"/>
  <c r="C156" i="8"/>
  <c r="C157" i="8"/>
  <c r="C158" i="8"/>
  <c r="C159" i="8"/>
  <c r="C160" i="8"/>
  <c r="C161" i="8"/>
  <c r="C162" i="8"/>
  <c r="C163" i="8"/>
  <c r="C164" i="8"/>
  <c r="C165" i="8"/>
  <c r="C166" i="8"/>
  <c r="C167" i="8"/>
  <c r="C168" i="8"/>
  <c r="C169" i="8"/>
  <c r="C170" i="8"/>
  <c r="C171" i="8"/>
  <c r="C172" i="8"/>
  <c r="C173" i="8"/>
  <c r="C174" i="8"/>
  <c r="C175" i="8"/>
  <c r="C176" i="8"/>
  <c r="C177" i="8"/>
  <c r="C178" i="8"/>
  <c r="C179" i="8"/>
  <c r="C180" i="8"/>
  <c r="C181" i="8"/>
  <c r="C182" i="8"/>
  <c r="C183" i="8"/>
  <c r="C184" i="8"/>
  <c r="C185" i="8"/>
  <c r="C186" i="8"/>
  <c r="C187" i="8"/>
  <c r="C188" i="8"/>
  <c r="C189" i="8"/>
  <c r="C190" i="8"/>
  <c r="C191" i="8"/>
  <c r="C192" i="8"/>
  <c r="C193" i="8"/>
  <c r="C194" i="8"/>
  <c r="C195" i="8"/>
  <c r="C196" i="8"/>
  <c r="C197" i="8"/>
  <c r="C198" i="8"/>
  <c r="C199" i="8"/>
  <c r="C200" i="8"/>
  <c r="C201" i="8"/>
  <c r="C202" i="8"/>
  <c r="C203" i="8"/>
  <c r="C204" i="8"/>
  <c r="C205" i="8"/>
  <c r="C206" i="8"/>
  <c r="C207" i="8"/>
  <c r="C208" i="8"/>
  <c r="C209" i="8"/>
  <c r="C210" i="8"/>
  <c r="C211" i="8"/>
  <c r="C212" i="8"/>
  <c r="C213" i="8"/>
  <c r="C214" i="8"/>
  <c r="C215" i="8"/>
  <c r="C216" i="8"/>
  <c r="C217" i="8"/>
  <c r="C218" i="8"/>
  <c r="C219" i="8"/>
  <c r="C220" i="8"/>
  <c r="C221" i="8"/>
  <c r="C222" i="8"/>
  <c r="C223" i="8"/>
  <c r="C224" i="8"/>
  <c r="C225" i="8"/>
  <c r="C226" i="8"/>
  <c r="C227" i="8"/>
  <c r="C228" i="8"/>
  <c r="C229" i="8"/>
  <c r="C230" i="8"/>
  <c r="C231" i="8"/>
  <c r="C232" i="8"/>
  <c r="C233" i="8"/>
  <c r="C234" i="8"/>
  <c r="C235" i="8"/>
  <c r="C236" i="8"/>
  <c r="C237" i="8"/>
  <c r="C238" i="8"/>
  <c r="C239" i="8"/>
  <c r="C240" i="8"/>
  <c r="C241" i="8"/>
  <c r="C242" i="8"/>
  <c r="C243" i="8"/>
  <c r="C244" i="8"/>
  <c r="C245" i="8"/>
  <c r="C246" i="8"/>
  <c r="C247" i="8"/>
  <c r="C248" i="8"/>
  <c r="C249" i="8"/>
  <c r="C250" i="8"/>
  <c r="C251" i="8"/>
  <c r="C252" i="8"/>
  <c r="C253" i="8"/>
  <c r="C254" i="8"/>
  <c r="C255" i="8"/>
  <c r="C256" i="8"/>
  <c r="C257" i="8"/>
  <c r="C258" i="8"/>
  <c r="C259" i="8"/>
  <c r="C260" i="8"/>
  <c r="C261" i="8"/>
  <c r="C262" i="8"/>
  <c r="C263" i="8"/>
  <c r="C264" i="8"/>
  <c r="C265" i="8"/>
  <c r="C266" i="8"/>
  <c r="C267" i="8"/>
  <c r="C268" i="8"/>
  <c r="C269" i="8"/>
  <c r="C270" i="8"/>
  <c r="C271" i="8"/>
  <c r="C272" i="8"/>
  <c r="C273" i="8"/>
  <c r="C274" i="8"/>
  <c r="C275" i="8"/>
  <c r="C276" i="8"/>
  <c r="C277" i="8"/>
  <c r="C278" i="8"/>
  <c r="C279" i="8"/>
  <c r="C280" i="8"/>
  <c r="C281" i="8"/>
  <c r="C282" i="8"/>
  <c r="C283" i="8"/>
  <c r="C284" i="8"/>
  <c r="C285" i="8"/>
  <c r="C286" i="8"/>
  <c r="C287" i="8"/>
  <c r="C288" i="8"/>
  <c r="C289" i="8"/>
  <c r="C290" i="8"/>
  <c r="C291" i="8"/>
  <c r="C292" i="8"/>
  <c r="C293" i="8"/>
  <c r="C294" i="8"/>
  <c r="C295" i="8"/>
  <c r="C296" i="8"/>
  <c r="C297" i="8"/>
  <c r="C298" i="8"/>
  <c r="C299" i="8"/>
  <c r="C300" i="8"/>
  <c r="C301" i="8"/>
  <c r="C302" i="8"/>
  <c r="C303" i="8"/>
  <c r="C304" i="8"/>
  <c r="C305" i="8"/>
  <c r="C306" i="8"/>
  <c r="C307" i="8"/>
  <c r="C308" i="8"/>
  <c r="C309" i="8"/>
  <c r="C310" i="8"/>
  <c r="C311" i="8"/>
  <c r="C312" i="8"/>
  <c r="C313" i="8"/>
  <c r="C314" i="8"/>
  <c r="C315" i="8"/>
  <c r="C316" i="8"/>
  <c r="C317" i="8"/>
  <c r="C318" i="8"/>
  <c r="C319" i="8"/>
  <c r="C320" i="8"/>
  <c r="C321" i="8"/>
  <c r="C322" i="8"/>
  <c r="C323" i="8"/>
  <c r="C324" i="8"/>
  <c r="C325" i="8"/>
  <c r="C326" i="8"/>
  <c r="C327" i="8"/>
  <c r="C328" i="8"/>
  <c r="C329" i="8"/>
  <c r="C330" i="8"/>
  <c r="C331" i="8"/>
  <c r="C332" i="8"/>
  <c r="C333" i="8"/>
  <c r="C334" i="8"/>
  <c r="C335" i="8"/>
  <c r="C336" i="8"/>
  <c r="C337" i="8"/>
  <c r="C338" i="8"/>
  <c r="C339" i="8"/>
  <c r="C340" i="8"/>
  <c r="C341" i="8"/>
  <c r="C342" i="8"/>
  <c r="C343" i="8"/>
  <c r="C344" i="8"/>
  <c r="C345" i="8"/>
  <c r="C346" i="8"/>
  <c r="C347" i="8"/>
  <c r="C348" i="8"/>
  <c r="C349" i="8"/>
  <c r="C350" i="8"/>
  <c r="C351" i="8"/>
  <c r="C352" i="8"/>
  <c r="C353" i="8"/>
  <c r="C354" i="8"/>
  <c r="C355" i="8"/>
  <c r="C356" i="8"/>
  <c r="C357" i="8"/>
  <c r="C358" i="8"/>
  <c r="C359" i="8"/>
  <c r="C360" i="8"/>
  <c r="C361" i="8"/>
  <c r="C362" i="8"/>
  <c r="C363" i="8"/>
  <c r="C364" i="8"/>
  <c r="C365" i="8"/>
  <c r="C366" i="8"/>
  <c r="C367" i="8"/>
  <c r="C368" i="8"/>
  <c r="C369" i="8"/>
  <c r="C370" i="8"/>
  <c r="C371" i="8"/>
  <c r="C372" i="8"/>
  <c r="C373" i="8"/>
  <c r="C374" i="8"/>
  <c r="C375" i="8"/>
  <c r="C376" i="8"/>
  <c r="C377" i="8"/>
  <c r="C378" i="8"/>
  <c r="C379" i="8"/>
  <c r="C380" i="8"/>
  <c r="C381" i="8"/>
  <c r="C382" i="8"/>
  <c r="C383" i="8"/>
  <c r="C384" i="8"/>
  <c r="C385" i="8"/>
  <c r="C386" i="8"/>
  <c r="C387" i="8"/>
  <c r="C388" i="8"/>
  <c r="C389" i="8"/>
  <c r="C390" i="8"/>
  <c r="C391" i="8"/>
  <c r="C392" i="8"/>
  <c r="C393" i="8"/>
  <c r="C394" i="8"/>
  <c r="C395" i="8"/>
  <c r="C396" i="8"/>
  <c r="C397" i="8"/>
  <c r="C398" i="8"/>
  <c r="C399" i="8"/>
  <c r="C400" i="8"/>
  <c r="C401" i="8"/>
  <c r="C402" i="8"/>
  <c r="C403" i="8"/>
  <c r="C404" i="8"/>
  <c r="C405" i="8"/>
  <c r="C406" i="8"/>
  <c r="C407" i="8"/>
  <c r="C408" i="8"/>
  <c r="C409" i="8"/>
  <c r="C410" i="8"/>
  <c r="C411" i="8"/>
  <c r="C412" i="8"/>
  <c r="C413" i="8"/>
  <c r="C414" i="8"/>
  <c r="C415" i="8"/>
  <c r="C416" i="8"/>
  <c r="C417" i="8"/>
  <c r="C418" i="8"/>
  <c r="C419" i="8"/>
  <c r="C420" i="8"/>
  <c r="C421" i="8"/>
  <c r="C422" i="8"/>
  <c r="C423" i="8"/>
  <c r="C424" i="8"/>
  <c r="C425" i="8"/>
  <c r="C426" i="8"/>
  <c r="C427" i="8"/>
  <c r="C428" i="8"/>
  <c r="C429" i="8"/>
  <c r="C430" i="8"/>
  <c r="C431" i="8"/>
  <c r="C432" i="8"/>
  <c r="C433" i="8"/>
  <c r="C434" i="8"/>
  <c r="C435" i="8"/>
  <c r="C436" i="8"/>
  <c r="C437" i="8"/>
  <c r="C438" i="8"/>
  <c r="C439" i="8"/>
  <c r="C440" i="8"/>
  <c r="C441" i="8"/>
  <c r="C442" i="8"/>
  <c r="C443" i="8"/>
  <c r="C444" i="8"/>
  <c r="C445" i="8"/>
  <c r="C446" i="8"/>
  <c r="C447" i="8"/>
  <c r="C448" i="8"/>
  <c r="C449" i="8"/>
  <c r="C450" i="8"/>
  <c r="C451" i="8"/>
  <c r="C452" i="8"/>
  <c r="C453" i="8"/>
  <c r="C454" i="8"/>
  <c r="C455" i="8"/>
  <c r="C456" i="8"/>
  <c r="C457" i="8"/>
  <c r="C458" i="8"/>
  <c r="C459" i="8"/>
  <c r="C460" i="8"/>
  <c r="C461" i="8"/>
  <c r="C462" i="8"/>
  <c r="C463" i="8"/>
  <c r="C464" i="8"/>
  <c r="C465" i="8"/>
  <c r="C466" i="8"/>
  <c r="C467" i="8"/>
  <c r="C468" i="8"/>
  <c r="C469" i="8"/>
  <c r="C470" i="8"/>
  <c r="C471" i="8"/>
  <c r="C472" i="8"/>
  <c r="C473" i="8"/>
  <c r="C474" i="8"/>
  <c r="C475" i="8"/>
  <c r="C476" i="8"/>
  <c r="C477" i="8"/>
  <c r="C478" i="8"/>
  <c r="C479" i="8"/>
  <c r="C480" i="8"/>
  <c r="C481" i="8"/>
  <c r="C482" i="8"/>
  <c r="C483" i="8"/>
  <c r="C484" i="8"/>
  <c r="C485" i="8"/>
  <c r="C486" i="8"/>
  <c r="C487" i="8"/>
  <c r="C488" i="8"/>
  <c r="C489" i="8"/>
  <c r="C490" i="8"/>
  <c r="C491" i="8"/>
  <c r="C492" i="8"/>
  <c r="C493" i="8"/>
  <c r="C494" i="8"/>
  <c r="C495" i="8"/>
  <c r="C496" i="8"/>
  <c r="C497" i="8"/>
  <c r="C498" i="8"/>
  <c r="C499" i="8"/>
  <c r="C500" i="8"/>
  <c r="C501" i="8"/>
  <c r="C502" i="8"/>
  <c r="C503" i="8"/>
  <c r="C504" i="8"/>
  <c r="C505" i="8"/>
  <c r="C506" i="8"/>
  <c r="C507" i="8"/>
  <c r="C508" i="8"/>
  <c r="C509" i="8"/>
  <c r="C510" i="8"/>
  <c r="C511" i="8"/>
  <c r="C512" i="8"/>
  <c r="C513" i="8"/>
  <c r="C514" i="8"/>
  <c r="C515" i="8"/>
  <c r="C516" i="8"/>
  <c r="C517" i="8"/>
  <c r="C518" i="8"/>
  <c r="C519" i="8"/>
  <c r="C520" i="8"/>
  <c r="C521" i="8"/>
  <c r="C522" i="8"/>
  <c r="C523" i="8"/>
  <c r="C524" i="8"/>
  <c r="C525" i="8"/>
  <c r="C526" i="8"/>
  <c r="C527" i="8"/>
  <c r="C528" i="8"/>
  <c r="C529" i="8"/>
  <c r="C530" i="8"/>
  <c r="C531" i="8"/>
  <c r="C532" i="8"/>
  <c r="C533" i="8"/>
  <c r="C534" i="8"/>
  <c r="C535" i="8"/>
  <c r="C536" i="8"/>
  <c r="C537" i="8"/>
  <c r="C538" i="8"/>
  <c r="C539" i="8"/>
  <c r="C540" i="8"/>
  <c r="C541" i="8"/>
  <c r="C542" i="8"/>
  <c r="C543" i="8"/>
  <c r="C544" i="8"/>
  <c r="C545" i="8"/>
  <c r="C546" i="8"/>
  <c r="C547" i="8"/>
  <c r="C548" i="8"/>
  <c r="C549" i="8"/>
  <c r="C550" i="8"/>
  <c r="C551" i="8"/>
  <c r="C552" i="8"/>
  <c r="C553" i="8"/>
  <c r="C554" i="8"/>
  <c r="C555" i="8"/>
  <c r="C556" i="8"/>
  <c r="C557" i="8"/>
  <c r="C558" i="8"/>
  <c r="C559" i="8"/>
  <c r="C560" i="8"/>
  <c r="C561" i="8"/>
  <c r="C562" i="8"/>
  <c r="C563" i="8"/>
  <c r="C564" i="8"/>
  <c r="C565" i="8"/>
  <c r="C566" i="8"/>
  <c r="C567" i="8"/>
  <c r="C568" i="8"/>
  <c r="C569" i="8"/>
  <c r="C570" i="8"/>
  <c r="C571" i="8"/>
  <c r="C572" i="8"/>
  <c r="C573" i="8"/>
  <c r="C574" i="8"/>
  <c r="C575" i="8"/>
  <c r="C576" i="8"/>
  <c r="C577" i="8"/>
  <c r="C578" i="8"/>
  <c r="C579" i="8"/>
  <c r="C580" i="8"/>
  <c r="C581" i="8"/>
  <c r="C582" i="8"/>
  <c r="C583" i="8"/>
  <c r="C584" i="8"/>
  <c r="C585" i="8"/>
  <c r="C586" i="8"/>
  <c r="C587" i="8"/>
  <c r="C588" i="8"/>
  <c r="C589" i="8"/>
  <c r="C590" i="8"/>
  <c r="C591" i="8"/>
  <c r="C592" i="8"/>
  <c r="C593" i="8"/>
  <c r="C594" i="8"/>
  <c r="C595" i="8"/>
  <c r="C596" i="8"/>
  <c r="C597" i="8"/>
  <c r="C598" i="8"/>
  <c r="C599" i="8"/>
  <c r="C600" i="8"/>
  <c r="C601" i="8"/>
  <c r="C602" i="8"/>
  <c r="C603" i="8"/>
  <c r="C604" i="8"/>
  <c r="C605" i="8"/>
  <c r="C606" i="8"/>
  <c r="C607" i="8"/>
  <c r="C608" i="8"/>
  <c r="C609" i="8"/>
  <c r="C610" i="8"/>
  <c r="C611" i="8"/>
  <c r="C612" i="8"/>
  <c r="C613" i="8"/>
  <c r="C614" i="8"/>
  <c r="C615" i="8"/>
  <c r="C616" i="8"/>
  <c r="C617" i="8"/>
  <c r="C618" i="8"/>
  <c r="C619" i="8"/>
  <c r="C620" i="8"/>
  <c r="C621" i="8"/>
  <c r="C622" i="8"/>
  <c r="C623" i="8"/>
  <c r="C624" i="8"/>
  <c r="C625" i="8"/>
  <c r="C626" i="8"/>
  <c r="C627" i="8"/>
  <c r="C628" i="8"/>
  <c r="C629" i="8"/>
  <c r="C630" i="8"/>
  <c r="C631" i="8"/>
  <c r="C632" i="8"/>
  <c r="C633" i="8"/>
  <c r="C634" i="8"/>
  <c r="C635" i="8"/>
  <c r="C636" i="8"/>
  <c r="C637" i="8"/>
  <c r="C638" i="8"/>
  <c r="C639" i="8"/>
  <c r="C640" i="8"/>
  <c r="C641" i="8"/>
  <c r="C642" i="8"/>
  <c r="C643" i="8"/>
  <c r="C644" i="8"/>
  <c r="C645" i="8"/>
  <c r="C646" i="8"/>
  <c r="C647" i="8"/>
  <c r="C648" i="8"/>
  <c r="C649" i="8"/>
  <c r="C650" i="8"/>
  <c r="C651" i="8"/>
  <c r="C652" i="8"/>
  <c r="C653" i="8"/>
  <c r="C654" i="8"/>
  <c r="C655" i="8"/>
  <c r="C656" i="8"/>
  <c r="C657" i="8"/>
  <c r="C658" i="8"/>
  <c r="C659" i="8"/>
  <c r="C660" i="8"/>
  <c r="C661" i="8"/>
  <c r="C662" i="8"/>
  <c r="C663" i="8"/>
  <c r="C664" i="8"/>
  <c r="C665" i="8"/>
  <c r="C666" i="8"/>
  <c r="C667" i="8"/>
  <c r="C668" i="8"/>
  <c r="C669" i="8"/>
  <c r="C670" i="8"/>
  <c r="C671" i="8"/>
  <c r="C672" i="8"/>
  <c r="C673" i="8"/>
  <c r="C674" i="8"/>
  <c r="C675" i="8"/>
  <c r="C676" i="8"/>
  <c r="C677" i="8"/>
  <c r="C678" i="8"/>
  <c r="C679" i="8"/>
  <c r="C680" i="8"/>
  <c r="C681" i="8"/>
  <c r="C682" i="8"/>
  <c r="C683" i="8"/>
  <c r="C684" i="8"/>
  <c r="C685" i="8"/>
  <c r="C686" i="8"/>
  <c r="C687" i="8"/>
  <c r="C688" i="8"/>
  <c r="C689" i="8"/>
  <c r="C690" i="8"/>
  <c r="C691" i="8"/>
  <c r="C692" i="8"/>
  <c r="C693" i="8"/>
  <c r="C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D57" i="8"/>
  <c r="D58" i="8"/>
  <c r="D59" i="8"/>
  <c r="D60" i="8"/>
  <c r="D61" i="8"/>
  <c r="D62" i="8"/>
  <c r="D63" i="8"/>
  <c r="D64" i="8"/>
  <c r="D65" i="8"/>
  <c r="D66" i="8"/>
  <c r="D67" i="8"/>
  <c r="D68" i="8"/>
  <c r="D69" i="8"/>
  <c r="D70" i="8"/>
  <c r="D71" i="8"/>
  <c r="D72" i="8"/>
  <c r="D73" i="8"/>
  <c r="D74" i="8"/>
  <c r="D75" i="8"/>
  <c r="D76" i="8"/>
  <c r="D77" i="8"/>
  <c r="D78" i="8"/>
  <c r="D79" i="8"/>
  <c r="D80" i="8"/>
  <c r="D81" i="8"/>
  <c r="D82" i="8"/>
  <c r="D83" i="8"/>
  <c r="D84" i="8"/>
  <c r="D85" i="8"/>
  <c r="D86" i="8"/>
  <c r="D87" i="8"/>
  <c r="D88" i="8"/>
  <c r="D89" i="8"/>
  <c r="D90" i="8"/>
  <c r="D91" i="8"/>
  <c r="D92" i="8"/>
  <c r="D93" i="8"/>
  <c r="D94" i="8"/>
  <c r="D95" i="8"/>
  <c r="D96" i="8"/>
  <c r="D97" i="8"/>
  <c r="D98" i="8"/>
  <c r="D99" i="8"/>
  <c r="D100" i="8"/>
  <c r="D101" i="8"/>
  <c r="D102" i="8"/>
  <c r="D103" i="8"/>
  <c r="D104" i="8"/>
  <c r="D105" i="8"/>
  <c r="D106" i="8"/>
  <c r="D107" i="8"/>
  <c r="D108" i="8"/>
  <c r="D109" i="8"/>
  <c r="D110" i="8"/>
  <c r="D111" i="8"/>
  <c r="D112" i="8"/>
  <c r="D113" i="8"/>
  <c r="D114" i="8"/>
  <c r="D115" i="8"/>
  <c r="D116" i="8"/>
  <c r="D117" i="8"/>
  <c r="D118" i="8"/>
  <c r="D119" i="8"/>
  <c r="D120" i="8"/>
  <c r="D121" i="8"/>
  <c r="D122" i="8"/>
  <c r="D123" i="8"/>
  <c r="D124" i="8"/>
  <c r="D125" i="8"/>
  <c r="D126" i="8"/>
  <c r="D127" i="8"/>
  <c r="D128" i="8"/>
  <c r="D129" i="8"/>
  <c r="D130" i="8"/>
  <c r="D131" i="8"/>
  <c r="D132" i="8"/>
  <c r="D133" i="8"/>
  <c r="D134" i="8"/>
  <c r="D135" i="8"/>
  <c r="D136" i="8"/>
  <c r="D137" i="8"/>
  <c r="D138" i="8"/>
  <c r="D139" i="8"/>
  <c r="D140" i="8"/>
  <c r="D141" i="8"/>
  <c r="D142" i="8"/>
  <c r="D143" i="8"/>
  <c r="D144" i="8"/>
  <c r="D145" i="8"/>
  <c r="D146" i="8"/>
  <c r="D147" i="8"/>
  <c r="D148" i="8"/>
  <c r="D149" i="8"/>
  <c r="D150" i="8"/>
  <c r="D151" i="8"/>
  <c r="D152" i="8"/>
  <c r="D153" i="8"/>
  <c r="D154" i="8"/>
  <c r="D155" i="8"/>
  <c r="D156" i="8"/>
  <c r="D157" i="8"/>
  <c r="D158" i="8"/>
  <c r="D159" i="8"/>
  <c r="D160" i="8"/>
  <c r="D161" i="8"/>
  <c r="D162" i="8"/>
  <c r="D163" i="8"/>
  <c r="D164" i="8"/>
  <c r="D165" i="8"/>
  <c r="D166" i="8"/>
  <c r="D167" i="8"/>
  <c r="D168" i="8"/>
  <c r="D169" i="8"/>
  <c r="D170" i="8"/>
  <c r="D171" i="8"/>
  <c r="D172" i="8"/>
  <c r="D173" i="8"/>
  <c r="D174" i="8"/>
  <c r="D175" i="8"/>
  <c r="D176" i="8"/>
  <c r="D177" i="8"/>
  <c r="D178" i="8"/>
  <c r="D179" i="8"/>
  <c r="D180" i="8"/>
  <c r="D181" i="8"/>
  <c r="D182" i="8"/>
  <c r="D183" i="8"/>
  <c r="D184" i="8"/>
  <c r="D185" i="8"/>
  <c r="D186" i="8"/>
  <c r="D187" i="8"/>
  <c r="D188" i="8"/>
  <c r="D189" i="8"/>
  <c r="D190" i="8"/>
  <c r="D191" i="8"/>
  <c r="D192" i="8"/>
  <c r="D193" i="8"/>
  <c r="D194" i="8"/>
  <c r="D195" i="8"/>
  <c r="D196" i="8"/>
  <c r="D197" i="8"/>
  <c r="D198" i="8"/>
  <c r="D199" i="8"/>
  <c r="D200" i="8"/>
  <c r="D201" i="8"/>
  <c r="D202" i="8"/>
  <c r="D203" i="8"/>
  <c r="D204" i="8"/>
  <c r="D205" i="8"/>
  <c r="D206" i="8"/>
  <c r="D207" i="8"/>
  <c r="D208" i="8"/>
  <c r="D209" i="8"/>
  <c r="D210" i="8"/>
  <c r="D211" i="8"/>
  <c r="D212" i="8"/>
  <c r="D213" i="8"/>
  <c r="D214" i="8"/>
  <c r="D215" i="8"/>
  <c r="D216" i="8"/>
  <c r="D217" i="8"/>
  <c r="D218" i="8"/>
  <c r="D219" i="8"/>
  <c r="D220" i="8"/>
  <c r="D221" i="8"/>
  <c r="D222" i="8"/>
  <c r="D223" i="8"/>
  <c r="D224" i="8"/>
  <c r="D225" i="8"/>
  <c r="D226" i="8"/>
  <c r="D227" i="8"/>
  <c r="D228" i="8"/>
  <c r="D229" i="8"/>
  <c r="D230" i="8"/>
  <c r="D231" i="8"/>
  <c r="D232" i="8"/>
  <c r="D233" i="8"/>
  <c r="D234" i="8"/>
  <c r="D235" i="8"/>
  <c r="D236" i="8"/>
  <c r="D237" i="8"/>
  <c r="D238" i="8"/>
  <c r="D239" i="8"/>
  <c r="D240" i="8"/>
  <c r="D241" i="8"/>
  <c r="D242" i="8"/>
  <c r="D243" i="8"/>
  <c r="D244" i="8"/>
  <c r="D245" i="8"/>
  <c r="D246" i="8"/>
  <c r="D247" i="8"/>
  <c r="D248" i="8"/>
  <c r="D249" i="8"/>
  <c r="D250" i="8"/>
  <c r="D251" i="8"/>
  <c r="D252" i="8"/>
  <c r="D253" i="8"/>
  <c r="D254" i="8"/>
  <c r="D255" i="8"/>
  <c r="D256" i="8"/>
  <c r="D257" i="8"/>
  <c r="D258" i="8"/>
  <c r="D259" i="8"/>
  <c r="D260" i="8"/>
  <c r="D261" i="8"/>
  <c r="D262" i="8"/>
  <c r="D263" i="8"/>
  <c r="D264" i="8"/>
  <c r="D265" i="8"/>
  <c r="D266" i="8"/>
  <c r="D267" i="8"/>
  <c r="D268" i="8"/>
  <c r="D269" i="8"/>
  <c r="D270" i="8"/>
  <c r="D271" i="8"/>
  <c r="D272" i="8"/>
  <c r="D273" i="8"/>
  <c r="D274" i="8"/>
  <c r="D275" i="8"/>
  <c r="D276" i="8"/>
  <c r="D277" i="8"/>
  <c r="D278" i="8"/>
  <c r="D279" i="8"/>
  <c r="D280" i="8"/>
  <c r="D281" i="8"/>
  <c r="D282" i="8"/>
  <c r="D283" i="8"/>
  <c r="D284" i="8"/>
  <c r="D285" i="8"/>
  <c r="D286" i="8"/>
  <c r="D287" i="8"/>
  <c r="D288" i="8"/>
  <c r="D289" i="8"/>
  <c r="D290" i="8"/>
  <c r="D291" i="8"/>
  <c r="D292" i="8"/>
  <c r="D293" i="8"/>
  <c r="D294" i="8"/>
  <c r="D295" i="8"/>
  <c r="D296" i="8"/>
  <c r="D297" i="8"/>
  <c r="D298" i="8"/>
  <c r="D299" i="8"/>
  <c r="D300" i="8"/>
  <c r="D301" i="8"/>
  <c r="D302" i="8"/>
  <c r="D303" i="8"/>
  <c r="D304" i="8"/>
  <c r="D305" i="8"/>
  <c r="D306" i="8"/>
  <c r="D307" i="8"/>
  <c r="D308" i="8"/>
  <c r="D309" i="8"/>
  <c r="D310" i="8"/>
  <c r="D311" i="8"/>
  <c r="D312" i="8"/>
  <c r="D313" i="8"/>
  <c r="D314" i="8"/>
  <c r="D315" i="8"/>
  <c r="D316" i="8"/>
  <c r="D317" i="8"/>
  <c r="D318" i="8"/>
  <c r="D319" i="8"/>
  <c r="D320" i="8"/>
  <c r="D321" i="8"/>
  <c r="D322" i="8"/>
  <c r="D323" i="8"/>
  <c r="D324" i="8"/>
  <c r="D325" i="8"/>
  <c r="D326" i="8"/>
  <c r="D327" i="8"/>
  <c r="D328" i="8"/>
  <c r="D329" i="8"/>
  <c r="D330" i="8"/>
  <c r="D331" i="8"/>
  <c r="D332" i="8"/>
  <c r="D333" i="8"/>
  <c r="D334" i="8"/>
  <c r="D335" i="8"/>
  <c r="D336" i="8"/>
  <c r="D337" i="8"/>
  <c r="D338" i="8"/>
  <c r="D339" i="8"/>
  <c r="D340" i="8"/>
  <c r="D341" i="8"/>
  <c r="D342" i="8"/>
  <c r="D343" i="8"/>
  <c r="D344" i="8"/>
  <c r="D345" i="8"/>
  <c r="D346" i="8"/>
  <c r="D347" i="8"/>
  <c r="D348" i="8"/>
  <c r="D349" i="8"/>
  <c r="D350" i="8"/>
  <c r="D351" i="8"/>
  <c r="D352" i="8"/>
  <c r="D353" i="8"/>
  <c r="D354" i="8"/>
  <c r="D355" i="8"/>
  <c r="D356" i="8"/>
  <c r="D357" i="8"/>
  <c r="D358" i="8"/>
  <c r="D359" i="8"/>
  <c r="D360" i="8"/>
  <c r="D361" i="8"/>
  <c r="D362" i="8"/>
  <c r="D363" i="8"/>
  <c r="D364" i="8"/>
  <c r="D365" i="8"/>
  <c r="D366" i="8"/>
  <c r="D367" i="8"/>
  <c r="D368" i="8"/>
  <c r="D369" i="8"/>
  <c r="D370" i="8"/>
  <c r="D371" i="8"/>
  <c r="D372" i="8"/>
  <c r="D373" i="8"/>
  <c r="D374" i="8"/>
  <c r="D375" i="8"/>
  <c r="D376" i="8"/>
  <c r="D377" i="8"/>
  <c r="D378" i="8"/>
  <c r="D379" i="8"/>
  <c r="D380" i="8"/>
  <c r="D381" i="8"/>
  <c r="D382" i="8"/>
  <c r="D383" i="8"/>
  <c r="D384" i="8"/>
  <c r="D385" i="8"/>
  <c r="D386" i="8"/>
  <c r="D387" i="8"/>
  <c r="D388" i="8"/>
  <c r="D389" i="8"/>
  <c r="D390" i="8"/>
  <c r="D391" i="8"/>
  <c r="D392" i="8"/>
  <c r="D393" i="8"/>
  <c r="D394" i="8"/>
  <c r="D395" i="8"/>
  <c r="D396" i="8"/>
  <c r="D397" i="8"/>
  <c r="D398" i="8"/>
  <c r="D399" i="8"/>
  <c r="D400" i="8"/>
  <c r="D401" i="8"/>
  <c r="D402" i="8"/>
  <c r="D403" i="8"/>
  <c r="D404" i="8"/>
  <c r="D405" i="8"/>
  <c r="D406" i="8"/>
  <c r="D407" i="8"/>
  <c r="D408" i="8"/>
  <c r="D409" i="8"/>
  <c r="D410" i="8"/>
  <c r="D411" i="8"/>
  <c r="D412" i="8"/>
  <c r="D413" i="8"/>
  <c r="D414" i="8"/>
  <c r="D415" i="8"/>
  <c r="D416" i="8"/>
  <c r="D417" i="8"/>
  <c r="D418" i="8"/>
  <c r="D419" i="8"/>
  <c r="D420" i="8"/>
  <c r="D421" i="8"/>
  <c r="D422" i="8"/>
  <c r="D423" i="8"/>
  <c r="D424" i="8"/>
  <c r="D425" i="8"/>
  <c r="D426" i="8"/>
  <c r="D427" i="8"/>
  <c r="D428" i="8"/>
  <c r="D429" i="8"/>
  <c r="D430" i="8"/>
  <c r="D431" i="8"/>
  <c r="D432" i="8"/>
  <c r="D433" i="8"/>
  <c r="D434" i="8"/>
  <c r="D435" i="8"/>
  <c r="D436" i="8"/>
  <c r="D437" i="8"/>
  <c r="D438" i="8"/>
  <c r="D439" i="8"/>
  <c r="D440" i="8"/>
  <c r="D441" i="8"/>
  <c r="D442" i="8"/>
  <c r="D443" i="8"/>
  <c r="D444" i="8"/>
  <c r="D445" i="8"/>
  <c r="D446" i="8"/>
  <c r="D447" i="8"/>
  <c r="D448" i="8"/>
  <c r="D449" i="8"/>
  <c r="D450" i="8"/>
  <c r="D451" i="8"/>
  <c r="D452" i="8"/>
  <c r="D453" i="8"/>
  <c r="D454" i="8"/>
  <c r="D455" i="8"/>
  <c r="D456" i="8"/>
  <c r="D457" i="8"/>
  <c r="D458" i="8"/>
  <c r="D459" i="8"/>
  <c r="D460" i="8"/>
  <c r="D461" i="8"/>
  <c r="D462" i="8"/>
  <c r="D463" i="8"/>
  <c r="D464" i="8"/>
  <c r="D465" i="8"/>
  <c r="D466" i="8"/>
  <c r="D467" i="8"/>
  <c r="D468" i="8"/>
  <c r="D469" i="8"/>
  <c r="D470" i="8"/>
  <c r="D471" i="8"/>
  <c r="D472" i="8"/>
  <c r="D473" i="8"/>
  <c r="D474" i="8"/>
  <c r="D475" i="8"/>
  <c r="D476" i="8"/>
  <c r="D477" i="8"/>
  <c r="D478" i="8"/>
  <c r="D479" i="8"/>
  <c r="D480" i="8"/>
  <c r="D481" i="8"/>
  <c r="D482" i="8"/>
  <c r="D483" i="8"/>
  <c r="D484" i="8"/>
  <c r="D485" i="8"/>
  <c r="D486" i="8"/>
  <c r="D487" i="8"/>
  <c r="D488" i="8"/>
  <c r="D489" i="8"/>
  <c r="D490" i="8"/>
  <c r="D491" i="8"/>
  <c r="D492" i="8"/>
  <c r="D493" i="8"/>
  <c r="D494" i="8"/>
  <c r="D495" i="8"/>
  <c r="D496" i="8"/>
  <c r="D497" i="8"/>
  <c r="D498" i="8"/>
  <c r="D499" i="8"/>
  <c r="D500" i="8"/>
  <c r="D501" i="8"/>
  <c r="D502" i="8"/>
  <c r="D503" i="8"/>
  <c r="D504" i="8"/>
  <c r="D505" i="8"/>
  <c r="D506" i="8"/>
  <c r="D507" i="8"/>
  <c r="D508" i="8"/>
  <c r="D509" i="8"/>
  <c r="D510" i="8"/>
  <c r="D511" i="8"/>
  <c r="D512" i="8"/>
  <c r="D513" i="8"/>
  <c r="D514" i="8"/>
  <c r="D515" i="8"/>
  <c r="D516" i="8"/>
  <c r="D517" i="8"/>
  <c r="D518" i="8"/>
  <c r="D519" i="8"/>
  <c r="D520" i="8"/>
  <c r="D521" i="8"/>
  <c r="D522" i="8"/>
  <c r="D523" i="8"/>
  <c r="D524" i="8"/>
  <c r="D525" i="8"/>
  <c r="D526" i="8"/>
  <c r="D527" i="8"/>
  <c r="D528" i="8"/>
  <c r="D529" i="8"/>
  <c r="D530" i="8"/>
  <c r="D531" i="8"/>
  <c r="D532" i="8"/>
  <c r="D533" i="8"/>
  <c r="D534" i="8"/>
  <c r="D535" i="8"/>
  <c r="D536" i="8"/>
  <c r="D537" i="8"/>
  <c r="D538" i="8"/>
  <c r="D539" i="8"/>
  <c r="D540" i="8"/>
  <c r="D541" i="8"/>
  <c r="D542" i="8"/>
  <c r="D543" i="8"/>
  <c r="D544" i="8"/>
  <c r="D545" i="8"/>
  <c r="D546" i="8"/>
  <c r="D547" i="8"/>
  <c r="D548" i="8"/>
  <c r="D549" i="8"/>
  <c r="D550" i="8"/>
  <c r="D551" i="8"/>
  <c r="D552" i="8"/>
  <c r="D553" i="8"/>
  <c r="D554" i="8"/>
  <c r="D555" i="8"/>
  <c r="D556" i="8"/>
  <c r="D557" i="8"/>
  <c r="D558" i="8"/>
  <c r="D559" i="8"/>
  <c r="D560" i="8"/>
  <c r="D561" i="8"/>
  <c r="D562" i="8"/>
  <c r="D563" i="8"/>
  <c r="D564" i="8"/>
  <c r="D565" i="8"/>
  <c r="D566" i="8"/>
  <c r="D567" i="8"/>
  <c r="D568" i="8"/>
  <c r="D569" i="8"/>
  <c r="D570" i="8"/>
  <c r="D571" i="8"/>
  <c r="D572" i="8"/>
  <c r="D573" i="8"/>
  <c r="D574" i="8"/>
  <c r="D575" i="8"/>
  <c r="D576" i="8"/>
  <c r="D577" i="8"/>
  <c r="D578" i="8"/>
  <c r="D579" i="8"/>
  <c r="D580" i="8"/>
  <c r="D581" i="8"/>
  <c r="D582" i="8"/>
  <c r="D583" i="8"/>
  <c r="D584" i="8"/>
  <c r="D585" i="8"/>
  <c r="D586" i="8"/>
  <c r="D587" i="8"/>
  <c r="D588" i="8"/>
  <c r="D589" i="8"/>
  <c r="D590" i="8"/>
  <c r="D591" i="8"/>
  <c r="D592" i="8"/>
  <c r="D593" i="8"/>
  <c r="D594" i="8"/>
  <c r="D595" i="8"/>
  <c r="D596" i="8"/>
  <c r="D597" i="8"/>
  <c r="D598" i="8"/>
  <c r="D599" i="8"/>
  <c r="D600" i="8"/>
  <c r="D601" i="8"/>
  <c r="D602" i="8"/>
  <c r="D603" i="8"/>
  <c r="D604" i="8"/>
  <c r="D605" i="8"/>
  <c r="D606" i="8"/>
  <c r="D607" i="8"/>
  <c r="D608" i="8"/>
  <c r="D609" i="8"/>
  <c r="D610" i="8"/>
  <c r="D611" i="8"/>
  <c r="D612" i="8"/>
  <c r="D613" i="8"/>
  <c r="D614" i="8"/>
  <c r="D615" i="8"/>
  <c r="D616" i="8"/>
  <c r="D617" i="8"/>
  <c r="D618" i="8"/>
  <c r="D619" i="8"/>
  <c r="D620" i="8"/>
  <c r="D621" i="8"/>
  <c r="D622" i="8"/>
  <c r="D623" i="8"/>
  <c r="D624" i="8"/>
  <c r="D625" i="8"/>
  <c r="D626" i="8"/>
  <c r="D627" i="8"/>
  <c r="D628" i="8"/>
  <c r="D629" i="8"/>
  <c r="D630" i="8"/>
  <c r="D631" i="8"/>
  <c r="D632" i="8"/>
  <c r="D633" i="8"/>
  <c r="D634" i="8"/>
  <c r="D635" i="8"/>
  <c r="D636" i="8"/>
  <c r="D637" i="8"/>
  <c r="D638" i="8"/>
  <c r="D639" i="8"/>
  <c r="D640" i="8"/>
  <c r="D641" i="8"/>
  <c r="D642" i="8"/>
  <c r="D643" i="8"/>
  <c r="D644" i="8"/>
  <c r="D645" i="8"/>
  <c r="D646" i="8"/>
  <c r="D647" i="8"/>
  <c r="D648" i="8"/>
  <c r="D649" i="8"/>
  <c r="D650" i="8"/>
  <c r="D651" i="8"/>
  <c r="D652" i="8"/>
  <c r="D653" i="8"/>
  <c r="D654" i="8"/>
  <c r="D655" i="8"/>
  <c r="D656" i="8"/>
  <c r="D657" i="8"/>
  <c r="D658" i="8"/>
  <c r="D659" i="8"/>
  <c r="D660" i="8"/>
  <c r="D661" i="8"/>
  <c r="D662" i="8"/>
  <c r="D663" i="8"/>
  <c r="D664" i="8"/>
  <c r="D665" i="8"/>
  <c r="D666" i="8"/>
  <c r="D667" i="8"/>
  <c r="D668" i="8"/>
  <c r="D669" i="8"/>
  <c r="D670" i="8"/>
  <c r="D671" i="8"/>
  <c r="D672" i="8"/>
  <c r="D673" i="8"/>
  <c r="D674" i="8"/>
  <c r="D675" i="8"/>
  <c r="D676" i="8"/>
  <c r="D677" i="8"/>
  <c r="D678" i="8"/>
  <c r="D679" i="8"/>
  <c r="D680" i="8"/>
  <c r="D681" i="8"/>
  <c r="D682" i="8"/>
  <c r="D683" i="8"/>
  <c r="D684" i="8"/>
  <c r="D685" i="8"/>
  <c r="D686" i="8"/>
  <c r="D687" i="8"/>
  <c r="D688" i="8"/>
  <c r="D689" i="8"/>
  <c r="D690" i="8"/>
  <c r="D691" i="8"/>
  <c r="D692" i="8"/>
  <c r="D693" i="8"/>
  <c r="D10" i="8"/>
  <c r="L14" i="13"/>
  <c r="L17" i="13"/>
  <c r="L21" i="13"/>
  <c r="L22" i="13"/>
  <c r="L26" i="13"/>
  <c r="L28" i="13"/>
  <c r="K11" i="8"/>
  <c r="L11" i="8" s="1"/>
  <c r="K12" i="8"/>
  <c r="L12" i="8" s="1"/>
  <c r="K13" i="8"/>
  <c r="L13" i="8" s="1"/>
  <c r="K14" i="8"/>
  <c r="L14" i="8" s="1"/>
  <c r="K15" i="8"/>
  <c r="L15" i="8" s="1"/>
  <c r="K16" i="8"/>
  <c r="L16" i="8" s="1"/>
  <c r="K17" i="8"/>
  <c r="L17" i="8" s="1"/>
  <c r="K18" i="8"/>
  <c r="L18" i="8" s="1"/>
  <c r="K19" i="8"/>
  <c r="L19" i="8" s="1"/>
  <c r="K20" i="8"/>
  <c r="L20" i="8" s="1"/>
  <c r="K21" i="8"/>
  <c r="L21" i="8" s="1"/>
  <c r="K22" i="8"/>
  <c r="L22" i="8" s="1"/>
  <c r="K23" i="8"/>
  <c r="L23" i="8" s="1"/>
  <c r="K24" i="8"/>
  <c r="L24" i="8" s="1"/>
  <c r="K25" i="8"/>
  <c r="L25" i="8" s="1"/>
  <c r="K26" i="8"/>
  <c r="L26" i="8" s="1"/>
  <c r="K27" i="8"/>
  <c r="L27" i="8" s="1"/>
  <c r="K28" i="8"/>
  <c r="L28" i="8" s="1"/>
  <c r="K29" i="8"/>
  <c r="L29" i="8" s="1"/>
  <c r="K30" i="8"/>
  <c r="L30" i="8" s="1"/>
  <c r="K31" i="8"/>
  <c r="L31" i="8" s="1"/>
  <c r="K32" i="8"/>
  <c r="L32" i="8" s="1"/>
  <c r="K33" i="8"/>
  <c r="L33" i="8" s="1"/>
  <c r="K34" i="8"/>
  <c r="L34" i="8" s="1"/>
  <c r="K35" i="8"/>
  <c r="L35" i="8" s="1"/>
  <c r="K36" i="8"/>
  <c r="L36" i="8" s="1"/>
  <c r="K37" i="8"/>
  <c r="L37" i="8" s="1"/>
  <c r="K38" i="8"/>
  <c r="L38" i="8" s="1"/>
  <c r="K39" i="8"/>
  <c r="L39" i="8" s="1"/>
  <c r="K40" i="8"/>
  <c r="L40" i="8" s="1"/>
  <c r="K41" i="8"/>
  <c r="L41" i="8" s="1"/>
  <c r="K42" i="8"/>
  <c r="L42" i="8" s="1"/>
  <c r="K43" i="8"/>
  <c r="L43" i="8" s="1"/>
  <c r="K44" i="8"/>
  <c r="L44" i="8" s="1"/>
  <c r="K45" i="8"/>
  <c r="L45" i="8" s="1"/>
  <c r="K46" i="8"/>
  <c r="L46" i="8" s="1"/>
  <c r="K47" i="8"/>
  <c r="L47" i="8" s="1"/>
  <c r="K48" i="8"/>
  <c r="L48" i="8" s="1"/>
  <c r="K49" i="8"/>
  <c r="L49" i="8" s="1"/>
  <c r="K50" i="8"/>
  <c r="L50" i="8" s="1"/>
  <c r="K51" i="8"/>
  <c r="L51" i="8" s="1"/>
  <c r="K52" i="8"/>
  <c r="L52" i="8" s="1"/>
  <c r="K53" i="8"/>
  <c r="L53" i="8" s="1"/>
  <c r="K54" i="8"/>
  <c r="L54" i="8" s="1"/>
  <c r="K55" i="8"/>
  <c r="L55" i="8" s="1"/>
  <c r="K56" i="8"/>
  <c r="L56" i="8" s="1"/>
  <c r="K57" i="8"/>
  <c r="L57" i="8" s="1"/>
  <c r="K58" i="8"/>
  <c r="L58" i="8" s="1"/>
  <c r="K59" i="8"/>
  <c r="L59" i="8" s="1"/>
  <c r="K60" i="8"/>
  <c r="L60" i="8" s="1"/>
  <c r="K61" i="8"/>
  <c r="L61" i="8" s="1"/>
  <c r="K62" i="8"/>
  <c r="L62" i="8" s="1"/>
  <c r="K63" i="8"/>
  <c r="L63" i="8" s="1"/>
  <c r="K64" i="8"/>
  <c r="L64" i="8" s="1"/>
  <c r="K65" i="8"/>
  <c r="L65" i="8" s="1"/>
  <c r="K66" i="8"/>
  <c r="L66" i="8" s="1"/>
  <c r="K67" i="8"/>
  <c r="L67" i="8" s="1"/>
  <c r="K68" i="8"/>
  <c r="L68" i="8" s="1"/>
  <c r="K69" i="8"/>
  <c r="L69" i="8" s="1"/>
  <c r="K70" i="8"/>
  <c r="L70" i="8" s="1"/>
  <c r="K71" i="8"/>
  <c r="L71" i="8" s="1"/>
  <c r="K72" i="8"/>
  <c r="L72" i="8" s="1"/>
  <c r="K73" i="8"/>
  <c r="L73" i="8" s="1"/>
  <c r="K74" i="8"/>
  <c r="L74" i="8" s="1"/>
  <c r="K75" i="8"/>
  <c r="L75" i="8" s="1"/>
  <c r="K76" i="8"/>
  <c r="L76" i="8" s="1"/>
  <c r="K77" i="8"/>
  <c r="L77" i="8" s="1"/>
  <c r="K78" i="8"/>
  <c r="L78" i="8" s="1"/>
  <c r="K79" i="8"/>
  <c r="L79" i="8" s="1"/>
  <c r="K80" i="8"/>
  <c r="L80" i="8" s="1"/>
  <c r="K81" i="8"/>
  <c r="L81" i="8" s="1"/>
  <c r="K82" i="8"/>
  <c r="L82" i="8" s="1"/>
  <c r="K83" i="8"/>
  <c r="L83" i="8" s="1"/>
  <c r="K84" i="8"/>
  <c r="L84" i="8" s="1"/>
  <c r="K85" i="8"/>
  <c r="L85" i="8" s="1"/>
  <c r="K86" i="8"/>
  <c r="L86" i="8" s="1"/>
  <c r="K87" i="8"/>
  <c r="L87" i="8" s="1"/>
  <c r="K88" i="8"/>
  <c r="L88" i="8" s="1"/>
  <c r="K89" i="8"/>
  <c r="L89" i="8" s="1"/>
  <c r="K90" i="8"/>
  <c r="L90" i="8" s="1"/>
  <c r="K91" i="8"/>
  <c r="L91" i="8" s="1"/>
  <c r="K92" i="8"/>
  <c r="L92" i="8" s="1"/>
  <c r="K93" i="8"/>
  <c r="L93" i="8" s="1"/>
  <c r="K94" i="8"/>
  <c r="L94" i="8" s="1"/>
  <c r="K95" i="8"/>
  <c r="L95" i="8" s="1"/>
  <c r="K96" i="8"/>
  <c r="L96" i="8" s="1"/>
  <c r="K97" i="8"/>
  <c r="L97" i="8" s="1"/>
  <c r="K98" i="8"/>
  <c r="L98" i="8" s="1"/>
  <c r="K99" i="8"/>
  <c r="L99" i="8" s="1"/>
  <c r="K100" i="8"/>
  <c r="L100" i="8" s="1"/>
  <c r="K101" i="8"/>
  <c r="L101" i="8" s="1"/>
  <c r="K102" i="8"/>
  <c r="L102" i="8" s="1"/>
  <c r="K103" i="8"/>
  <c r="L103" i="8" s="1"/>
  <c r="K104" i="8"/>
  <c r="L104" i="8" s="1"/>
  <c r="K105" i="8"/>
  <c r="L105" i="8" s="1"/>
  <c r="K106" i="8"/>
  <c r="L106" i="8" s="1"/>
  <c r="K107" i="8"/>
  <c r="L107" i="8" s="1"/>
  <c r="K108" i="8"/>
  <c r="L108" i="8" s="1"/>
  <c r="K109" i="8"/>
  <c r="L109" i="8" s="1"/>
  <c r="K110" i="8"/>
  <c r="L110" i="8" s="1"/>
  <c r="K111" i="8"/>
  <c r="L111" i="8" s="1"/>
  <c r="K112" i="8"/>
  <c r="L112" i="8" s="1"/>
  <c r="K113" i="8"/>
  <c r="L113" i="8" s="1"/>
  <c r="K114" i="8"/>
  <c r="L114" i="8" s="1"/>
  <c r="K115" i="8"/>
  <c r="L115" i="8" s="1"/>
  <c r="K116" i="8"/>
  <c r="L116" i="8" s="1"/>
  <c r="K117" i="8"/>
  <c r="L117" i="8" s="1"/>
  <c r="K118" i="8"/>
  <c r="L118" i="8" s="1"/>
  <c r="K119" i="8"/>
  <c r="L119" i="8" s="1"/>
  <c r="K120" i="8"/>
  <c r="L120" i="8" s="1"/>
  <c r="K121" i="8"/>
  <c r="L121" i="8" s="1"/>
  <c r="K122" i="8"/>
  <c r="L122" i="8" s="1"/>
  <c r="K123" i="8"/>
  <c r="L123" i="8" s="1"/>
  <c r="K124" i="8"/>
  <c r="L124" i="8" s="1"/>
  <c r="K125" i="8"/>
  <c r="L125" i="8" s="1"/>
  <c r="K126" i="8"/>
  <c r="L126" i="8" s="1"/>
  <c r="K127" i="8"/>
  <c r="L127" i="8" s="1"/>
  <c r="K128" i="8"/>
  <c r="L128" i="8" s="1"/>
  <c r="K129" i="8"/>
  <c r="L129" i="8" s="1"/>
  <c r="K130" i="8"/>
  <c r="L130" i="8" s="1"/>
  <c r="K131" i="8"/>
  <c r="L131" i="8" s="1"/>
  <c r="K132" i="8"/>
  <c r="L132" i="8" s="1"/>
  <c r="K133" i="8"/>
  <c r="L133" i="8" s="1"/>
  <c r="K134" i="8"/>
  <c r="L134" i="8" s="1"/>
  <c r="K135" i="8"/>
  <c r="L135" i="8" s="1"/>
  <c r="K136" i="8"/>
  <c r="L136" i="8" s="1"/>
  <c r="K137" i="8"/>
  <c r="L137" i="8" s="1"/>
  <c r="K138" i="8"/>
  <c r="L138" i="8" s="1"/>
  <c r="K139" i="8"/>
  <c r="L139" i="8" s="1"/>
  <c r="K140" i="8"/>
  <c r="L140" i="8" s="1"/>
  <c r="K141" i="8"/>
  <c r="L141" i="8" s="1"/>
  <c r="K142" i="8"/>
  <c r="L142" i="8" s="1"/>
  <c r="K143" i="8"/>
  <c r="L143" i="8" s="1"/>
  <c r="K144" i="8"/>
  <c r="L144" i="8" s="1"/>
  <c r="K145" i="8"/>
  <c r="L145" i="8" s="1"/>
  <c r="K146" i="8"/>
  <c r="L146" i="8" s="1"/>
  <c r="K147" i="8"/>
  <c r="L147" i="8" s="1"/>
  <c r="K148" i="8"/>
  <c r="L148" i="8" s="1"/>
  <c r="K149" i="8"/>
  <c r="L149" i="8" s="1"/>
  <c r="K150" i="8"/>
  <c r="L150" i="8" s="1"/>
  <c r="K151" i="8"/>
  <c r="L151" i="8" s="1"/>
  <c r="K152" i="8"/>
  <c r="L152" i="8" s="1"/>
  <c r="K153" i="8"/>
  <c r="L153" i="8" s="1"/>
  <c r="K154" i="8"/>
  <c r="L154" i="8" s="1"/>
  <c r="K155" i="8"/>
  <c r="L155" i="8" s="1"/>
  <c r="K156" i="8"/>
  <c r="L156" i="8" s="1"/>
  <c r="K157" i="8"/>
  <c r="L157" i="8" s="1"/>
  <c r="K158" i="8"/>
  <c r="L158" i="8" s="1"/>
  <c r="K159" i="8"/>
  <c r="L159" i="8" s="1"/>
  <c r="K160" i="8"/>
  <c r="L160" i="8" s="1"/>
  <c r="K161" i="8"/>
  <c r="L161" i="8" s="1"/>
  <c r="K162" i="8"/>
  <c r="L162" i="8" s="1"/>
  <c r="K163" i="8"/>
  <c r="L163" i="8" s="1"/>
  <c r="K164" i="8"/>
  <c r="L164" i="8" s="1"/>
  <c r="K165" i="8"/>
  <c r="L165" i="8" s="1"/>
  <c r="K166" i="8"/>
  <c r="L166" i="8" s="1"/>
  <c r="K167" i="8"/>
  <c r="L167" i="8" s="1"/>
  <c r="K168" i="8"/>
  <c r="L168" i="8" s="1"/>
  <c r="K169" i="8"/>
  <c r="L169" i="8" s="1"/>
  <c r="K170" i="8"/>
  <c r="L170" i="8" s="1"/>
  <c r="K171" i="8"/>
  <c r="L171" i="8" s="1"/>
  <c r="K172" i="8"/>
  <c r="L172" i="8" s="1"/>
  <c r="K173" i="8"/>
  <c r="L173" i="8" s="1"/>
  <c r="K174" i="8"/>
  <c r="L174" i="8" s="1"/>
  <c r="K175" i="8"/>
  <c r="L175" i="8" s="1"/>
  <c r="K176" i="8"/>
  <c r="L176" i="8" s="1"/>
  <c r="K177" i="8"/>
  <c r="L177" i="8" s="1"/>
  <c r="K178" i="8"/>
  <c r="L178" i="8" s="1"/>
  <c r="K179" i="8"/>
  <c r="L179" i="8" s="1"/>
  <c r="K180" i="8"/>
  <c r="L180" i="8" s="1"/>
  <c r="K181" i="8"/>
  <c r="L181" i="8" s="1"/>
  <c r="K182" i="8"/>
  <c r="L182" i="8" s="1"/>
  <c r="K183" i="8"/>
  <c r="L183" i="8" s="1"/>
  <c r="K184" i="8"/>
  <c r="L184" i="8" s="1"/>
  <c r="K185" i="8"/>
  <c r="L185" i="8" s="1"/>
  <c r="K186" i="8"/>
  <c r="L186" i="8" s="1"/>
  <c r="K187" i="8"/>
  <c r="L187" i="8" s="1"/>
  <c r="K188" i="8"/>
  <c r="L188" i="8" s="1"/>
  <c r="K189" i="8"/>
  <c r="L189" i="8" s="1"/>
  <c r="K190" i="8"/>
  <c r="L190" i="8" s="1"/>
  <c r="K191" i="8"/>
  <c r="L191" i="8" s="1"/>
  <c r="K192" i="8"/>
  <c r="L192" i="8" s="1"/>
  <c r="K193" i="8"/>
  <c r="L193" i="8" s="1"/>
  <c r="K194" i="8"/>
  <c r="L194" i="8" s="1"/>
  <c r="K195" i="8"/>
  <c r="L195" i="8" s="1"/>
  <c r="K196" i="8"/>
  <c r="L196" i="8" s="1"/>
  <c r="K197" i="8"/>
  <c r="L197" i="8" s="1"/>
  <c r="K198" i="8"/>
  <c r="L198" i="8" s="1"/>
  <c r="K199" i="8"/>
  <c r="L199" i="8" s="1"/>
  <c r="K200" i="8"/>
  <c r="L200" i="8" s="1"/>
  <c r="K201" i="8"/>
  <c r="L201" i="8" s="1"/>
  <c r="K202" i="8"/>
  <c r="L202" i="8" s="1"/>
  <c r="K203" i="8"/>
  <c r="L203" i="8" s="1"/>
  <c r="K204" i="8"/>
  <c r="L204" i="8" s="1"/>
  <c r="K205" i="8"/>
  <c r="L205" i="8" s="1"/>
  <c r="K206" i="8"/>
  <c r="L206" i="8" s="1"/>
  <c r="K207" i="8"/>
  <c r="L207" i="8" s="1"/>
  <c r="K208" i="8"/>
  <c r="L208" i="8" s="1"/>
  <c r="K209" i="8"/>
  <c r="L209" i="8" s="1"/>
  <c r="K210" i="8"/>
  <c r="L210" i="8" s="1"/>
  <c r="K211" i="8"/>
  <c r="L211" i="8" s="1"/>
  <c r="K212" i="8"/>
  <c r="L212" i="8" s="1"/>
  <c r="K213" i="8"/>
  <c r="L213" i="8" s="1"/>
  <c r="K214" i="8"/>
  <c r="L214" i="8" s="1"/>
  <c r="K215" i="8"/>
  <c r="L215" i="8" s="1"/>
  <c r="K216" i="8"/>
  <c r="L216" i="8" s="1"/>
  <c r="K217" i="8"/>
  <c r="L217" i="8" s="1"/>
  <c r="K218" i="8"/>
  <c r="L218" i="8" s="1"/>
  <c r="K219" i="8"/>
  <c r="L219" i="8" s="1"/>
  <c r="K220" i="8"/>
  <c r="L220" i="8" s="1"/>
  <c r="K221" i="8"/>
  <c r="L221" i="8" s="1"/>
  <c r="K222" i="8"/>
  <c r="L222" i="8" s="1"/>
  <c r="K223" i="8"/>
  <c r="L223" i="8" s="1"/>
  <c r="K224" i="8"/>
  <c r="L224" i="8" s="1"/>
  <c r="K225" i="8"/>
  <c r="L225" i="8" s="1"/>
  <c r="K226" i="8"/>
  <c r="L226" i="8" s="1"/>
  <c r="K227" i="8"/>
  <c r="L227" i="8" s="1"/>
  <c r="K228" i="8"/>
  <c r="L228" i="8" s="1"/>
  <c r="K229" i="8"/>
  <c r="L229" i="8" s="1"/>
  <c r="K230" i="8"/>
  <c r="L230" i="8" s="1"/>
  <c r="K231" i="8"/>
  <c r="L231" i="8" s="1"/>
  <c r="K232" i="8"/>
  <c r="L232" i="8" s="1"/>
  <c r="K233" i="8"/>
  <c r="L233" i="8" s="1"/>
  <c r="K234" i="8"/>
  <c r="L234" i="8" s="1"/>
  <c r="K235" i="8"/>
  <c r="L235" i="8" s="1"/>
  <c r="K236" i="8"/>
  <c r="L236" i="8" s="1"/>
  <c r="K237" i="8"/>
  <c r="L237" i="8" s="1"/>
  <c r="K238" i="8"/>
  <c r="L238" i="8" s="1"/>
  <c r="K239" i="8"/>
  <c r="L239" i="8" s="1"/>
  <c r="K240" i="8"/>
  <c r="L240" i="8" s="1"/>
  <c r="K241" i="8"/>
  <c r="L241" i="8" s="1"/>
  <c r="K242" i="8"/>
  <c r="L242" i="8" s="1"/>
  <c r="K243" i="8"/>
  <c r="L243" i="8" s="1"/>
  <c r="K244" i="8"/>
  <c r="L244" i="8" s="1"/>
  <c r="K245" i="8"/>
  <c r="L245" i="8" s="1"/>
  <c r="K246" i="8"/>
  <c r="L246" i="8" s="1"/>
  <c r="K247" i="8"/>
  <c r="L247" i="8" s="1"/>
  <c r="K248" i="8"/>
  <c r="L248" i="8" s="1"/>
  <c r="K249" i="8"/>
  <c r="L249" i="8" s="1"/>
  <c r="K250" i="8"/>
  <c r="L250" i="8" s="1"/>
  <c r="K251" i="8"/>
  <c r="L251" i="8" s="1"/>
  <c r="K252" i="8"/>
  <c r="L252" i="8" s="1"/>
  <c r="K253" i="8"/>
  <c r="L253" i="8" s="1"/>
  <c r="K254" i="8"/>
  <c r="L254" i="8" s="1"/>
  <c r="K255" i="8"/>
  <c r="L255" i="8" s="1"/>
  <c r="K256" i="8"/>
  <c r="L256" i="8" s="1"/>
  <c r="K257" i="8"/>
  <c r="L257" i="8" s="1"/>
  <c r="K258" i="8"/>
  <c r="L258" i="8" s="1"/>
  <c r="K259" i="8"/>
  <c r="L259" i="8" s="1"/>
  <c r="K260" i="8"/>
  <c r="L260" i="8" s="1"/>
  <c r="K261" i="8"/>
  <c r="L261" i="8" s="1"/>
  <c r="K262" i="8"/>
  <c r="L262" i="8" s="1"/>
  <c r="K263" i="8"/>
  <c r="L263" i="8" s="1"/>
  <c r="K264" i="8"/>
  <c r="L264" i="8" s="1"/>
  <c r="K265" i="8"/>
  <c r="L265" i="8" s="1"/>
  <c r="K266" i="8"/>
  <c r="L266" i="8" s="1"/>
  <c r="K267" i="8"/>
  <c r="L267" i="8" s="1"/>
  <c r="K268" i="8"/>
  <c r="L268" i="8" s="1"/>
  <c r="K269" i="8"/>
  <c r="L269" i="8" s="1"/>
  <c r="K270" i="8"/>
  <c r="L270" i="8" s="1"/>
  <c r="K271" i="8"/>
  <c r="L271" i="8" s="1"/>
  <c r="K272" i="8"/>
  <c r="L272" i="8" s="1"/>
  <c r="K273" i="8"/>
  <c r="L273" i="8" s="1"/>
  <c r="K274" i="8"/>
  <c r="L274" i="8" s="1"/>
  <c r="K275" i="8"/>
  <c r="L275" i="8" s="1"/>
  <c r="K276" i="8"/>
  <c r="L276" i="8" s="1"/>
  <c r="K277" i="8"/>
  <c r="L277" i="8" s="1"/>
  <c r="K278" i="8"/>
  <c r="L278" i="8" s="1"/>
  <c r="K279" i="8"/>
  <c r="L279" i="8" s="1"/>
  <c r="K280" i="8"/>
  <c r="L280" i="8" s="1"/>
  <c r="K281" i="8"/>
  <c r="L281" i="8" s="1"/>
  <c r="K282" i="8"/>
  <c r="L282" i="8" s="1"/>
  <c r="K283" i="8"/>
  <c r="L283" i="8" s="1"/>
  <c r="K284" i="8"/>
  <c r="L284" i="8" s="1"/>
  <c r="K285" i="8"/>
  <c r="L285" i="8" s="1"/>
  <c r="K286" i="8"/>
  <c r="L286" i="8" s="1"/>
  <c r="K287" i="8"/>
  <c r="L287" i="8" s="1"/>
  <c r="K288" i="8"/>
  <c r="L288" i="8" s="1"/>
  <c r="K289" i="8"/>
  <c r="L289" i="8" s="1"/>
  <c r="K290" i="8"/>
  <c r="L290" i="8" s="1"/>
  <c r="K291" i="8"/>
  <c r="L291" i="8" s="1"/>
  <c r="K292" i="8"/>
  <c r="L292" i="8" s="1"/>
  <c r="K293" i="8"/>
  <c r="L293" i="8" s="1"/>
  <c r="K294" i="8"/>
  <c r="L294" i="8" s="1"/>
  <c r="K295" i="8"/>
  <c r="L295" i="8" s="1"/>
  <c r="K296" i="8"/>
  <c r="L296" i="8" s="1"/>
  <c r="K297" i="8"/>
  <c r="L297" i="8" s="1"/>
  <c r="K298" i="8"/>
  <c r="L298" i="8" s="1"/>
  <c r="K299" i="8"/>
  <c r="L299" i="8" s="1"/>
  <c r="K300" i="8"/>
  <c r="L300" i="8" s="1"/>
  <c r="K301" i="8"/>
  <c r="L301" i="8" s="1"/>
  <c r="K302" i="8"/>
  <c r="L302" i="8" s="1"/>
  <c r="K303" i="8"/>
  <c r="L303" i="8" s="1"/>
  <c r="K304" i="8"/>
  <c r="L304" i="8" s="1"/>
  <c r="K305" i="8"/>
  <c r="L305" i="8" s="1"/>
  <c r="K306" i="8"/>
  <c r="L306" i="8" s="1"/>
  <c r="K307" i="8"/>
  <c r="L307" i="8" s="1"/>
  <c r="K308" i="8"/>
  <c r="L308" i="8" s="1"/>
  <c r="K309" i="8"/>
  <c r="L309" i="8" s="1"/>
  <c r="K310" i="8"/>
  <c r="L310" i="8" s="1"/>
  <c r="K311" i="8"/>
  <c r="L311" i="8" s="1"/>
  <c r="K312" i="8"/>
  <c r="L312" i="8" s="1"/>
  <c r="K313" i="8"/>
  <c r="L313" i="8" s="1"/>
  <c r="K314" i="8"/>
  <c r="L314" i="8" s="1"/>
  <c r="K315" i="8"/>
  <c r="L315" i="8" s="1"/>
  <c r="K316" i="8"/>
  <c r="L316" i="8" s="1"/>
  <c r="K317" i="8"/>
  <c r="L317" i="8" s="1"/>
  <c r="K318" i="8"/>
  <c r="L318" i="8" s="1"/>
  <c r="K319" i="8"/>
  <c r="L319" i="8" s="1"/>
  <c r="K320" i="8"/>
  <c r="L320" i="8" s="1"/>
  <c r="K321" i="8"/>
  <c r="L321" i="8" s="1"/>
  <c r="K322" i="8"/>
  <c r="L322" i="8" s="1"/>
  <c r="K323" i="8"/>
  <c r="L323" i="8" s="1"/>
  <c r="K324" i="8"/>
  <c r="L324" i="8" s="1"/>
  <c r="K325" i="8"/>
  <c r="L325" i="8" s="1"/>
  <c r="K326" i="8"/>
  <c r="L326" i="8" s="1"/>
  <c r="K327" i="8"/>
  <c r="L327" i="8" s="1"/>
  <c r="K328" i="8"/>
  <c r="L328" i="8" s="1"/>
  <c r="K329" i="8"/>
  <c r="L329" i="8" s="1"/>
  <c r="K330" i="8"/>
  <c r="L330" i="8" s="1"/>
  <c r="K331" i="8"/>
  <c r="L331" i="8" s="1"/>
  <c r="K332" i="8"/>
  <c r="L332" i="8" s="1"/>
  <c r="K333" i="8"/>
  <c r="L333" i="8" s="1"/>
  <c r="K334" i="8"/>
  <c r="L334" i="8" s="1"/>
  <c r="K335" i="8"/>
  <c r="L335" i="8" s="1"/>
  <c r="K336" i="8"/>
  <c r="L336" i="8" s="1"/>
  <c r="K337" i="8"/>
  <c r="L337" i="8" s="1"/>
  <c r="K338" i="8"/>
  <c r="L338" i="8" s="1"/>
  <c r="K339" i="8"/>
  <c r="L339" i="8" s="1"/>
  <c r="K340" i="8"/>
  <c r="L340" i="8" s="1"/>
  <c r="K341" i="8"/>
  <c r="L341" i="8" s="1"/>
  <c r="K342" i="8"/>
  <c r="L342" i="8" s="1"/>
  <c r="K343" i="8"/>
  <c r="L343" i="8" s="1"/>
  <c r="K344" i="8"/>
  <c r="L344" i="8" s="1"/>
  <c r="K345" i="8"/>
  <c r="L345" i="8" s="1"/>
  <c r="K346" i="8"/>
  <c r="L346" i="8" s="1"/>
  <c r="K347" i="8"/>
  <c r="L347" i="8" s="1"/>
  <c r="K348" i="8"/>
  <c r="L348" i="8" s="1"/>
  <c r="K349" i="8"/>
  <c r="L349" i="8" s="1"/>
  <c r="K350" i="8"/>
  <c r="L350" i="8" s="1"/>
  <c r="K351" i="8"/>
  <c r="L351" i="8" s="1"/>
  <c r="K352" i="8"/>
  <c r="L352" i="8" s="1"/>
  <c r="K353" i="8"/>
  <c r="L353" i="8" s="1"/>
  <c r="K354" i="8"/>
  <c r="L354" i="8" s="1"/>
  <c r="K355" i="8"/>
  <c r="L355" i="8" s="1"/>
  <c r="K356" i="8"/>
  <c r="L356" i="8" s="1"/>
  <c r="K357" i="8"/>
  <c r="L357" i="8" s="1"/>
  <c r="K358" i="8"/>
  <c r="L358" i="8" s="1"/>
  <c r="K359" i="8"/>
  <c r="L359" i="8" s="1"/>
  <c r="K360" i="8"/>
  <c r="L360" i="8" s="1"/>
  <c r="K361" i="8"/>
  <c r="L361" i="8" s="1"/>
  <c r="K362" i="8"/>
  <c r="L362" i="8" s="1"/>
  <c r="K363" i="8"/>
  <c r="L363" i="8" s="1"/>
  <c r="K364" i="8"/>
  <c r="L364" i="8" s="1"/>
  <c r="K365" i="8"/>
  <c r="L365" i="8" s="1"/>
  <c r="K366" i="8"/>
  <c r="L366" i="8" s="1"/>
  <c r="K367" i="8"/>
  <c r="L367" i="8" s="1"/>
  <c r="K368" i="8"/>
  <c r="L368" i="8" s="1"/>
  <c r="K369" i="8"/>
  <c r="L369" i="8" s="1"/>
  <c r="K370" i="8"/>
  <c r="L370" i="8" s="1"/>
  <c r="K371" i="8"/>
  <c r="L371" i="8" s="1"/>
  <c r="K372" i="8"/>
  <c r="L372" i="8" s="1"/>
  <c r="K373" i="8"/>
  <c r="L373" i="8" s="1"/>
  <c r="K374" i="8"/>
  <c r="L374" i="8" s="1"/>
  <c r="K375" i="8"/>
  <c r="L375" i="8" s="1"/>
  <c r="K376" i="8"/>
  <c r="L376" i="8" s="1"/>
  <c r="K377" i="8"/>
  <c r="L377" i="8" s="1"/>
  <c r="K378" i="8"/>
  <c r="L378" i="8" s="1"/>
  <c r="K379" i="8"/>
  <c r="L379" i="8" s="1"/>
  <c r="K380" i="8"/>
  <c r="L380" i="8" s="1"/>
  <c r="K381" i="8"/>
  <c r="L381" i="8" s="1"/>
  <c r="K382" i="8"/>
  <c r="L382" i="8" s="1"/>
  <c r="K383" i="8"/>
  <c r="L383" i="8" s="1"/>
  <c r="K384" i="8"/>
  <c r="L384" i="8" s="1"/>
  <c r="K385" i="8"/>
  <c r="L385" i="8" s="1"/>
  <c r="K386" i="8"/>
  <c r="L386" i="8" s="1"/>
  <c r="K387" i="8"/>
  <c r="L387" i="8" s="1"/>
  <c r="K388" i="8"/>
  <c r="L388" i="8" s="1"/>
  <c r="K389" i="8"/>
  <c r="L389" i="8" s="1"/>
  <c r="K390" i="8"/>
  <c r="L390" i="8" s="1"/>
  <c r="K391" i="8"/>
  <c r="L391" i="8" s="1"/>
  <c r="K392" i="8"/>
  <c r="L392" i="8" s="1"/>
  <c r="K393" i="8"/>
  <c r="L393" i="8" s="1"/>
  <c r="K394" i="8"/>
  <c r="L394" i="8" s="1"/>
  <c r="K395" i="8"/>
  <c r="L395" i="8" s="1"/>
  <c r="K396" i="8"/>
  <c r="L396" i="8" s="1"/>
  <c r="K397" i="8"/>
  <c r="L397" i="8" s="1"/>
  <c r="K398" i="8"/>
  <c r="L398" i="8" s="1"/>
  <c r="K399" i="8"/>
  <c r="L399" i="8" s="1"/>
  <c r="K400" i="8"/>
  <c r="L400" i="8" s="1"/>
  <c r="K401" i="8"/>
  <c r="L401" i="8" s="1"/>
  <c r="K402" i="8"/>
  <c r="L402" i="8" s="1"/>
  <c r="K403" i="8"/>
  <c r="L403" i="8" s="1"/>
  <c r="K404" i="8"/>
  <c r="L404" i="8" s="1"/>
  <c r="K405" i="8"/>
  <c r="L405" i="8" s="1"/>
  <c r="K406" i="8"/>
  <c r="L406" i="8" s="1"/>
  <c r="K407" i="8"/>
  <c r="L407" i="8" s="1"/>
  <c r="K408" i="8"/>
  <c r="L408" i="8" s="1"/>
  <c r="K409" i="8"/>
  <c r="L409" i="8" s="1"/>
  <c r="K410" i="8"/>
  <c r="L410" i="8" s="1"/>
  <c r="K411" i="8"/>
  <c r="L411" i="8" s="1"/>
  <c r="K412" i="8"/>
  <c r="L412" i="8" s="1"/>
  <c r="K413" i="8"/>
  <c r="L413" i="8" s="1"/>
  <c r="K414" i="8"/>
  <c r="L414" i="8" s="1"/>
  <c r="K415" i="8"/>
  <c r="L415" i="8" s="1"/>
  <c r="K416" i="8"/>
  <c r="L416" i="8" s="1"/>
  <c r="K417" i="8"/>
  <c r="L417" i="8" s="1"/>
  <c r="K418" i="8"/>
  <c r="L418" i="8" s="1"/>
  <c r="K419" i="8"/>
  <c r="L419" i="8" s="1"/>
  <c r="K420" i="8"/>
  <c r="L420" i="8" s="1"/>
  <c r="K421" i="8"/>
  <c r="L421" i="8" s="1"/>
  <c r="K422" i="8"/>
  <c r="L422" i="8" s="1"/>
  <c r="K423" i="8"/>
  <c r="L423" i="8" s="1"/>
  <c r="K424" i="8"/>
  <c r="L424" i="8" s="1"/>
  <c r="K425" i="8"/>
  <c r="L425" i="8" s="1"/>
  <c r="K426" i="8"/>
  <c r="L426" i="8" s="1"/>
  <c r="K427" i="8"/>
  <c r="L427" i="8" s="1"/>
  <c r="K428" i="8"/>
  <c r="L428" i="8" s="1"/>
  <c r="K429" i="8"/>
  <c r="L429" i="8" s="1"/>
  <c r="K430" i="8"/>
  <c r="L430" i="8" s="1"/>
  <c r="K431" i="8"/>
  <c r="L431" i="8" s="1"/>
  <c r="K432" i="8"/>
  <c r="L432" i="8" s="1"/>
  <c r="K433" i="8"/>
  <c r="L433" i="8" s="1"/>
  <c r="K434" i="8"/>
  <c r="L434" i="8" s="1"/>
  <c r="K435" i="8"/>
  <c r="L435" i="8" s="1"/>
  <c r="K436" i="8"/>
  <c r="L436" i="8" s="1"/>
  <c r="K437" i="8"/>
  <c r="L437" i="8" s="1"/>
  <c r="K438" i="8"/>
  <c r="L438" i="8" s="1"/>
  <c r="K439" i="8"/>
  <c r="L439" i="8" s="1"/>
  <c r="K440" i="8"/>
  <c r="L440" i="8" s="1"/>
  <c r="K441" i="8"/>
  <c r="L441" i="8" s="1"/>
  <c r="K442" i="8"/>
  <c r="L442" i="8" s="1"/>
  <c r="K443" i="8"/>
  <c r="L443" i="8" s="1"/>
  <c r="K444" i="8"/>
  <c r="L444" i="8" s="1"/>
  <c r="K445" i="8"/>
  <c r="L445" i="8" s="1"/>
  <c r="K446" i="8"/>
  <c r="L446" i="8" s="1"/>
  <c r="K447" i="8"/>
  <c r="L447" i="8" s="1"/>
  <c r="K448" i="8"/>
  <c r="L448" i="8" s="1"/>
  <c r="K449" i="8"/>
  <c r="L449" i="8" s="1"/>
  <c r="K450" i="8"/>
  <c r="L450" i="8" s="1"/>
  <c r="K451" i="8"/>
  <c r="L451" i="8" s="1"/>
  <c r="K452" i="8"/>
  <c r="L452" i="8" s="1"/>
  <c r="K453" i="8"/>
  <c r="L453" i="8" s="1"/>
  <c r="K454" i="8"/>
  <c r="L454" i="8" s="1"/>
  <c r="K455" i="8"/>
  <c r="L455" i="8" s="1"/>
  <c r="K456" i="8"/>
  <c r="L456" i="8" s="1"/>
  <c r="K457" i="8"/>
  <c r="L457" i="8" s="1"/>
  <c r="K458" i="8"/>
  <c r="L458" i="8" s="1"/>
  <c r="K459" i="8"/>
  <c r="L459" i="8" s="1"/>
  <c r="K460" i="8"/>
  <c r="L460" i="8" s="1"/>
  <c r="K461" i="8"/>
  <c r="L461" i="8" s="1"/>
  <c r="K462" i="8"/>
  <c r="L462" i="8" s="1"/>
  <c r="K463" i="8"/>
  <c r="L463" i="8" s="1"/>
  <c r="K464" i="8"/>
  <c r="L464" i="8" s="1"/>
  <c r="K465" i="8"/>
  <c r="L465" i="8" s="1"/>
  <c r="K466" i="8"/>
  <c r="L466" i="8" s="1"/>
  <c r="K467" i="8"/>
  <c r="L467" i="8" s="1"/>
  <c r="K468" i="8"/>
  <c r="L468" i="8" s="1"/>
  <c r="K469" i="8"/>
  <c r="L469" i="8" s="1"/>
  <c r="K470" i="8"/>
  <c r="L470" i="8" s="1"/>
  <c r="K471" i="8"/>
  <c r="L471" i="8" s="1"/>
  <c r="K472" i="8"/>
  <c r="L472" i="8" s="1"/>
  <c r="K473" i="8"/>
  <c r="L473" i="8" s="1"/>
  <c r="K474" i="8"/>
  <c r="L474" i="8" s="1"/>
  <c r="K475" i="8"/>
  <c r="L475" i="8" s="1"/>
  <c r="K476" i="8"/>
  <c r="L476" i="8" s="1"/>
  <c r="K477" i="8"/>
  <c r="L477" i="8" s="1"/>
  <c r="K478" i="8"/>
  <c r="L478" i="8" s="1"/>
  <c r="K479" i="8"/>
  <c r="L479" i="8" s="1"/>
  <c r="K480" i="8"/>
  <c r="L480" i="8" s="1"/>
  <c r="K481" i="8"/>
  <c r="L481" i="8" s="1"/>
  <c r="K482" i="8"/>
  <c r="L482" i="8" s="1"/>
  <c r="K483" i="8"/>
  <c r="L483" i="8" s="1"/>
  <c r="K484" i="8"/>
  <c r="L484" i="8" s="1"/>
  <c r="K485" i="8"/>
  <c r="L485" i="8" s="1"/>
  <c r="K486" i="8"/>
  <c r="L486" i="8" s="1"/>
  <c r="K487" i="8"/>
  <c r="L487" i="8" s="1"/>
  <c r="K488" i="8"/>
  <c r="L488" i="8" s="1"/>
  <c r="K489" i="8"/>
  <c r="L489" i="8" s="1"/>
  <c r="K490" i="8"/>
  <c r="L490" i="8" s="1"/>
  <c r="K491" i="8"/>
  <c r="L491" i="8" s="1"/>
  <c r="K492" i="8"/>
  <c r="L492" i="8" s="1"/>
  <c r="K493" i="8"/>
  <c r="L493" i="8" s="1"/>
  <c r="K494" i="8"/>
  <c r="L494" i="8" s="1"/>
  <c r="K495" i="8"/>
  <c r="L495" i="8" s="1"/>
  <c r="K496" i="8"/>
  <c r="L496" i="8" s="1"/>
  <c r="K497" i="8"/>
  <c r="L497" i="8" s="1"/>
  <c r="K498" i="8"/>
  <c r="L498" i="8" s="1"/>
  <c r="K499" i="8"/>
  <c r="L499" i="8" s="1"/>
  <c r="K500" i="8"/>
  <c r="L500" i="8" s="1"/>
  <c r="K501" i="8"/>
  <c r="L501" i="8" s="1"/>
  <c r="K502" i="8"/>
  <c r="L502" i="8" s="1"/>
  <c r="K503" i="8"/>
  <c r="L503" i="8" s="1"/>
  <c r="K504" i="8"/>
  <c r="L504" i="8" s="1"/>
  <c r="K505" i="8"/>
  <c r="L505" i="8" s="1"/>
  <c r="K506" i="8"/>
  <c r="L506" i="8" s="1"/>
  <c r="K507" i="8"/>
  <c r="L507" i="8" s="1"/>
  <c r="K508" i="8"/>
  <c r="L508" i="8" s="1"/>
  <c r="K509" i="8"/>
  <c r="L509" i="8" s="1"/>
  <c r="K510" i="8"/>
  <c r="L510" i="8" s="1"/>
  <c r="K511" i="8"/>
  <c r="L511" i="8" s="1"/>
  <c r="K512" i="8"/>
  <c r="L512" i="8" s="1"/>
  <c r="K513" i="8"/>
  <c r="L513" i="8" s="1"/>
  <c r="K514" i="8"/>
  <c r="L514" i="8" s="1"/>
  <c r="K515" i="8"/>
  <c r="L515" i="8" s="1"/>
  <c r="K516" i="8"/>
  <c r="L516" i="8" s="1"/>
  <c r="K517" i="8"/>
  <c r="L517" i="8" s="1"/>
  <c r="K518" i="8"/>
  <c r="L518" i="8" s="1"/>
  <c r="K519" i="8"/>
  <c r="L519" i="8" s="1"/>
  <c r="K520" i="8"/>
  <c r="L520" i="8" s="1"/>
  <c r="K521" i="8"/>
  <c r="L521" i="8" s="1"/>
  <c r="K522" i="8"/>
  <c r="L522" i="8" s="1"/>
  <c r="K523" i="8"/>
  <c r="L523" i="8" s="1"/>
  <c r="K524" i="8"/>
  <c r="L524" i="8" s="1"/>
  <c r="K525" i="8"/>
  <c r="L525" i="8" s="1"/>
  <c r="K526" i="8"/>
  <c r="L526" i="8" s="1"/>
  <c r="K527" i="8"/>
  <c r="L527" i="8" s="1"/>
  <c r="K528" i="8"/>
  <c r="L528" i="8" s="1"/>
  <c r="K529" i="8"/>
  <c r="L529" i="8" s="1"/>
  <c r="K530" i="8"/>
  <c r="L530" i="8" s="1"/>
  <c r="K531" i="8"/>
  <c r="L531" i="8" s="1"/>
  <c r="K532" i="8"/>
  <c r="L532" i="8" s="1"/>
  <c r="K533" i="8"/>
  <c r="L533" i="8" s="1"/>
  <c r="K534" i="8"/>
  <c r="L534" i="8" s="1"/>
  <c r="K535" i="8"/>
  <c r="L535" i="8" s="1"/>
  <c r="K536" i="8"/>
  <c r="L536" i="8" s="1"/>
  <c r="K537" i="8"/>
  <c r="L537" i="8" s="1"/>
  <c r="K538" i="8"/>
  <c r="L538" i="8" s="1"/>
  <c r="K539" i="8"/>
  <c r="L539" i="8" s="1"/>
  <c r="K540" i="8"/>
  <c r="L540" i="8" s="1"/>
  <c r="K541" i="8"/>
  <c r="L541" i="8" s="1"/>
  <c r="K542" i="8"/>
  <c r="L542" i="8" s="1"/>
  <c r="K543" i="8"/>
  <c r="L543" i="8" s="1"/>
  <c r="K544" i="8"/>
  <c r="L544" i="8" s="1"/>
  <c r="K545" i="8"/>
  <c r="L545" i="8" s="1"/>
  <c r="K546" i="8"/>
  <c r="L546" i="8" s="1"/>
  <c r="K547" i="8"/>
  <c r="K548" i="8"/>
  <c r="L548" i="8" s="1"/>
  <c r="K549" i="8"/>
  <c r="K550" i="8"/>
  <c r="K551" i="8"/>
  <c r="K552" i="8"/>
  <c r="K553" i="8"/>
  <c r="K554" i="8"/>
  <c r="K555" i="8"/>
  <c r="K556" i="8"/>
  <c r="L556" i="8" s="1"/>
  <c r="K557" i="8"/>
  <c r="L557" i="8" s="1"/>
  <c r="K558" i="8"/>
  <c r="K559" i="8"/>
  <c r="L559" i="8" s="1"/>
  <c r="K560" i="8"/>
  <c r="K561" i="8"/>
  <c r="K562" i="8"/>
  <c r="K563" i="8"/>
  <c r="K564" i="8"/>
  <c r="K565" i="8"/>
  <c r="L565" i="8" s="1"/>
  <c r="K566" i="8"/>
  <c r="L566" i="8" s="1"/>
  <c r="K567" i="8"/>
  <c r="L567" i="8" s="1"/>
  <c r="K568" i="8"/>
  <c r="K569" i="8"/>
  <c r="K570" i="8"/>
  <c r="K571" i="8"/>
  <c r="K572" i="8"/>
  <c r="K573" i="8"/>
  <c r="K574" i="8"/>
  <c r="K575" i="8"/>
  <c r="K576" i="8"/>
  <c r="K577" i="8"/>
  <c r="K578" i="8"/>
  <c r="K579" i="8"/>
  <c r="K580" i="8"/>
  <c r="K581" i="8"/>
  <c r="K582" i="8"/>
  <c r="L582" i="8" s="1"/>
  <c r="K583" i="8"/>
  <c r="K584" i="8"/>
  <c r="K585" i="8"/>
  <c r="K586" i="8"/>
  <c r="K587" i="8"/>
  <c r="L587" i="8" s="1"/>
  <c r="K588" i="8"/>
  <c r="K589" i="8"/>
  <c r="K590" i="8"/>
  <c r="K591" i="8"/>
  <c r="K592" i="8"/>
  <c r="K593" i="8"/>
  <c r="K594" i="8"/>
  <c r="L594" i="8" s="1"/>
  <c r="K595" i="8"/>
  <c r="K596" i="8"/>
  <c r="K597" i="8"/>
  <c r="K598" i="8"/>
  <c r="K599" i="8"/>
  <c r="K600" i="8"/>
  <c r="K601" i="8"/>
  <c r="K602" i="8"/>
  <c r="K603" i="8"/>
  <c r="K604" i="8"/>
  <c r="K605" i="8"/>
  <c r="K606" i="8"/>
  <c r="K607" i="8"/>
  <c r="K608" i="8"/>
  <c r="K609" i="8"/>
  <c r="K610" i="8"/>
  <c r="K611" i="8"/>
  <c r="K612" i="8"/>
  <c r="K613" i="8"/>
  <c r="K614" i="8"/>
  <c r="K615" i="8"/>
  <c r="K616" i="8"/>
  <c r="K617" i="8"/>
  <c r="K618" i="8"/>
  <c r="K619" i="8"/>
  <c r="K620" i="8"/>
  <c r="K621" i="8"/>
  <c r="L621" i="8" s="1"/>
  <c r="K622" i="8"/>
  <c r="K623" i="8"/>
  <c r="K624" i="8"/>
  <c r="K625" i="8"/>
  <c r="K626" i="8"/>
  <c r="K627" i="8"/>
  <c r="K628" i="8"/>
  <c r="L628" i="8" s="1"/>
  <c r="K629" i="8"/>
  <c r="K630" i="8"/>
  <c r="K631" i="8"/>
  <c r="K632" i="8"/>
  <c r="K633" i="8"/>
  <c r="K634" i="8"/>
  <c r="K635" i="8"/>
  <c r="L635" i="8" s="1"/>
  <c r="K636" i="8"/>
  <c r="L636" i="8" s="1"/>
  <c r="K637" i="8"/>
  <c r="L637" i="8" s="1"/>
  <c r="K638" i="8"/>
  <c r="L638" i="8" s="1"/>
  <c r="K639" i="8"/>
  <c r="K640" i="8"/>
  <c r="K641" i="8"/>
  <c r="L641" i="8" s="1"/>
  <c r="K642" i="8"/>
  <c r="L642" i="8" s="1"/>
  <c r="K643" i="8"/>
  <c r="K644" i="8"/>
  <c r="L644" i="8" s="1"/>
  <c r="K645" i="8"/>
  <c r="L645" i="8" s="1"/>
  <c r="K646" i="8"/>
  <c r="L646" i="8" s="1"/>
  <c r="K647" i="8"/>
  <c r="K648" i="8"/>
  <c r="L648" i="8" s="1"/>
  <c r="K649" i="8"/>
  <c r="L649" i="8" s="1"/>
  <c r="K650" i="8"/>
  <c r="K651" i="8"/>
  <c r="L651" i="8" s="1"/>
  <c r="K652" i="8"/>
  <c r="L652" i="8" s="1"/>
  <c r="K653" i="8"/>
  <c r="K654" i="8"/>
  <c r="L654" i="8" s="1"/>
  <c r="K655" i="8"/>
  <c r="K656" i="8"/>
  <c r="L656" i="8" s="1"/>
  <c r="K657" i="8"/>
  <c r="L657" i="8" s="1"/>
  <c r="K658" i="8"/>
  <c r="K659" i="8"/>
  <c r="L659" i="8" s="1"/>
  <c r="K660" i="8"/>
  <c r="K661" i="8"/>
  <c r="K662" i="8"/>
  <c r="K663" i="8"/>
  <c r="K664" i="8"/>
  <c r="K665" i="8"/>
  <c r="L665" i="8" s="1"/>
  <c r="K666" i="8"/>
  <c r="L666" i="8" s="1"/>
  <c r="K667" i="8"/>
  <c r="L667" i="8" s="1"/>
  <c r="K668" i="8"/>
  <c r="K669" i="8"/>
  <c r="L669" i="8" s="1"/>
  <c r="K670" i="8"/>
  <c r="K671" i="8"/>
  <c r="K672" i="8"/>
  <c r="L672" i="8" s="1"/>
  <c r="K673" i="8"/>
  <c r="L673" i="8" s="1"/>
  <c r="K674" i="8"/>
  <c r="L674" i="8" s="1"/>
  <c r="K675" i="8"/>
  <c r="L675" i="8" s="1"/>
  <c r="K676" i="8"/>
  <c r="L676" i="8" s="1"/>
  <c r="K677" i="8"/>
  <c r="L677" i="8" s="1"/>
  <c r="K678" i="8"/>
  <c r="L678" i="8" s="1"/>
  <c r="K679" i="8"/>
  <c r="L679" i="8" s="1"/>
  <c r="K680" i="8"/>
  <c r="L680" i="8" s="1"/>
  <c r="K681" i="8"/>
  <c r="L681" i="8" s="1"/>
  <c r="K682" i="8"/>
  <c r="L682" i="8" s="1"/>
  <c r="K683" i="8"/>
  <c r="L683" i="8" s="1"/>
  <c r="K684" i="8"/>
  <c r="L684" i="8" s="1"/>
  <c r="K685" i="8"/>
  <c r="L685" i="8" s="1"/>
  <c r="K686" i="8"/>
  <c r="L686" i="8" s="1"/>
  <c r="K687" i="8"/>
  <c r="L687" i="8" s="1"/>
  <c r="K688" i="8"/>
  <c r="L688" i="8" s="1"/>
  <c r="K689" i="8"/>
  <c r="L689" i="8" s="1"/>
  <c r="K690" i="8"/>
  <c r="L690" i="8" s="1"/>
  <c r="K691" i="8"/>
  <c r="L691" i="8" s="1"/>
  <c r="K692" i="8"/>
  <c r="L692" i="8" s="1"/>
  <c r="K693" i="8"/>
  <c r="L693" i="8" s="1"/>
  <c r="K10" i="8"/>
  <c r="L10" i="8" s="1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6" i="8"/>
  <c r="O47" i="8"/>
  <c r="O48" i="8"/>
  <c r="O49" i="8"/>
  <c r="O50" i="8"/>
  <c r="O51" i="8"/>
  <c r="O52" i="8"/>
  <c r="O53" i="8"/>
  <c r="O54" i="8"/>
  <c r="O55" i="8"/>
  <c r="O56" i="8"/>
  <c r="O57" i="8"/>
  <c r="O58" i="8"/>
  <c r="O59" i="8"/>
  <c r="O60" i="8"/>
  <c r="O61" i="8"/>
  <c r="O62" i="8"/>
  <c r="O63" i="8"/>
  <c r="O64" i="8"/>
  <c r="O65" i="8"/>
  <c r="O66" i="8"/>
  <c r="O67" i="8"/>
  <c r="O68" i="8"/>
  <c r="O69" i="8"/>
  <c r="O70" i="8"/>
  <c r="O71" i="8"/>
  <c r="O72" i="8"/>
  <c r="O73" i="8"/>
  <c r="O74" i="8"/>
  <c r="O75" i="8"/>
  <c r="O76" i="8"/>
  <c r="O77" i="8"/>
  <c r="O78" i="8"/>
  <c r="O79" i="8"/>
  <c r="O80" i="8"/>
  <c r="O81" i="8"/>
  <c r="O82" i="8"/>
  <c r="O83" i="8"/>
  <c r="O84" i="8"/>
  <c r="O85" i="8"/>
  <c r="O86" i="8"/>
  <c r="O87" i="8"/>
  <c r="O88" i="8"/>
  <c r="O89" i="8"/>
  <c r="O90" i="8"/>
  <c r="O91" i="8"/>
  <c r="O92" i="8"/>
  <c r="O93" i="8"/>
  <c r="O94" i="8"/>
  <c r="O95" i="8"/>
  <c r="O96" i="8"/>
  <c r="O97" i="8"/>
  <c r="O98" i="8"/>
  <c r="O99" i="8"/>
  <c r="O100" i="8"/>
  <c r="O101" i="8"/>
  <c r="O102" i="8"/>
  <c r="O103" i="8"/>
  <c r="O104" i="8"/>
  <c r="O105" i="8"/>
  <c r="O106" i="8"/>
  <c r="O107" i="8"/>
  <c r="O108" i="8"/>
  <c r="O109" i="8"/>
  <c r="O110" i="8"/>
  <c r="O111" i="8"/>
  <c r="O112" i="8"/>
  <c r="O113" i="8"/>
  <c r="O114" i="8"/>
  <c r="O115" i="8"/>
  <c r="O116" i="8"/>
  <c r="O117" i="8"/>
  <c r="O118" i="8"/>
  <c r="O119" i="8"/>
  <c r="O120" i="8"/>
  <c r="O121" i="8"/>
  <c r="O122" i="8"/>
  <c r="O123" i="8"/>
  <c r="O124" i="8"/>
  <c r="O125" i="8"/>
  <c r="O126" i="8"/>
  <c r="O127" i="8"/>
  <c r="O128" i="8"/>
  <c r="O129" i="8"/>
  <c r="O130" i="8"/>
  <c r="O131" i="8"/>
  <c r="O132" i="8"/>
  <c r="O133" i="8"/>
  <c r="O134" i="8"/>
  <c r="O135" i="8"/>
  <c r="O136" i="8"/>
  <c r="O137" i="8"/>
  <c r="O138" i="8"/>
  <c r="O139" i="8"/>
  <c r="O140" i="8"/>
  <c r="O141" i="8"/>
  <c r="O142" i="8"/>
  <c r="O143" i="8"/>
  <c r="O144" i="8"/>
  <c r="O145" i="8"/>
  <c r="O146" i="8"/>
  <c r="O147" i="8"/>
  <c r="O148" i="8"/>
  <c r="O149" i="8"/>
  <c r="O150" i="8"/>
  <c r="O151" i="8"/>
  <c r="O152" i="8"/>
  <c r="O153" i="8"/>
  <c r="O154" i="8"/>
  <c r="O155" i="8"/>
  <c r="O156" i="8"/>
  <c r="O157" i="8"/>
  <c r="O158" i="8"/>
  <c r="O159" i="8"/>
  <c r="O160" i="8"/>
  <c r="O161" i="8"/>
  <c r="O162" i="8"/>
  <c r="O163" i="8"/>
  <c r="O164" i="8"/>
  <c r="O165" i="8"/>
  <c r="O166" i="8"/>
  <c r="O167" i="8"/>
  <c r="O168" i="8"/>
  <c r="O169" i="8"/>
  <c r="O170" i="8"/>
  <c r="O171" i="8"/>
  <c r="O172" i="8"/>
  <c r="O173" i="8"/>
  <c r="O174" i="8"/>
  <c r="O175" i="8"/>
  <c r="O176" i="8"/>
  <c r="O177" i="8"/>
  <c r="O178" i="8"/>
  <c r="O179" i="8"/>
  <c r="O180" i="8"/>
  <c r="O181" i="8"/>
  <c r="O182" i="8"/>
  <c r="O183" i="8"/>
  <c r="O184" i="8"/>
  <c r="O185" i="8"/>
  <c r="O186" i="8"/>
  <c r="O187" i="8"/>
  <c r="O188" i="8"/>
  <c r="O189" i="8"/>
  <c r="O190" i="8"/>
  <c r="O191" i="8"/>
  <c r="O192" i="8"/>
  <c r="O193" i="8"/>
  <c r="O194" i="8"/>
  <c r="O195" i="8"/>
  <c r="O196" i="8"/>
  <c r="O197" i="8"/>
  <c r="O198" i="8"/>
  <c r="O199" i="8"/>
  <c r="O200" i="8"/>
  <c r="O201" i="8"/>
  <c r="O202" i="8"/>
  <c r="O203" i="8"/>
  <c r="O204" i="8"/>
  <c r="O205" i="8"/>
  <c r="O206" i="8"/>
  <c r="O207" i="8"/>
  <c r="O208" i="8"/>
  <c r="O209" i="8"/>
  <c r="O210" i="8"/>
  <c r="O211" i="8"/>
  <c r="O212" i="8"/>
  <c r="O213" i="8"/>
  <c r="O214" i="8"/>
  <c r="O215" i="8"/>
  <c r="O216" i="8"/>
  <c r="O217" i="8"/>
  <c r="O218" i="8"/>
  <c r="O219" i="8"/>
  <c r="O220" i="8"/>
  <c r="O221" i="8"/>
  <c r="O222" i="8"/>
  <c r="O223" i="8"/>
  <c r="O224" i="8"/>
  <c r="O225" i="8"/>
  <c r="O226" i="8"/>
  <c r="O227" i="8"/>
  <c r="O228" i="8"/>
  <c r="O229" i="8"/>
  <c r="O230" i="8"/>
  <c r="O231" i="8"/>
  <c r="O232" i="8"/>
  <c r="O233" i="8"/>
  <c r="O234" i="8"/>
  <c r="O235" i="8"/>
  <c r="O236" i="8"/>
  <c r="O237" i="8"/>
  <c r="O238" i="8"/>
  <c r="O239" i="8"/>
  <c r="O240" i="8"/>
  <c r="O241" i="8"/>
  <c r="O242" i="8"/>
  <c r="O243" i="8"/>
  <c r="O244" i="8"/>
  <c r="O245" i="8"/>
  <c r="O246" i="8"/>
  <c r="O247" i="8"/>
  <c r="O248" i="8"/>
  <c r="O249" i="8"/>
  <c r="O250" i="8"/>
  <c r="O251" i="8"/>
  <c r="O252" i="8"/>
  <c r="O253" i="8"/>
  <c r="O254" i="8"/>
  <c r="O255" i="8"/>
  <c r="O256" i="8"/>
  <c r="O257" i="8"/>
  <c r="O258" i="8"/>
  <c r="O259" i="8"/>
  <c r="O260" i="8"/>
  <c r="O261" i="8"/>
  <c r="O262" i="8"/>
  <c r="O263" i="8"/>
  <c r="O264" i="8"/>
  <c r="O265" i="8"/>
  <c r="O266" i="8"/>
  <c r="O267" i="8"/>
  <c r="O268" i="8"/>
  <c r="O269" i="8"/>
  <c r="O270" i="8"/>
  <c r="O271" i="8"/>
  <c r="O272" i="8"/>
  <c r="O273" i="8"/>
  <c r="O274" i="8"/>
  <c r="O275" i="8"/>
  <c r="O276" i="8"/>
  <c r="O277" i="8"/>
  <c r="O278" i="8"/>
  <c r="O279" i="8"/>
  <c r="O280" i="8"/>
  <c r="O281" i="8"/>
  <c r="O282" i="8"/>
  <c r="O283" i="8"/>
  <c r="O284" i="8"/>
  <c r="O285" i="8"/>
  <c r="O286" i="8"/>
  <c r="O287" i="8"/>
  <c r="O288" i="8"/>
  <c r="O289" i="8"/>
  <c r="O290" i="8"/>
  <c r="O291" i="8"/>
  <c r="O292" i="8"/>
  <c r="O293" i="8"/>
  <c r="O294" i="8"/>
  <c r="O295" i="8"/>
  <c r="O296" i="8"/>
  <c r="O297" i="8"/>
  <c r="O298" i="8"/>
  <c r="O299" i="8"/>
  <c r="O300" i="8"/>
  <c r="O301" i="8"/>
  <c r="O302" i="8"/>
  <c r="O303" i="8"/>
  <c r="O304" i="8"/>
  <c r="O305" i="8"/>
  <c r="O306" i="8"/>
  <c r="O307" i="8"/>
  <c r="O308" i="8"/>
  <c r="O309" i="8"/>
  <c r="O310" i="8"/>
  <c r="O311" i="8"/>
  <c r="O312" i="8"/>
  <c r="O313" i="8"/>
  <c r="O314" i="8"/>
  <c r="O315" i="8"/>
  <c r="O316" i="8"/>
  <c r="O317" i="8"/>
  <c r="O318" i="8"/>
  <c r="O319" i="8"/>
  <c r="O320" i="8"/>
  <c r="O321" i="8"/>
  <c r="O322" i="8"/>
  <c r="O323" i="8"/>
  <c r="O324" i="8"/>
  <c r="O325" i="8"/>
  <c r="O326" i="8"/>
  <c r="O327" i="8"/>
  <c r="O328" i="8"/>
  <c r="O329" i="8"/>
  <c r="O330" i="8"/>
  <c r="O331" i="8"/>
  <c r="O332" i="8"/>
  <c r="O333" i="8"/>
  <c r="O334" i="8"/>
  <c r="O335" i="8"/>
  <c r="O336" i="8"/>
  <c r="O337" i="8"/>
  <c r="O338" i="8"/>
  <c r="O339" i="8"/>
  <c r="O340" i="8"/>
  <c r="O341" i="8"/>
  <c r="O342" i="8"/>
  <c r="O343" i="8"/>
  <c r="O344" i="8"/>
  <c r="O345" i="8"/>
  <c r="O346" i="8"/>
  <c r="O347" i="8"/>
  <c r="O348" i="8"/>
  <c r="O349" i="8"/>
  <c r="O350" i="8"/>
  <c r="O351" i="8"/>
  <c r="O352" i="8"/>
  <c r="O353" i="8"/>
  <c r="O354" i="8"/>
  <c r="O355" i="8"/>
  <c r="O356" i="8"/>
  <c r="O357" i="8"/>
  <c r="O358" i="8"/>
  <c r="O359" i="8"/>
  <c r="O360" i="8"/>
  <c r="O361" i="8"/>
  <c r="O362" i="8"/>
  <c r="O363" i="8"/>
  <c r="O364" i="8"/>
  <c r="O365" i="8"/>
  <c r="O366" i="8"/>
  <c r="O367" i="8"/>
  <c r="O368" i="8"/>
  <c r="O369" i="8"/>
  <c r="O370" i="8"/>
  <c r="O371" i="8"/>
  <c r="O372" i="8"/>
  <c r="O373" i="8"/>
  <c r="O374" i="8"/>
  <c r="O375" i="8"/>
  <c r="O376" i="8"/>
  <c r="O377" i="8"/>
  <c r="O378" i="8"/>
  <c r="O379" i="8"/>
  <c r="O380" i="8"/>
  <c r="O381" i="8"/>
  <c r="O382" i="8"/>
  <c r="O383" i="8"/>
  <c r="O384" i="8"/>
  <c r="O385" i="8"/>
  <c r="O386" i="8"/>
  <c r="O387" i="8"/>
  <c r="O388" i="8"/>
  <c r="O389" i="8"/>
  <c r="O390" i="8"/>
  <c r="O391" i="8"/>
  <c r="O392" i="8"/>
  <c r="O393" i="8"/>
  <c r="O394" i="8"/>
  <c r="O395" i="8"/>
  <c r="O396" i="8"/>
  <c r="O397" i="8"/>
  <c r="O398" i="8"/>
  <c r="O399" i="8"/>
  <c r="O400" i="8"/>
  <c r="O401" i="8"/>
  <c r="O402" i="8"/>
  <c r="O403" i="8"/>
  <c r="O404" i="8"/>
  <c r="O405" i="8"/>
  <c r="O406" i="8"/>
  <c r="O407" i="8"/>
  <c r="O408" i="8"/>
  <c r="O409" i="8"/>
  <c r="O410" i="8"/>
  <c r="O411" i="8"/>
  <c r="O412" i="8"/>
  <c r="O413" i="8"/>
  <c r="O414" i="8"/>
  <c r="O415" i="8"/>
  <c r="O416" i="8"/>
  <c r="O417" i="8"/>
  <c r="O418" i="8"/>
  <c r="O419" i="8"/>
  <c r="O420" i="8"/>
  <c r="O421" i="8"/>
  <c r="O422" i="8"/>
  <c r="O423" i="8"/>
  <c r="O424" i="8"/>
  <c r="O425" i="8"/>
  <c r="O426" i="8"/>
  <c r="O427" i="8"/>
  <c r="O428" i="8"/>
  <c r="O429" i="8"/>
  <c r="O430" i="8"/>
  <c r="O431" i="8"/>
  <c r="O432" i="8"/>
  <c r="O433" i="8"/>
  <c r="O434" i="8"/>
  <c r="O435" i="8"/>
  <c r="O436" i="8"/>
  <c r="O437" i="8"/>
  <c r="O438" i="8"/>
  <c r="O439" i="8"/>
  <c r="O440" i="8"/>
  <c r="O441" i="8"/>
  <c r="O442" i="8"/>
  <c r="O443" i="8"/>
  <c r="O444" i="8"/>
  <c r="O445" i="8"/>
  <c r="O446" i="8"/>
  <c r="O447" i="8"/>
  <c r="O448" i="8"/>
  <c r="O449" i="8"/>
  <c r="O450" i="8"/>
  <c r="O451" i="8"/>
  <c r="O452" i="8"/>
  <c r="O453" i="8"/>
  <c r="O454" i="8"/>
  <c r="O455" i="8"/>
  <c r="O456" i="8"/>
  <c r="O457" i="8"/>
  <c r="O458" i="8"/>
  <c r="O459" i="8"/>
  <c r="O460" i="8"/>
  <c r="O461" i="8"/>
  <c r="O462" i="8"/>
  <c r="O463" i="8"/>
  <c r="O464" i="8"/>
  <c r="O465" i="8"/>
  <c r="O466" i="8"/>
  <c r="O467" i="8"/>
  <c r="O468" i="8"/>
  <c r="O469" i="8"/>
  <c r="O470" i="8"/>
  <c r="O471" i="8"/>
  <c r="O472" i="8"/>
  <c r="O473" i="8"/>
  <c r="O474" i="8"/>
  <c r="O475" i="8"/>
  <c r="O476" i="8"/>
  <c r="O477" i="8"/>
  <c r="O478" i="8"/>
  <c r="O479" i="8"/>
  <c r="O480" i="8"/>
  <c r="O481" i="8"/>
  <c r="O482" i="8"/>
  <c r="O483" i="8"/>
  <c r="O484" i="8"/>
  <c r="O485" i="8"/>
  <c r="O486" i="8"/>
  <c r="O487" i="8"/>
  <c r="O488" i="8"/>
  <c r="O489" i="8"/>
  <c r="O490" i="8"/>
  <c r="O491" i="8"/>
  <c r="O492" i="8"/>
  <c r="O493" i="8"/>
  <c r="O494" i="8"/>
  <c r="O495" i="8"/>
  <c r="O496" i="8"/>
  <c r="O497" i="8"/>
  <c r="O498" i="8"/>
  <c r="O499" i="8"/>
  <c r="O500" i="8"/>
  <c r="O501" i="8"/>
  <c r="O502" i="8"/>
  <c r="O503" i="8"/>
  <c r="O504" i="8"/>
  <c r="O505" i="8"/>
  <c r="O506" i="8"/>
  <c r="O507" i="8"/>
  <c r="O508" i="8"/>
  <c r="O509" i="8"/>
  <c r="O510" i="8"/>
  <c r="O511" i="8"/>
  <c r="O512" i="8"/>
  <c r="O513" i="8"/>
  <c r="O514" i="8"/>
  <c r="O515" i="8"/>
  <c r="O516" i="8"/>
  <c r="O517" i="8"/>
  <c r="O518" i="8"/>
  <c r="O519" i="8"/>
  <c r="O520" i="8"/>
  <c r="O521" i="8"/>
  <c r="O522" i="8"/>
  <c r="O523" i="8"/>
  <c r="O524" i="8"/>
  <c r="O525" i="8"/>
  <c r="O526" i="8"/>
  <c r="O527" i="8"/>
  <c r="O528" i="8"/>
  <c r="O529" i="8"/>
  <c r="O530" i="8"/>
  <c r="O531" i="8"/>
  <c r="O532" i="8"/>
  <c r="O533" i="8"/>
  <c r="O534" i="8"/>
  <c r="O535" i="8"/>
  <c r="O536" i="8"/>
  <c r="O537" i="8"/>
  <c r="O538" i="8"/>
  <c r="O539" i="8"/>
  <c r="O540" i="8"/>
  <c r="O541" i="8"/>
  <c r="O542" i="8"/>
  <c r="O543" i="8"/>
  <c r="O544" i="8"/>
  <c r="O545" i="8"/>
  <c r="O546" i="8"/>
  <c r="O548" i="8"/>
  <c r="O549" i="8"/>
  <c r="P549" i="8" s="1"/>
  <c r="O550" i="8"/>
  <c r="P550" i="8" s="1"/>
  <c r="O551" i="8"/>
  <c r="P551" i="8" s="1"/>
  <c r="O552" i="8"/>
  <c r="P552" i="8" s="1"/>
  <c r="O554" i="8"/>
  <c r="P554" i="8" s="1"/>
  <c r="O555" i="8"/>
  <c r="P555" i="8" s="1"/>
  <c r="O556" i="8"/>
  <c r="O557" i="8"/>
  <c r="O559" i="8"/>
  <c r="O560" i="8"/>
  <c r="P560" i="8" s="1"/>
  <c r="O561" i="8"/>
  <c r="P561" i="8" s="1"/>
  <c r="O562" i="8"/>
  <c r="P562" i="8" s="1"/>
  <c r="O563" i="8"/>
  <c r="P563" i="8" s="1"/>
  <c r="O564" i="8"/>
  <c r="P564" i="8" s="1"/>
  <c r="O565" i="8"/>
  <c r="O566" i="8"/>
  <c r="O567" i="8"/>
  <c r="O568" i="8"/>
  <c r="P568" i="8" s="1"/>
  <c r="O569" i="8"/>
  <c r="P569" i="8" s="1"/>
  <c r="O571" i="8"/>
  <c r="P571" i="8" s="1"/>
  <c r="O573" i="8"/>
  <c r="P573" i="8" s="1"/>
  <c r="O574" i="8"/>
  <c r="P574" i="8" s="1"/>
  <c r="O575" i="8"/>
  <c r="P575" i="8" s="1"/>
  <c r="O576" i="8"/>
  <c r="P576" i="8" s="1"/>
  <c r="O577" i="8"/>
  <c r="P577" i="8" s="1"/>
  <c r="O578" i="8"/>
  <c r="P578" i="8" s="1"/>
  <c r="O579" i="8"/>
  <c r="P579" i="8" s="1"/>
  <c r="O580" i="8"/>
  <c r="P580" i="8" s="1"/>
  <c r="O581" i="8"/>
  <c r="P581" i="8" s="1"/>
  <c r="O582" i="8"/>
  <c r="O583" i="8"/>
  <c r="P583" i="8" s="1"/>
  <c r="O584" i="8"/>
  <c r="P584" i="8" s="1"/>
  <c r="O585" i="8"/>
  <c r="P585" i="8" s="1"/>
  <c r="O586" i="8"/>
  <c r="P586" i="8" s="1"/>
  <c r="O587" i="8"/>
  <c r="O588" i="8"/>
  <c r="P588" i="8" s="1"/>
  <c r="O589" i="8"/>
  <c r="P589" i="8" s="1"/>
  <c r="O590" i="8"/>
  <c r="P590" i="8" s="1"/>
  <c r="O591" i="8"/>
  <c r="P591" i="8" s="1"/>
  <c r="O592" i="8"/>
  <c r="P592" i="8" s="1"/>
  <c r="O593" i="8"/>
  <c r="P593" i="8" s="1"/>
  <c r="O594" i="8"/>
  <c r="O595" i="8"/>
  <c r="P595" i="8" s="1"/>
  <c r="O596" i="8"/>
  <c r="P596" i="8" s="1"/>
  <c r="O597" i="8"/>
  <c r="P597" i="8" s="1"/>
  <c r="O598" i="8"/>
  <c r="P598" i="8" s="1"/>
  <c r="O600" i="8"/>
  <c r="P600" i="8" s="1"/>
  <c r="O602" i="8"/>
  <c r="P602" i="8" s="1"/>
  <c r="O603" i="8"/>
  <c r="P603" i="8" s="1"/>
  <c r="O604" i="8"/>
  <c r="P604" i="8" s="1"/>
  <c r="O605" i="8"/>
  <c r="P605" i="8" s="1"/>
  <c r="O606" i="8"/>
  <c r="P606" i="8" s="1"/>
  <c r="O607" i="8"/>
  <c r="P607" i="8" s="1"/>
  <c r="O608" i="8"/>
  <c r="P608" i="8" s="1"/>
  <c r="O609" i="8"/>
  <c r="P609" i="8" s="1"/>
  <c r="O610" i="8"/>
  <c r="P610" i="8" s="1"/>
  <c r="O611" i="8"/>
  <c r="P611" i="8" s="1"/>
  <c r="O612" i="8"/>
  <c r="P612" i="8" s="1"/>
  <c r="O613" i="8"/>
  <c r="P613" i="8" s="1"/>
  <c r="O614" i="8"/>
  <c r="P614" i="8" s="1"/>
  <c r="O615" i="8"/>
  <c r="P615" i="8" s="1"/>
  <c r="O616" i="8"/>
  <c r="P616" i="8" s="1"/>
  <c r="O618" i="8"/>
  <c r="P618" i="8" s="1"/>
  <c r="O619" i="8"/>
  <c r="P619" i="8" s="1"/>
  <c r="O621" i="8"/>
  <c r="O623" i="8"/>
  <c r="P623" i="8" s="1"/>
  <c r="O624" i="8"/>
  <c r="P624" i="8" s="1"/>
  <c r="O626" i="8"/>
  <c r="P626" i="8" s="1"/>
  <c r="O627" i="8"/>
  <c r="P627" i="8" s="1"/>
  <c r="O628" i="8"/>
  <c r="O629" i="8"/>
  <c r="P629" i="8" s="1"/>
  <c r="O630" i="8"/>
  <c r="P630" i="8" s="1"/>
  <c r="O631" i="8"/>
  <c r="P631" i="8" s="1"/>
  <c r="O632" i="8"/>
  <c r="P632" i="8" s="1"/>
  <c r="O633" i="8"/>
  <c r="P633" i="8" s="1"/>
  <c r="O634" i="8"/>
  <c r="P634" i="8" s="1"/>
  <c r="O635" i="8"/>
  <c r="O636" i="8"/>
  <c r="O637" i="8"/>
  <c r="O638" i="8"/>
  <c r="O639" i="8"/>
  <c r="P639" i="8" s="1"/>
  <c r="O640" i="8"/>
  <c r="P640" i="8" s="1"/>
  <c r="O641" i="8"/>
  <c r="O642" i="8"/>
  <c r="O644" i="8"/>
  <c r="O645" i="8"/>
  <c r="O646" i="8"/>
  <c r="O647" i="8"/>
  <c r="P647" i="8" s="1"/>
  <c r="O648" i="8"/>
  <c r="O649" i="8"/>
  <c r="O650" i="8"/>
  <c r="P650" i="8" s="1"/>
  <c r="O651" i="8"/>
  <c r="O652" i="8"/>
  <c r="O653" i="8"/>
  <c r="P653" i="8" s="1"/>
  <c r="O654" i="8"/>
  <c r="O655" i="8"/>
  <c r="P655" i="8" s="1"/>
  <c r="O656" i="8"/>
  <c r="O657" i="8"/>
  <c r="O658" i="8"/>
  <c r="P658" i="8" s="1"/>
  <c r="O659" i="8"/>
  <c r="O661" i="8"/>
  <c r="P661" i="8" s="1"/>
  <c r="O662" i="8"/>
  <c r="P662" i="8" s="1"/>
  <c r="O663" i="8"/>
  <c r="P663" i="8" s="1"/>
  <c r="O664" i="8"/>
  <c r="P664" i="8" s="1"/>
  <c r="O665" i="8"/>
  <c r="O666" i="8"/>
  <c r="O667" i="8"/>
  <c r="O668" i="8"/>
  <c r="P668" i="8" s="1"/>
  <c r="O669" i="8"/>
  <c r="O670" i="8"/>
  <c r="P670" i="8" s="1"/>
  <c r="O671" i="8"/>
  <c r="P671" i="8" s="1"/>
  <c r="O672" i="8"/>
  <c r="O673" i="8"/>
  <c r="O674" i="8"/>
  <c r="O675" i="8"/>
  <c r="O676" i="8"/>
  <c r="O677" i="8"/>
  <c r="O678" i="8"/>
  <c r="O679" i="8"/>
  <c r="O680" i="8"/>
  <c r="O681" i="8"/>
  <c r="O682" i="8"/>
  <c r="O683" i="8"/>
  <c r="O684" i="8"/>
  <c r="O685" i="8"/>
  <c r="O686" i="8"/>
  <c r="O687" i="8"/>
  <c r="O688" i="8"/>
  <c r="O689" i="8"/>
  <c r="O690" i="8"/>
  <c r="O691" i="8"/>
  <c r="O692" i="8"/>
  <c r="O693" i="8"/>
  <c r="O10" i="8"/>
  <c r="N10" i="8"/>
  <c r="E6" i="15"/>
  <c r="C6" i="15"/>
  <c r="F53" i="26" l="1"/>
  <c r="K45" i="26"/>
  <c r="W53" i="23"/>
  <c r="T53" i="23"/>
  <c r="F493" i="18"/>
  <c r="F501" i="18"/>
  <c r="F525" i="18"/>
  <c r="F541" i="18"/>
  <c r="F549" i="18"/>
  <c r="F557" i="18"/>
  <c r="F565" i="18"/>
  <c r="F573" i="18"/>
  <c r="F581" i="18"/>
  <c r="F589" i="18"/>
  <c r="F597" i="18"/>
  <c r="F605" i="18"/>
  <c r="F613" i="18"/>
  <c r="F621" i="18"/>
  <c r="F629" i="18"/>
  <c r="F637" i="18"/>
  <c r="F645" i="18"/>
  <c r="F653" i="18"/>
  <c r="F661" i="18"/>
  <c r="F669" i="18"/>
  <c r="F5" i="17"/>
  <c r="F13" i="17"/>
  <c r="F21" i="17"/>
  <c r="F677" i="18"/>
  <c r="F685" i="18"/>
  <c r="F693" i="18"/>
  <c r="F701" i="18"/>
  <c r="F709" i="18"/>
  <c r="F3" i="17"/>
  <c r="F7" i="17"/>
  <c r="F11" i="17"/>
  <c r="F15" i="17"/>
  <c r="F19" i="17"/>
  <c r="J55" i="23"/>
  <c r="F2" i="17"/>
  <c r="F10" i="17"/>
  <c r="F18" i="17"/>
  <c r="F99" i="18"/>
  <c r="F107" i="18"/>
  <c r="F115" i="18"/>
  <c r="F123" i="18"/>
  <c r="F131" i="18"/>
  <c r="F275" i="18"/>
  <c r="F507" i="18"/>
  <c r="F523" i="18"/>
  <c r="F547" i="18"/>
  <c r="F555" i="18"/>
  <c r="F563" i="18"/>
  <c r="F571" i="18"/>
  <c r="F579" i="18"/>
  <c r="F587" i="18"/>
  <c r="F595" i="18"/>
  <c r="F603" i="18"/>
  <c r="F611" i="18"/>
  <c r="F619" i="18"/>
  <c r="F627" i="18"/>
  <c r="F635" i="18"/>
  <c r="F643" i="18"/>
  <c r="F651" i="18"/>
  <c r="F659" i="18"/>
  <c r="F667" i="18"/>
  <c r="F675" i="18"/>
  <c r="F683" i="18"/>
  <c r="F691" i="18"/>
  <c r="F699" i="18"/>
  <c r="F707" i="18"/>
  <c r="F8" i="17"/>
  <c r="F16" i="17"/>
  <c r="F6" i="17"/>
  <c r="F14" i="17"/>
  <c r="F22" i="17"/>
  <c r="F4" i="17"/>
  <c r="F12" i="17"/>
  <c r="F20" i="17"/>
  <c r="C34" i="15"/>
  <c r="F18" i="18"/>
  <c r="F26" i="18"/>
  <c r="F34" i="18"/>
  <c r="C51" i="15"/>
  <c r="F103" i="18"/>
  <c r="F119" i="18"/>
  <c r="F135" i="18"/>
  <c r="F271" i="18"/>
  <c r="F279" i="18"/>
  <c r="F503" i="18"/>
  <c r="F100" i="18"/>
  <c r="F108" i="18"/>
  <c r="F116" i="18"/>
  <c r="F124" i="18"/>
  <c r="F132" i="18"/>
  <c r="F303" i="18"/>
  <c r="F426" i="18"/>
  <c r="F42" i="18"/>
  <c r="F458" i="18"/>
  <c r="F50" i="18"/>
  <c r="F58" i="18"/>
  <c r="F66" i="18"/>
  <c r="F16" i="18"/>
  <c r="F24" i="18"/>
  <c r="F32" i="18"/>
  <c r="F40" i="18"/>
  <c r="F48" i="18"/>
  <c r="F56" i="18"/>
  <c r="F64" i="18"/>
  <c r="F72" i="18"/>
  <c r="F80" i="18"/>
  <c r="F427" i="18"/>
  <c r="F459" i="18"/>
  <c r="F491" i="18"/>
  <c r="F414" i="18"/>
  <c r="F446" i="18"/>
  <c r="F478" i="18"/>
  <c r="F420" i="18"/>
  <c r="F452" i="18"/>
  <c r="F9" i="18"/>
  <c r="F74" i="18"/>
  <c r="F490" i="18"/>
  <c r="F8" i="18"/>
  <c r="F14" i="18"/>
  <c r="F22" i="18"/>
  <c r="F30" i="18"/>
  <c r="F38" i="18"/>
  <c r="F46" i="18"/>
  <c r="F54" i="18"/>
  <c r="F62" i="18"/>
  <c r="F70" i="18"/>
  <c r="F78" i="18"/>
  <c r="F11" i="18"/>
  <c r="F20" i="18"/>
  <c r="F28" i="18"/>
  <c r="F36" i="18"/>
  <c r="F44" i="18"/>
  <c r="F52" i="18"/>
  <c r="F60" i="18"/>
  <c r="F68" i="18"/>
  <c r="F76" i="18"/>
  <c r="F92" i="18"/>
  <c r="F300" i="18"/>
  <c r="F305" i="18"/>
  <c r="F313" i="18"/>
  <c r="F710" i="18"/>
  <c r="F4" i="18"/>
  <c r="F535" i="18"/>
  <c r="F83" i="18"/>
  <c r="F91" i="18"/>
  <c r="F96" i="18"/>
  <c r="F112" i="18"/>
  <c r="F128" i="18"/>
  <c r="F272" i="18"/>
  <c r="F288" i="18"/>
  <c r="F309" i="18"/>
  <c r="F319" i="18"/>
  <c r="F327" i="18"/>
  <c r="F335" i="18"/>
  <c r="F343" i="18"/>
  <c r="F351" i="18"/>
  <c r="F359" i="18"/>
  <c r="F367" i="18"/>
  <c r="F375" i="18"/>
  <c r="F383" i="18"/>
  <c r="F391" i="18"/>
  <c r="F399" i="18"/>
  <c r="F407" i="18"/>
  <c r="F439" i="18"/>
  <c r="F471" i="18"/>
  <c r="F519" i="18"/>
  <c r="F84" i="18"/>
  <c r="F94" i="18"/>
  <c r="F110" i="18"/>
  <c r="F126" i="18"/>
  <c r="F273" i="18"/>
  <c r="F291" i="18"/>
  <c r="F312" i="18"/>
  <c r="F317" i="18"/>
  <c r="F325" i="18"/>
  <c r="F333" i="18"/>
  <c r="F341" i="18"/>
  <c r="F349" i="18"/>
  <c r="F357" i="18"/>
  <c r="F365" i="18"/>
  <c r="F373" i="18"/>
  <c r="F381" i="18"/>
  <c r="F389" i="18"/>
  <c r="F397" i="18"/>
  <c r="F405" i="18"/>
  <c r="F429" i="18"/>
  <c r="F437" i="18"/>
  <c r="F461" i="18"/>
  <c r="F469" i="18"/>
  <c r="F530" i="18"/>
  <c r="F87" i="18"/>
  <c r="F284" i="18"/>
  <c r="F297" i="18"/>
  <c r="F395" i="18"/>
  <c r="F403" i="18"/>
  <c r="F411" i="18"/>
  <c r="F443" i="18"/>
  <c r="F475" i="18"/>
  <c r="F531" i="18"/>
  <c r="F295" i="18"/>
  <c r="F321" i="18"/>
  <c r="F329" i="18"/>
  <c r="F337" i="18"/>
  <c r="F345" i="18"/>
  <c r="F353" i="18"/>
  <c r="F361" i="18"/>
  <c r="F369" i="18"/>
  <c r="F377" i="18"/>
  <c r="F385" i="18"/>
  <c r="F393" i="18"/>
  <c r="F401" i="18"/>
  <c r="F433" i="18"/>
  <c r="F465" i="18"/>
  <c r="F510" i="18"/>
  <c r="F518" i="18"/>
  <c r="F617" i="18"/>
  <c r="F625" i="18"/>
  <c r="F633" i="18"/>
  <c r="F641" i="18"/>
  <c r="F649" i="18"/>
  <c r="F657" i="18"/>
  <c r="F665" i="18"/>
  <c r="F673" i="18"/>
  <c r="F681" i="18"/>
  <c r="F689" i="18"/>
  <c r="F697" i="18"/>
  <c r="F705" i="18"/>
  <c r="F12" i="18"/>
  <c r="F15" i="18"/>
  <c r="F23" i="18"/>
  <c r="F31" i="18"/>
  <c r="F39" i="18"/>
  <c r="F47" i="18"/>
  <c r="F55" i="18"/>
  <c r="F63" i="18"/>
  <c r="F71" i="18"/>
  <c r="F102" i="18"/>
  <c r="F120" i="18"/>
  <c r="F130" i="18"/>
  <c r="F138" i="18"/>
  <c r="F146" i="18"/>
  <c r="F154" i="18"/>
  <c r="F162" i="18"/>
  <c r="F170" i="18"/>
  <c r="F178" i="18"/>
  <c r="F186" i="18"/>
  <c r="F194" i="18"/>
  <c r="F202" i="18"/>
  <c r="F210" i="18"/>
  <c r="F218" i="18"/>
  <c r="F226" i="18"/>
  <c r="F234" i="18"/>
  <c r="F242" i="18"/>
  <c r="F250" i="18"/>
  <c r="F258" i="18"/>
  <c r="F266" i="18"/>
  <c r="F304" i="18"/>
  <c r="F410" i="18"/>
  <c r="F423" i="18"/>
  <c r="F431" i="18"/>
  <c r="F449" i="18"/>
  <c r="F499" i="18"/>
  <c r="F527" i="18"/>
  <c r="F7" i="18"/>
  <c r="F13" i="18"/>
  <c r="F21" i="18"/>
  <c r="F29" i="18"/>
  <c r="F37" i="18"/>
  <c r="F45" i="18"/>
  <c r="F53" i="18"/>
  <c r="F61" i="18"/>
  <c r="F69" i="18"/>
  <c r="F77" i="18"/>
  <c r="F82" i="18"/>
  <c r="F90" i="18"/>
  <c r="F118" i="18"/>
  <c r="F136" i="18"/>
  <c r="F240" i="18"/>
  <c r="F248" i="18"/>
  <c r="F256" i="18"/>
  <c r="F264" i="18"/>
  <c r="F277" i="18"/>
  <c r="F287" i="18"/>
  <c r="F307" i="18"/>
  <c r="F421" i="18"/>
  <c r="F442" i="18"/>
  <c r="F463" i="18"/>
  <c r="F481" i="18"/>
  <c r="F515" i="18"/>
  <c r="F690" i="18"/>
  <c r="F698" i="18"/>
  <c r="F706" i="18"/>
  <c r="F5" i="18"/>
  <c r="F19" i="18"/>
  <c r="F27" i="18"/>
  <c r="F35" i="18"/>
  <c r="F43" i="18"/>
  <c r="F51" i="18"/>
  <c r="F59" i="18"/>
  <c r="F67" i="18"/>
  <c r="F75" i="18"/>
  <c r="F88" i="18"/>
  <c r="F98" i="18"/>
  <c r="F106" i="18"/>
  <c r="F134" i="18"/>
  <c r="F142" i="18"/>
  <c r="F150" i="18"/>
  <c r="F158" i="18"/>
  <c r="F166" i="18"/>
  <c r="F174" i="18"/>
  <c r="F238" i="18"/>
  <c r="F246" i="18"/>
  <c r="F254" i="18"/>
  <c r="F262" i="18"/>
  <c r="F280" i="18"/>
  <c r="F293" i="18"/>
  <c r="F435" i="18"/>
  <c r="F453" i="18"/>
  <c r="F474" i="18"/>
  <c r="F495" i="18"/>
  <c r="F513" i="18"/>
  <c r="F539" i="18"/>
  <c r="F3" i="18"/>
  <c r="F17" i="18"/>
  <c r="F25" i="18"/>
  <c r="F33" i="18"/>
  <c r="F41" i="18"/>
  <c r="F49" i="18"/>
  <c r="F57" i="18"/>
  <c r="F65" i="18"/>
  <c r="F73" i="18"/>
  <c r="F86" i="18"/>
  <c r="F104" i="18"/>
  <c r="F114" i="18"/>
  <c r="F122" i="18"/>
  <c r="F140" i="18"/>
  <c r="F148" i="18"/>
  <c r="F156" i="18"/>
  <c r="F164" i="18"/>
  <c r="F172" i="18"/>
  <c r="F180" i="18"/>
  <c r="F188" i="18"/>
  <c r="F196" i="18"/>
  <c r="F204" i="18"/>
  <c r="F212" i="18"/>
  <c r="F220" i="18"/>
  <c r="F228" i="18"/>
  <c r="F236" i="18"/>
  <c r="F244" i="18"/>
  <c r="F252" i="18"/>
  <c r="F260" i="18"/>
  <c r="F268" i="18"/>
  <c r="F278" i="18"/>
  <c r="F283" i="18"/>
  <c r="F296" i="18"/>
  <c r="F311" i="18"/>
  <c r="F417" i="18"/>
  <c r="F467" i="18"/>
  <c r="F485" i="18"/>
  <c r="F506" i="18"/>
  <c r="F81" i="18"/>
  <c r="F97" i="18"/>
  <c r="F113" i="18"/>
  <c r="F129" i="18"/>
  <c r="F141" i="18"/>
  <c r="F149" i="18"/>
  <c r="F157" i="18"/>
  <c r="F165" i="18"/>
  <c r="F173" i="18"/>
  <c r="F181" i="18"/>
  <c r="F205" i="18"/>
  <c r="F213" i="18"/>
  <c r="F221" i="18"/>
  <c r="F229" i="18"/>
  <c r="F237" i="18"/>
  <c r="F245" i="18"/>
  <c r="F253" i="18"/>
  <c r="F261" i="18"/>
  <c r="F269" i="18"/>
  <c r="F294" i="18"/>
  <c r="F299" i="18"/>
  <c r="F692" i="18"/>
  <c r="F700" i="18"/>
  <c r="F708" i="18"/>
  <c r="F10" i="18"/>
  <c r="F93" i="18"/>
  <c r="F109" i="18"/>
  <c r="F125" i="18"/>
  <c r="F139" i="18"/>
  <c r="F147" i="18"/>
  <c r="F155" i="18"/>
  <c r="F163" i="18"/>
  <c r="F171" i="18"/>
  <c r="F179" i="18"/>
  <c r="F187" i="18"/>
  <c r="F195" i="18"/>
  <c r="F203" i="18"/>
  <c r="F211" i="18"/>
  <c r="F219" i="18"/>
  <c r="F227" i="18"/>
  <c r="F235" i="18"/>
  <c r="F243" i="18"/>
  <c r="F251" i="18"/>
  <c r="F259" i="18"/>
  <c r="F267" i="18"/>
  <c r="F320" i="18"/>
  <c r="F328" i="18"/>
  <c r="F336" i="18"/>
  <c r="F344" i="18"/>
  <c r="F352" i="18"/>
  <c r="F360" i="18"/>
  <c r="F368" i="18"/>
  <c r="F376" i="18"/>
  <c r="F384" i="18"/>
  <c r="F392" i="18"/>
  <c r="F400" i="18"/>
  <c r="F413" i="18"/>
  <c r="F447" i="18"/>
  <c r="F455" i="18"/>
  <c r="F489" i="18"/>
  <c r="F79" i="18"/>
  <c r="F127" i="18"/>
  <c r="F200" i="18"/>
  <c r="F182" i="18"/>
  <c r="F190" i="18"/>
  <c r="F198" i="18"/>
  <c r="F206" i="18"/>
  <c r="F214" i="18"/>
  <c r="F222" i="18"/>
  <c r="F230" i="18"/>
  <c r="F285" i="18"/>
  <c r="F310" i="18"/>
  <c r="F168" i="18"/>
  <c r="F184" i="18"/>
  <c r="F208" i="18"/>
  <c r="F224" i="18"/>
  <c r="F6" i="18"/>
  <c r="F89" i="18"/>
  <c r="F105" i="18"/>
  <c r="F121" i="18"/>
  <c r="F137" i="18"/>
  <c r="F145" i="18"/>
  <c r="F153" i="18"/>
  <c r="F161" i="18"/>
  <c r="F169" i="18"/>
  <c r="F177" i="18"/>
  <c r="F185" i="18"/>
  <c r="F193" i="18"/>
  <c r="F201" i="18"/>
  <c r="F209" i="18"/>
  <c r="F217" i="18"/>
  <c r="F225" i="18"/>
  <c r="F233" i="18"/>
  <c r="F241" i="18"/>
  <c r="F249" i="18"/>
  <c r="F257" i="18"/>
  <c r="F265" i="18"/>
  <c r="F189" i="18"/>
  <c r="F111" i="18"/>
  <c r="F152" i="18"/>
  <c r="F192" i="18"/>
  <c r="F197" i="18"/>
  <c r="F95" i="18"/>
  <c r="F144" i="18"/>
  <c r="F160" i="18"/>
  <c r="F176" i="18"/>
  <c r="F216" i="18"/>
  <c r="F232" i="18"/>
  <c r="F2" i="18"/>
  <c r="F85" i="18"/>
  <c r="F101" i="18"/>
  <c r="F117" i="18"/>
  <c r="F133" i="18"/>
  <c r="F143" i="18"/>
  <c r="F151" i="18"/>
  <c r="F159" i="18"/>
  <c r="F167" i="18"/>
  <c r="F175" i="18"/>
  <c r="F183" i="18"/>
  <c r="F191" i="18"/>
  <c r="F199" i="18"/>
  <c r="F207" i="18"/>
  <c r="F215" i="18"/>
  <c r="F223" i="18"/>
  <c r="F231" i="18"/>
  <c r="F239" i="18"/>
  <c r="F247" i="18"/>
  <c r="F255" i="18"/>
  <c r="F263" i="18"/>
  <c r="F301" i="18"/>
  <c r="F276" i="18"/>
  <c r="F292" i="18"/>
  <c r="F308" i="18"/>
  <c r="F315" i="18"/>
  <c r="F323" i="18"/>
  <c r="F331" i="18"/>
  <c r="F339" i="18"/>
  <c r="F347" i="18"/>
  <c r="F355" i="18"/>
  <c r="F363" i="18"/>
  <c r="F371" i="18"/>
  <c r="F379" i="18"/>
  <c r="F387" i="18"/>
  <c r="F484" i="18"/>
  <c r="F274" i="18"/>
  <c r="F290" i="18"/>
  <c r="F306" i="18"/>
  <c r="F318" i="18"/>
  <c r="F326" i="18"/>
  <c r="F334" i="18"/>
  <c r="F342" i="18"/>
  <c r="F350" i="18"/>
  <c r="F358" i="18"/>
  <c r="F366" i="18"/>
  <c r="F374" i="18"/>
  <c r="F382" i="18"/>
  <c r="F390" i="18"/>
  <c r="F398" i="18"/>
  <c r="F406" i="18"/>
  <c r="F445" i="18"/>
  <c r="F479" i="18"/>
  <c r="F487" i="18"/>
  <c r="F270" i="18"/>
  <c r="F286" i="18"/>
  <c r="F302" i="18"/>
  <c r="F316" i="18"/>
  <c r="F324" i="18"/>
  <c r="F332" i="18"/>
  <c r="F340" i="18"/>
  <c r="F348" i="18"/>
  <c r="F356" i="18"/>
  <c r="F364" i="18"/>
  <c r="F372" i="18"/>
  <c r="F380" i="18"/>
  <c r="F388" i="18"/>
  <c r="F396" i="18"/>
  <c r="F404" i="18"/>
  <c r="F425" i="18"/>
  <c r="F477" i="18"/>
  <c r="F511" i="18"/>
  <c r="F282" i="18"/>
  <c r="F298" i="18"/>
  <c r="F314" i="18"/>
  <c r="F322" i="18"/>
  <c r="F330" i="18"/>
  <c r="F338" i="18"/>
  <c r="F346" i="18"/>
  <c r="F354" i="18"/>
  <c r="F362" i="18"/>
  <c r="F370" i="18"/>
  <c r="F378" i="18"/>
  <c r="F386" i="18"/>
  <c r="F394" i="18"/>
  <c r="F402" i="18"/>
  <c r="F415" i="18"/>
  <c r="F457" i="18"/>
  <c r="F509" i="18"/>
  <c r="F430" i="18"/>
  <c r="F462" i="18"/>
  <c r="F494" i="18"/>
  <c r="F516" i="18"/>
  <c r="F521" i="18"/>
  <c r="F533" i="18"/>
  <c r="F538" i="18"/>
  <c r="F543" i="18"/>
  <c r="F551" i="18"/>
  <c r="F559" i="18"/>
  <c r="F567" i="18"/>
  <c r="F575" i="18"/>
  <c r="F583" i="18"/>
  <c r="F591" i="18"/>
  <c r="F599" i="18"/>
  <c r="F607" i="18"/>
  <c r="F615" i="18"/>
  <c r="F623" i="18"/>
  <c r="F631" i="18"/>
  <c r="F639" i="18"/>
  <c r="F647" i="18"/>
  <c r="F655" i="18"/>
  <c r="F663" i="18"/>
  <c r="F671" i="18"/>
  <c r="F679" i="18"/>
  <c r="F687" i="18"/>
  <c r="F695" i="18"/>
  <c r="F703" i="18"/>
  <c r="F418" i="18"/>
  <c r="F438" i="18"/>
  <c r="F450" i="18"/>
  <c r="F470" i="18"/>
  <c r="F482" i="18"/>
  <c r="F502" i="18"/>
  <c r="F514" i="18"/>
  <c r="F526" i="18"/>
  <c r="F409" i="18"/>
  <c r="F419" i="18"/>
  <c r="F436" i="18"/>
  <c r="F441" i="18"/>
  <c r="F451" i="18"/>
  <c r="F468" i="18"/>
  <c r="F473" i="18"/>
  <c r="F483" i="18"/>
  <c r="F500" i="18"/>
  <c r="F505" i="18"/>
  <c r="F517" i="18"/>
  <c r="F522" i="18"/>
  <c r="F529" i="18"/>
  <c r="F534" i="18"/>
  <c r="F544" i="18"/>
  <c r="F552" i="18"/>
  <c r="F560" i="18"/>
  <c r="F568" i="18"/>
  <c r="F576" i="18"/>
  <c r="F584" i="18"/>
  <c r="F592" i="18"/>
  <c r="F600" i="18"/>
  <c r="F608" i="18"/>
  <c r="F616" i="18"/>
  <c r="F624" i="18"/>
  <c r="F632" i="18"/>
  <c r="F640" i="18"/>
  <c r="F648" i="18"/>
  <c r="F656" i="18"/>
  <c r="F664" i="18"/>
  <c r="F672" i="18"/>
  <c r="F680" i="18"/>
  <c r="F688" i="18"/>
  <c r="F696" i="18"/>
  <c r="F704" i="18"/>
  <c r="F422" i="18"/>
  <c r="F434" i="18"/>
  <c r="F454" i="18"/>
  <c r="F466" i="18"/>
  <c r="F486" i="18"/>
  <c r="F498" i="18"/>
  <c r="F532" i="18"/>
  <c r="F537" i="18"/>
  <c r="F694" i="18"/>
  <c r="F702" i="18"/>
  <c r="F412" i="18"/>
  <c r="F428" i="18"/>
  <c r="F444" i="18"/>
  <c r="F460" i="18"/>
  <c r="F476" i="18"/>
  <c r="F492" i="18"/>
  <c r="F508" i="18"/>
  <c r="F524" i="18"/>
  <c r="F540" i="18"/>
  <c r="F408" i="18"/>
  <c r="F424" i="18"/>
  <c r="F440" i="18"/>
  <c r="F456" i="18"/>
  <c r="F472" i="18"/>
  <c r="F488" i="18"/>
  <c r="F504" i="18"/>
  <c r="F520" i="18"/>
  <c r="F536" i="18"/>
  <c r="F416" i="18"/>
  <c r="F432" i="18"/>
  <c r="F448" i="18"/>
  <c r="F464" i="18"/>
  <c r="F480" i="18"/>
  <c r="F496" i="18"/>
  <c r="F512" i="18"/>
  <c r="F528" i="18"/>
  <c r="F542" i="18"/>
  <c r="F550" i="18"/>
  <c r="F548" i="18"/>
  <c r="F556" i="18"/>
  <c r="F564" i="18"/>
  <c r="F572" i="18"/>
  <c r="F580" i="18"/>
  <c r="F588" i="18"/>
  <c r="F596" i="18"/>
  <c r="F604" i="18"/>
  <c r="F612" i="18"/>
  <c r="F620" i="18"/>
  <c r="F628" i="18"/>
  <c r="F636" i="18"/>
  <c r="F644" i="18"/>
  <c r="F652" i="18"/>
  <c r="F660" i="18"/>
  <c r="F668" i="18"/>
  <c r="F676" i="18"/>
  <c r="F684" i="18"/>
  <c r="F546" i="18"/>
  <c r="F554" i="18"/>
  <c r="F562" i="18"/>
  <c r="F570" i="18"/>
  <c r="F578" i="18"/>
  <c r="F586" i="18"/>
  <c r="F594" i="18"/>
  <c r="F602" i="18"/>
  <c r="F610" i="18"/>
  <c r="F618" i="18"/>
  <c r="F626" i="18"/>
  <c r="F634" i="18"/>
  <c r="F642" i="18"/>
  <c r="F650" i="18"/>
  <c r="F658" i="18"/>
  <c r="F666" i="18"/>
  <c r="F674" i="18"/>
  <c r="F682" i="18"/>
  <c r="F558" i="18"/>
  <c r="F566" i="18"/>
  <c r="F574" i="18"/>
  <c r="F582" i="18"/>
  <c r="F590" i="18"/>
  <c r="F598" i="18"/>
  <c r="F606" i="18"/>
  <c r="F614" i="18"/>
  <c r="F622" i="18"/>
  <c r="F630" i="18"/>
  <c r="F638" i="18"/>
  <c r="F646" i="18"/>
  <c r="F654" i="18"/>
  <c r="F662" i="18"/>
  <c r="F670" i="18"/>
  <c r="F678" i="18"/>
  <c r="F686" i="18"/>
  <c r="C42" i="15"/>
  <c r="C17" i="15"/>
  <c r="F16" i="13"/>
  <c r="L16" i="13" s="1"/>
  <c r="F24" i="13"/>
  <c r="L24" i="13" s="1"/>
  <c r="F13" i="13"/>
  <c r="L13" i="13" s="1"/>
  <c r="F20" i="13"/>
  <c r="L20" i="13" s="1"/>
  <c r="F25" i="13"/>
  <c r="L25" i="13" s="1"/>
  <c r="F11" i="13"/>
  <c r="L11" i="13" s="1"/>
  <c r="F12" i="13"/>
  <c r="L12" i="13" s="1"/>
  <c r="F19" i="13"/>
  <c r="L19" i="13" s="1"/>
  <c r="F58" i="26" l="1"/>
  <c r="K58" i="26" s="1"/>
  <c r="K53" i="26"/>
  <c r="G31" i="4"/>
  <c r="G32" i="4"/>
  <c r="G34" i="4"/>
  <c r="G35" i="4"/>
  <c r="G36" i="4"/>
  <c r="C38" i="4"/>
  <c r="F38" i="4"/>
  <c r="G22" i="4"/>
  <c r="G23" i="4"/>
  <c r="G24" i="4"/>
  <c r="G25" i="4"/>
  <c r="G26" i="4"/>
  <c r="G27" i="4"/>
  <c r="G20" i="4"/>
  <c r="G33" i="4" l="1"/>
  <c r="J13" i="14"/>
  <c r="U31" i="14" l="1"/>
  <c r="J62" i="14"/>
  <c r="L62" i="14"/>
  <c r="J63" i="14"/>
  <c r="L63" i="14"/>
  <c r="J51" i="14"/>
  <c r="L51" i="14"/>
  <c r="L34" i="14"/>
  <c r="L35" i="14"/>
  <c r="L22" i="14"/>
  <c r="L23" i="14"/>
  <c r="L26" i="14"/>
  <c r="L28" i="14"/>
  <c r="L13" i="14"/>
  <c r="L15" i="14"/>
  <c r="K494" i="12"/>
  <c r="K497" i="12"/>
  <c r="K621" i="12"/>
  <c r="K617" i="12"/>
  <c r="K615" i="12"/>
  <c r="K585" i="12"/>
  <c r="K583" i="12"/>
  <c r="K575" i="12"/>
  <c r="K574" i="12"/>
  <c r="K572" i="12"/>
  <c r="K551" i="12"/>
  <c r="K537" i="12"/>
  <c r="K533" i="12"/>
  <c r="K528" i="12"/>
  <c r="K526" i="12"/>
  <c r="K525" i="12"/>
  <c r="K512" i="12"/>
  <c r="K511" i="12"/>
  <c r="K509" i="12"/>
  <c r="K508" i="12"/>
  <c r="K507" i="12"/>
  <c r="K714" i="12"/>
  <c r="K713" i="12"/>
  <c r="K712" i="12"/>
  <c r="K711" i="12"/>
  <c r="K710" i="12"/>
  <c r="K709" i="12"/>
  <c r="K708" i="12"/>
  <c r="K707" i="12"/>
  <c r="K706" i="12"/>
  <c r="K705" i="12"/>
  <c r="K704" i="12"/>
  <c r="K703" i="12"/>
  <c r="K702" i="12"/>
  <c r="K701" i="12"/>
  <c r="K700" i="12"/>
  <c r="K699" i="12"/>
  <c r="K698" i="12"/>
  <c r="K697" i="12"/>
  <c r="K696" i="12"/>
  <c r="K695" i="12"/>
  <c r="K694" i="12"/>
  <c r="K693" i="12"/>
  <c r="K692" i="12"/>
  <c r="K691" i="12"/>
  <c r="K690" i="12"/>
  <c r="K689" i="12"/>
  <c r="K688" i="12"/>
  <c r="K687" i="12"/>
  <c r="K686" i="12"/>
  <c r="K685" i="12"/>
  <c r="K684" i="12"/>
  <c r="K683" i="12"/>
  <c r="K682" i="12"/>
  <c r="K681" i="12"/>
  <c r="K680" i="12"/>
  <c r="K679" i="12"/>
  <c r="K678" i="12"/>
  <c r="K677" i="12"/>
  <c r="K676" i="12"/>
  <c r="K675" i="12"/>
  <c r="K674" i="12"/>
  <c r="K673" i="12"/>
  <c r="K672" i="12"/>
  <c r="K671" i="12"/>
  <c r="K670" i="12"/>
  <c r="K669" i="12"/>
  <c r="K668" i="12"/>
  <c r="K667" i="12"/>
  <c r="K666" i="12"/>
  <c r="K665" i="12"/>
  <c r="K664" i="12"/>
  <c r="K663" i="12"/>
  <c r="K662" i="12"/>
  <c r="K661" i="12"/>
  <c r="K660" i="12"/>
  <c r="K659" i="12"/>
  <c r="K658" i="12"/>
  <c r="K657" i="12"/>
  <c r="K656" i="12"/>
  <c r="K655" i="12"/>
  <c r="K654" i="12"/>
  <c r="K653" i="12"/>
  <c r="K652" i="12"/>
  <c r="K651" i="12"/>
  <c r="K650" i="12"/>
  <c r="K649" i="12"/>
  <c r="K648" i="12"/>
  <c r="K647" i="12"/>
  <c r="K646" i="12"/>
  <c r="K645" i="12"/>
  <c r="K644" i="12"/>
  <c r="K643" i="12"/>
  <c r="K642" i="12"/>
  <c r="K641" i="12"/>
  <c r="K640" i="12"/>
  <c r="K639" i="12"/>
  <c r="K638" i="12"/>
  <c r="K637" i="12"/>
  <c r="K636" i="12"/>
  <c r="K635" i="12"/>
  <c r="K634" i="12"/>
  <c r="K633" i="12"/>
  <c r="K632" i="12"/>
  <c r="K631" i="12"/>
  <c r="K630" i="12"/>
  <c r="K629" i="12"/>
  <c r="K628" i="12"/>
  <c r="K627" i="12"/>
  <c r="K626" i="12"/>
  <c r="K625" i="12"/>
  <c r="K624" i="12"/>
  <c r="K623" i="12"/>
  <c r="K622" i="12"/>
  <c r="K620" i="12"/>
  <c r="K619" i="12"/>
  <c r="K618" i="12"/>
  <c r="K616" i="12"/>
  <c r="K614" i="12"/>
  <c r="K613" i="12"/>
  <c r="K612" i="12"/>
  <c r="K611" i="12"/>
  <c r="K610" i="12"/>
  <c r="K609" i="12"/>
  <c r="K608" i="12"/>
  <c r="K607" i="12"/>
  <c r="K606" i="12"/>
  <c r="K605" i="12"/>
  <c r="K604" i="12"/>
  <c r="K603" i="12"/>
  <c r="K602" i="12"/>
  <c r="K601" i="12"/>
  <c r="K600" i="12"/>
  <c r="K599" i="12"/>
  <c r="K598" i="12"/>
  <c r="K597" i="12"/>
  <c r="K596" i="12"/>
  <c r="K595" i="12"/>
  <c r="K594" i="12"/>
  <c r="K593" i="12"/>
  <c r="K592" i="12"/>
  <c r="K591" i="12"/>
  <c r="K590" i="12"/>
  <c r="K589" i="12"/>
  <c r="K588" i="12"/>
  <c r="K587" i="12"/>
  <c r="K586" i="12"/>
  <c r="K584" i="12"/>
  <c r="K582" i="12"/>
  <c r="K581" i="12"/>
  <c r="K580" i="12"/>
  <c r="K579" i="12"/>
  <c r="K578" i="12"/>
  <c r="K577" i="12"/>
  <c r="K576" i="12"/>
  <c r="K573" i="12"/>
  <c r="K571" i="12"/>
  <c r="K570" i="12"/>
  <c r="K569" i="12"/>
  <c r="K568" i="12"/>
  <c r="K567" i="12"/>
  <c r="K566" i="12"/>
  <c r="K565" i="12"/>
  <c r="K564" i="12"/>
  <c r="K563" i="12"/>
  <c r="K562" i="12"/>
  <c r="K561" i="12"/>
  <c r="K560" i="12"/>
  <c r="K559" i="12"/>
  <c r="K558" i="12"/>
  <c r="K557" i="12"/>
  <c r="K556" i="12"/>
  <c r="K555" i="12"/>
  <c r="K554" i="12"/>
  <c r="K553" i="12"/>
  <c r="K552" i="12"/>
  <c r="K550" i="12"/>
  <c r="K549" i="12"/>
  <c r="K548" i="12"/>
  <c r="K547" i="12"/>
  <c r="K546" i="12"/>
  <c r="K545" i="12"/>
  <c r="K544" i="12"/>
  <c r="K543" i="12"/>
  <c r="K542" i="12"/>
  <c r="K541" i="12"/>
  <c r="K540" i="12"/>
  <c r="K539" i="12"/>
  <c r="K538" i="12"/>
  <c r="K536" i="12"/>
  <c r="K535" i="12"/>
  <c r="K534" i="12"/>
  <c r="K532" i="12"/>
  <c r="K531" i="12"/>
  <c r="K530" i="12"/>
  <c r="K529" i="12"/>
  <c r="K527" i="12"/>
  <c r="K524" i="12"/>
  <c r="K523" i="12"/>
  <c r="K522" i="12"/>
  <c r="K521" i="12"/>
  <c r="K520" i="12"/>
  <c r="K519" i="12"/>
  <c r="K517" i="12"/>
  <c r="K518" i="12"/>
  <c r="K516" i="12"/>
  <c r="K515" i="12"/>
  <c r="K513" i="12"/>
  <c r="K514" i="12"/>
  <c r="K510" i="12"/>
  <c r="K506" i="12"/>
  <c r="K505" i="12"/>
  <c r="K504" i="12"/>
  <c r="K503" i="12"/>
  <c r="K502" i="12"/>
  <c r="K501" i="12"/>
  <c r="K500" i="12"/>
  <c r="K499" i="12"/>
  <c r="K498" i="12"/>
  <c r="K493" i="12"/>
  <c r="K496" i="12"/>
  <c r="K495" i="12"/>
  <c r="K492" i="12"/>
  <c r="K491" i="12"/>
  <c r="K490" i="12"/>
  <c r="K489" i="12"/>
  <c r="H25" i="13"/>
  <c r="H24" i="13"/>
  <c r="H20" i="13"/>
  <c r="H19" i="13"/>
  <c r="H16" i="13"/>
  <c r="H15" i="13" s="1"/>
  <c r="F15" i="13"/>
  <c r="L15" i="13" s="1"/>
  <c r="H13" i="13"/>
  <c r="H12" i="13"/>
  <c r="H11" i="13"/>
  <c r="H18" i="13" l="1"/>
  <c r="L64" i="14"/>
  <c r="L19" i="14"/>
  <c r="L21" i="14"/>
  <c r="L30" i="14"/>
  <c r="J64" i="14"/>
  <c r="D15" i="13"/>
  <c r="H10" i="13"/>
  <c r="H23" i="13"/>
  <c r="F18" i="13"/>
  <c r="L18" i="13" s="1"/>
  <c r="F23" i="13"/>
  <c r="L23" i="13" s="1"/>
  <c r="F10" i="13"/>
  <c r="L10" i="13" s="1"/>
  <c r="L38" i="14" l="1"/>
  <c r="L42" i="14" s="1"/>
  <c r="L59" i="14" s="1"/>
  <c r="H27" i="13"/>
  <c r="H29" i="13" s="1"/>
  <c r="D23" i="13"/>
  <c r="D10" i="13"/>
  <c r="D18" i="13"/>
  <c r="F27" i="13"/>
  <c r="L67" i="14" l="1"/>
  <c r="L66" i="14"/>
  <c r="F29" i="13"/>
  <c r="L27" i="13"/>
  <c r="D27" i="13"/>
  <c r="J10" i="21" l="1"/>
  <c r="H15" i="26"/>
  <c r="L29" i="13"/>
  <c r="I48" i="2"/>
  <c r="D29" i="13"/>
  <c r="J10" i="14"/>
  <c r="U9" i="14" s="1"/>
  <c r="T22" i="26" l="1"/>
  <c r="U19" i="26" s="1"/>
  <c r="Q15" i="26"/>
  <c r="H24" i="26"/>
  <c r="U20" i="21"/>
  <c r="J22" i="21"/>
  <c r="R10" i="21"/>
  <c r="R10" i="14"/>
  <c r="P470" i="18"/>
  <c r="P471" i="18" s="1"/>
  <c r="H48" i="2"/>
  <c r="J48" i="2" s="1"/>
  <c r="H20" i="2"/>
  <c r="H19" i="2"/>
  <c r="H17" i="2"/>
  <c r="U25" i="21" l="1"/>
  <c r="W15" i="21"/>
  <c r="V17" i="21"/>
  <c r="V18" i="21" s="1"/>
  <c r="H43" i="2"/>
  <c r="K51" i="2"/>
  <c r="U20" i="26"/>
  <c r="T27" i="26"/>
  <c r="H25" i="2"/>
  <c r="H24" i="2"/>
  <c r="H23" i="2"/>
  <c r="H18" i="2"/>
  <c r="H15" i="2"/>
  <c r="W18" i="21" l="1"/>
  <c r="W19" i="21" s="1"/>
  <c r="V19" i="21"/>
  <c r="V20" i="26"/>
  <c r="V21" i="26" s="1"/>
  <c r="U21" i="26"/>
  <c r="J10" i="2"/>
  <c r="E29" i="4"/>
  <c r="E38" i="4" s="1"/>
  <c r="D29" i="4"/>
  <c r="D38" i="4" s="1"/>
  <c r="H14" i="2" l="1"/>
  <c r="J47" i="2"/>
  <c r="H29" i="2" l="1"/>
  <c r="I46" i="2"/>
  <c r="J46" i="2" s="1"/>
  <c r="I45" i="2"/>
  <c r="I38" i="2"/>
  <c r="J38" i="2" s="1"/>
  <c r="D29" i="19"/>
  <c r="D31" i="19" s="1"/>
  <c r="I40" i="2"/>
  <c r="J40" i="2" s="1"/>
  <c r="I39" i="2"/>
  <c r="J39" i="2" s="1"/>
  <c r="I35" i="2"/>
  <c r="J35" i="2" s="1"/>
  <c r="I34" i="2"/>
  <c r="J34" i="2" s="1"/>
  <c r="I32" i="2"/>
  <c r="J32" i="2" s="1"/>
  <c r="I33" i="2"/>
  <c r="J33" i="2" s="1"/>
  <c r="I31" i="2"/>
  <c r="J31" i="2" s="1"/>
  <c r="I19" i="2"/>
  <c r="J19" i="2" s="1"/>
  <c r="I17" i="2"/>
  <c r="J17" i="2" s="1"/>
  <c r="I25" i="2"/>
  <c r="J25" i="2" s="1"/>
  <c r="T35" i="26" s="1"/>
  <c r="V36" i="26" s="1"/>
  <c r="I24" i="2"/>
  <c r="J24" i="2" s="1"/>
  <c r="I23" i="2"/>
  <c r="J23" i="2" s="1"/>
  <c r="I20" i="2"/>
  <c r="J20" i="2" s="1"/>
  <c r="I18" i="2"/>
  <c r="J18" i="2" s="1"/>
  <c r="I16" i="2"/>
  <c r="J16" i="2" s="1"/>
  <c r="I15" i="2"/>
  <c r="J9" i="2" s="1"/>
  <c r="H36" i="26" l="1"/>
  <c r="O25" i="2"/>
  <c r="K46" i="2"/>
  <c r="K54" i="2" s="1"/>
  <c r="J45" i="2"/>
  <c r="J49" i="2" s="1"/>
  <c r="I43" i="2"/>
  <c r="U33" i="21"/>
  <c r="H28" i="26"/>
  <c r="J26" i="21"/>
  <c r="J34" i="21"/>
  <c r="H39" i="26"/>
  <c r="J37" i="21"/>
  <c r="H31" i="26"/>
  <c r="J29" i="21"/>
  <c r="H27" i="26"/>
  <c r="J25" i="21"/>
  <c r="H41" i="26"/>
  <c r="J39" i="21"/>
  <c r="H29" i="26"/>
  <c r="J27" i="21"/>
  <c r="H30" i="26"/>
  <c r="J28" i="21"/>
  <c r="J36" i="21"/>
  <c r="H38" i="26"/>
  <c r="H32" i="26"/>
  <c r="J31" i="21"/>
  <c r="H40" i="26"/>
  <c r="J38" i="21"/>
  <c r="J15" i="14"/>
  <c r="U30" i="14"/>
  <c r="J26" i="14"/>
  <c r="J22" i="14"/>
  <c r="J31" i="14"/>
  <c r="J35" i="14"/>
  <c r="J36" i="14"/>
  <c r="J15" i="2"/>
  <c r="J27" i="2" s="1"/>
  <c r="J24" i="14"/>
  <c r="J33" i="14"/>
  <c r="J28" i="14"/>
  <c r="J34" i="14"/>
  <c r="J25" i="14"/>
  <c r="J23" i="14"/>
  <c r="I37" i="2"/>
  <c r="I14" i="2"/>
  <c r="H26" i="26" l="1"/>
  <c r="T41" i="26"/>
  <c r="U8" i="14"/>
  <c r="U13" i="14" s="1"/>
  <c r="U14" i="14" s="1"/>
  <c r="K43" i="2"/>
  <c r="J24" i="21"/>
  <c r="J33" i="21"/>
  <c r="U39" i="21"/>
  <c r="W34" i="21"/>
  <c r="W38" i="21" s="1"/>
  <c r="H35" i="26"/>
  <c r="V40" i="26"/>
  <c r="J19" i="14"/>
  <c r="U36" i="14"/>
  <c r="W31" i="14"/>
  <c r="W35" i="14" s="1"/>
  <c r="J30" i="14"/>
  <c r="J21" i="14"/>
  <c r="J11" i="2"/>
  <c r="M35" i="4"/>
  <c r="P28" i="4"/>
  <c r="N28" i="4"/>
  <c r="P27" i="4"/>
  <c r="N27" i="4"/>
  <c r="H43" i="26" l="1"/>
  <c r="H45" i="26" s="1"/>
  <c r="J41" i="21"/>
  <c r="J38" i="14"/>
  <c r="J42" i="14" s="1"/>
  <c r="G29" i="4"/>
  <c r="N29" i="4"/>
  <c r="N30" i="4" s="1"/>
  <c r="N32" i="4" s="1"/>
  <c r="P29" i="4"/>
  <c r="P30" i="4" s="1"/>
  <c r="G45" i="4" l="1"/>
  <c r="G38" i="4"/>
  <c r="G42" i="4" s="1"/>
  <c r="H53" i="26"/>
  <c r="J45" i="21"/>
  <c r="J59" i="14"/>
  <c r="J66" i="14" s="1"/>
  <c r="J67" i="14" s="1"/>
  <c r="M36" i="4"/>
  <c r="J62" i="21" l="1"/>
  <c r="H58" i="26"/>
  <c r="H22" i="2"/>
  <c r="H27" i="2" s="1"/>
  <c r="H49" i="2"/>
  <c r="I22" i="2"/>
  <c r="I28" i="2"/>
  <c r="J69" i="21" l="1"/>
  <c r="J68" i="14"/>
  <c r="I49" i="2"/>
  <c r="I27" i="2"/>
  <c r="K27" i="2" s="1"/>
  <c r="H51" i="2"/>
  <c r="P43" i="21" l="1"/>
  <c r="R43" i="21" s="1"/>
  <c r="O22" i="26"/>
  <c r="Q22" i="26" s="1"/>
  <c r="P55" i="21"/>
  <c r="R55" i="21" s="1"/>
  <c r="P58" i="21"/>
  <c r="R58" i="21" s="1"/>
  <c r="P39" i="21"/>
  <c r="R39" i="21" s="1"/>
  <c r="P26" i="21"/>
  <c r="R26" i="21" s="1"/>
  <c r="O27" i="26"/>
  <c r="P63" i="14"/>
  <c r="R63" i="14" s="1"/>
  <c r="P49" i="14"/>
  <c r="R49" i="14" s="1"/>
  <c r="P14" i="14"/>
  <c r="R14" i="14" s="1"/>
  <c r="P40" i="14"/>
  <c r="R40" i="14" s="1"/>
  <c r="P52" i="21"/>
  <c r="R52" i="21" s="1"/>
  <c r="P49" i="21"/>
  <c r="R49" i="21" s="1"/>
  <c r="P25" i="14"/>
  <c r="R25" i="14" s="1"/>
  <c r="P20" i="21"/>
  <c r="R20" i="21" s="1"/>
  <c r="O37" i="26"/>
  <c r="Q37" i="26" s="1"/>
  <c r="P36" i="14"/>
  <c r="R36" i="14" s="1"/>
  <c r="P55" i="14"/>
  <c r="R55" i="14" s="1"/>
  <c r="P56" i="21"/>
  <c r="R56" i="21" s="1"/>
  <c r="P48" i="14"/>
  <c r="R48" i="14" s="1"/>
  <c r="O54" i="26"/>
  <c r="Q54" i="26" s="1"/>
  <c r="P50" i="21"/>
  <c r="R50" i="21" s="1"/>
  <c r="P13" i="21"/>
  <c r="R13" i="21" s="1"/>
  <c r="O41" i="26"/>
  <c r="Q41" i="26" s="1"/>
  <c r="P36" i="21"/>
  <c r="R36" i="21" s="1"/>
  <c r="P29" i="21"/>
  <c r="R29" i="21" s="1"/>
  <c r="O30" i="26"/>
  <c r="Q30" i="26" s="1"/>
  <c r="P62" i="14"/>
  <c r="R62" i="14" s="1"/>
  <c r="P17" i="14"/>
  <c r="R17" i="14" s="1"/>
  <c r="O36" i="26"/>
  <c r="Q36" i="26" s="1"/>
  <c r="P60" i="21"/>
  <c r="R60" i="21" s="1"/>
  <c r="O55" i="26"/>
  <c r="Q55" i="26" s="1"/>
  <c r="P31" i="14"/>
  <c r="R31" i="14" s="1"/>
  <c r="P34" i="14"/>
  <c r="R34" i="14" s="1"/>
  <c r="O39" i="26"/>
  <c r="Q39" i="26" s="1"/>
  <c r="O18" i="26"/>
  <c r="P33" i="14"/>
  <c r="R33" i="14" s="1"/>
  <c r="P16" i="14"/>
  <c r="R16" i="14" s="1"/>
  <c r="P23" i="14"/>
  <c r="R23" i="14" s="1"/>
  <c r="O48" i="26"/>
  <c r="Q48" i="26" s="1"/>
  <c r="P13" i="14"/>
  <c r="R13" i="14" s="1"/>
  <c r="O44" i="26"/>
  <c r="Q44" i="26" s="1"/>
  <c r="O51" i="26"/>
  <c r="P28" i="14"/>
  <c r="R28" i="14" s="1"/>
  <c r="P18" i="21"/>
  <c r="R18" i="21" s="1"/>
  <c r="P65" i="21"/>
  <c r="R65" i="21" s="1"/>
  <c r="O40" i="26"/>
  <c r="Q40" i="26" s="1"/>
  <c r="P14" i="21"/>
  <c r="R14" i="21" s="1"/>
  <c r="P22" i="14"/>
  <c r="R22" i="14" s="1"/>
  <c r="O28" i="26"/>
  <c r="Q28" i="26" s="1"/>
  <c r="P46" i="14"/>
  <c r="R46" i="14" s="1"/>
  <c r="P15" i="14"/>
  <c r="R15" i="14" s="1"/>
  <c r="P27" i="14"/>
  <c r="R27" i="14" s="1"/>
  <c r="P57" i="21"/>
  <c r="R57" i="21" s="1"/>
  <c r="P31" i="21"/>
  <c r="R31" i="21" s="1"/>
  <c r="P52" i="14"/>
  <c r="R52" i="14" s="1"/>
  <c r="P35" i="14"/>
  <c r="R35" i="14" s="1"/>
  <c r="P30" i="21"/>
  <c r="R30" i="21" s="1"/>
  <c r="P38" i="21"/>
  <c r="R38" i="21" s="1"/>
  <c r="P26" i="14"/>
  <c r="R26" i="14" s="1"/>
  <c r="P32" i="14"/>
  <c r="R32" i="14" s="1"/>
  <c r="P51" i="21"/>
  <c r="R51" i="21" s="1"/>
  <c r="P37" i="21"/>
  <c r="R37" i="21" s="1"/>
  <c r="P53" i="14"/>
  <c r="R53" i="14" s="1"/>
  <c r="P27" i="21"/>
  <c r="R27" i="21" s="1"/>
  <c r="O21" i="26"/>
  <c r="Q21" i="26" s="1"/>
  <c r="O38" i="26"/>
  <c r="Q38" i="26" s="1"/>
  <c r="P57" i="14"/>
  <c r="R57" i="14" s="1"/>
  <c r="P35" i="21"/>
  <c r="R35" i="21" s="1"/>
  <c r="P28" i="21"/>
  <c r="R28" i="21" s="1"/>
  <c r="P34" i="21"/>
  <c r="R34" i="21" s="1"/>
  <c r="O20" i="26"/>
  <c r="Q20" i="26" s="1"/>
  <c r="P24" i="14"/>
  <c r="R24" i="14" s="1"/>
  <c r="P42" i="21"/>
  <c r="R42" i="21" s="1"/>
  <c r="O29" i="26"/>
  <c r="Q29" i="26" s="1"/>
  <c r="P66" i="21"/>
  <c r="R66" i="21" s="1"/>
  <c r="P25" i="21"/>
  <c r="P39" i="14"/>
  <c r="R39" i="14" s="1"/>
  <c r="P19" i="21"/>
  <c r="R19" i="21" s="1"/>
  <c r="O32" i="26"/>
  <c r="Q32" i="26" s="1"/>
  <c r="P54" i="14"/>
  <c r="R54" i="14" s="1"/>
  <c r="O31" i="26"/>
  <c r="Q31" i="26" s="1"/>
  <c r="P47" i="14"/>
  <c r="R47" i="14" s="1"/>
  <c r="I51" i="2"/>
  <c r="J71" i="21"/>
  <c r="J70" i="21"/>
  <c r="Q51" i="26" l="1"/>
  <c r="O50" i="26"/>
  <c r="Q50" i="26" s="1"/>
  <c r="O35" i="26"/>
  <c r="Q35" i="26" s="1"/>
  <c r="Q47" i="26"/>
  <c r="O24" i="26"/>
  <c r="Q24" i="26" s="1"/>
  <c r="O26" i="26"/>
  <c r="Q26" i="26" s="1"/>
  <c r="P24" i="21"/>
  <c r="R24" i="21" s="1"/>
  <c r="P19" i="14"/>
  <c r="R19" i="14" s="1"/>
  <c r="P64" i="14"/>
  <c r="R64" i="14" s="1"/>
  <c r="P21" i="14"/>
  <c r="R21" i="14" s="1"/>
  <c r="P30" i="14"/>
  <c r="R30" i="14" s="1"/>
  <c r="Q18" i="26"/>
  <c r="P33" i="21"/>
  <c r="R33" i="21" s="1"/>
  <c r="P44" i="14"/>
  <c r="R44" i="14" s="1"/>
  <c r="P47" i="21"/>
  <c r="R47" i="21" s="1"/>
  <c r="P51" i="14"/>
  <c r="R51" i="14" s="1"/>
  <c r="P54" i="21"/>
  <c r="R54" i="21" s="1"/>
  <c r="Q27" i="26"/>
  <c r="R25" i="21"/>
  <c r="O56" i="26"/>
  <c r="Q56" i="26" s="1"/>
  <c r="P22" i="21"/>
  <c r="R22" i="21" s="1"/>
  <c r="P67" i="21"/>
  <c r="R67" i="21" s="1"/>
  <c r="O43" i="26" l="1"/>
  <c r="O45" i="26" s="1"/>
  <c r="O53" i="26" s="1"/>
  <c r="P38" i="14"/>
  <c r="P42" i="14" s="1"/>
  <c r="P41" i="21"/>
  <c r="R41" i="21" s="1"/>
  <c r="Q43" i="26" l="1"/>
  <c r="R38" i="14"/>
  <c r="P45" i="21"/>
  <c r="P62" i="21" s="1"/>
  <c r="Q45" i="26"/>
  <c r="P59" i="14"/>
  <c r="R42" i="14"/>
  <c r="R45" i="21" l="1"/>
  <c r="P59" i="26"/>
  <c r="R59" i="26" s="1"/>
  <c r="Q53" i="26"/>
  <c r="P67" i="14"/>
  <c r="R67" i="14" s="1"/>
  <c r="R59" i="14"/>
  <c r="P70" i="21"/>
  <c r="R70" i="21" s="1"/>
  <c r="R62" i="21"/>
</calcChain>
</file>

<file path=xl/sharedStrings.xml><?xml version="1.0" encoding="utf-8"?>
<sst xmlns="http://schemas.openxmlformats.org/spreadsheetml/2006/main" count="14700" uniqueCount="5947">
  <si>
    <t>INDUSTRIA QUIMICA DO ESTADO DE GOIAS S/A</t>
  </si>
  <si>
    <t>Balancete Analítico Consolidado de 01/01/2021 até 31/12/2021</t>
  </si>
  <si>
    <t>Descrição</t>
  </si>
  <si>
    <t>Classificação</t>
  </si>
  <si>
    <t>U</t>
  </si>
  <si>
    <t>tip</t>
  </si>
  <si>
    <t>Saldo Anterior</t>
  </si>
  <si>
    <t>Debito</t>
  </si>
  <si>
    <t>Crédito</t>
  </si>
  <si>
    <t>SaldoAtual</t>
  </si>
  <si>
    <t>NOTAS</t>
  </si>
  <si>
    <t xml:space="preserve">   ATIVO - [1]</t>
  </si>
  <si>
    <t>[1]</t>
  </si>
  <si>
    <t xml:space="preserve">    75.536.053,65D</t>
  </si>
  <si>
    <t>D</t>
  </si>
  <si>
    <t>91.091.292,63D</t>
  </si>
  <si>
    <t xml:space="preserve">     CIRCULANTE - [2]</t>
  </si>
  <si>
    <t>[1.1]</t>
  </si>
  <si>
    <t xml:space="preserve">    36.136.903,96D</t>
  </si>
  <si>
    <t>23.522.890,95D</t>
  </si>
  <si>
    <t xml:space="preserve">       BENS NUMERARIOS - [3]</t>
  </si>
  <si>
    <t>[1.1.11]</t>
  </si>
  <si>
    <t xml:space="preserve">         CAIXA GERAL - [4]</t>
  </si>
  <si>
    <t>[1.1.11.01]</t>
  </si>
  <si>
    <t xml:space="preserve">           330,62D</t>
  </si>
  <si>
    <t>0,00D</t>
  </si>
  <si>
    <t xml:space="preserve">           CAIXA - [6]</t>
  </si>
  <si>
    <t>[1.1.11.01.0001]</t>
  </si>
  <si>
    <t>330,62D</t>
  </si>
  <si>
    <t xml:space="preserve">         DEPOSITOS BANCARIOS - [9]</t>
  </si>
  <si>
    <t>[1.1.11.02]</t>
  </si>
  <si>
    <t xml:space="preserve">     7.824.034,74D</t>
  </si>
  <si>
    <t>161.619,26D</t>
  </si>
  <si>
    <t xml:space="preserve">           BANCO DO BRASIL S/A - C/C 6.091-7 - [11]</t>
  </si>
  <si>
    <t>[1.1.11.02.0002]</t>
  </si>
  <si>
    <t xml:space="preserve">           BANCO ITAU S/A - C/C 1.399-5 - [12]</t>
  </si>
  <si>
    <t>[1.1.11.02.0003]</t>
  </si>
  <si>
    <t>10,00D</t>
  </si>
  <si>
    <t xml:space="preserve">           BANCO CEF S/A C/C 1661-5 - [8559]</t>
  </si>
  <si>
    <t>[1.1.11.02.0019]</t>
  </si>
  <si>
    <t>27.860,95D</t>
  </si>
  <si>
    <t>11.601,75D</t>
  </si>
  <si>
    <t xml:space="preserve">           BANCO CEF S/A - C/C 2385-9 - [11530]</t>
  </si>
  <si>
    <t>[1.1.11.02.0031]</t>
  </si>
  <si>
    <t>154.367,81D</t>
  </si>
  <si>
    <t>149.894,91D</t>
  </si>
  <si>
    <t xml:space="preserve">           BANCO DO BRASIL S/A C/C 7096-3 - [12888]</t>
  </si>
  <si>
    <t>[1.1.11.02.0032]</t>
  </si>
  <si>
    <t>11.124,77D</t>
  </si>
  <si>
    <t>102,60D</t>
  </si>
  <si>
    <t xml:space="preserve">           BANCO NO BRASIL - OP - [15870]</t>
  </si>
  <si>
    <t>[1.1.11.02.0034]</t>
  </si>
  <si>
    <t>7.630.671,21D</t>
  </si>
  <si>
    <t xml:space="preserve">           BANCO ITAU S/A C/C 10744-2 - [16283]</t>
  </si>
  <si>
    <t>[1.1.11.02.0035]</t>
  </si>
  <si>
    <t xml:space="preserve">         APLICAÇÕES FINANCEIRAS - [30]</t>
  </si>
  <si>
    <t>[1.1.11.03]</t>
  </si>
  <si>
    <t xml:space="preserve">        46.164,03D</t>
  </si>
  <si>
    <t>4.526.808,20D</t>
  </si>
  <si>
    <t xml:space="preserve">           BANCO ITAU S/A C/C 1399-5 - [5425]</t>
  </si>
  <si>
    <t>[1.1.11.03.0004]</t>
  </si>
  <si>
    <t>6.194,92D</t>
  </si>
  <si>
    <t>5.268,00D</t>
  </si>
  <si>
    <t xml:space="preserve">           BANCO DO BRASIL C/P 6091-7 - [3898]</t>
  </si>
  <si>
    <t>[1.1.11.03.0012]</t>
  </si>
  <si>
    <t>39.891,14D</t>
  </si>
  <si>
    <t>6.594,61D</t>
  </si>
  <si>
    <t xml:space="preserve">           BANCO CEF S/A C/P 1866-9  - [10606]</t>
  </si>
  <si>
    <t>[1.1.11.03.0014]</t>
  </si>
  <si>
    <t>77,97D</t>
  </si>
  <si>
    <t>79,55D</t>
  </si>
  <si>
    <t xml:space="preserve">           BANCO ITAU S/A C/C 10744-2 - [16857]</t>
  </si>
  <si>
    <t>[1.1.11.03.0015]</t>
  </si>
  <si>
    <t>4.514.866,04D</t>
  </si>
  <si>
    <t xml:space="preserve">         POUPANÇA - [13658]</t>
  </si>
  <si>
    <t>[1.1.11.05]</t>
  </si>
  <si>
    <t xml:space="preserve">     2.171.498,30D</t>
  </si>
  <si>
    <t>2.215.391,63D</t>
  </si>
  <si>
    <t xml:space="preserve">           BANCO CEF S/A C/POUP 1866-9 CONV 787297/2013 - [13665]</t>
  </si>
  <si>
    <t>[1.1.11.05.0001]</t>
  </si>
  <si>
    <t>2.171.498,30D</t>
  </si>
  <si>
    <t xml:space="preserve">       CREDITOS - [48]</t>
  </si>
  <si>
    <t>[1.1.21]</t>
  </si>
  <si>
    <t xml:space="preserve">     5.129.514,33D</t>
  </si>
  <si>
    <t xml:space="preserve">         DUPLICATAS A RECEBER - [49]</t>
  </si>
  <si>
    <t>[1.1.21.01]</t>
  </si>
  <si>
    <t xml:space="preserve">     6.923.284,79D</t>
  </si>
  <si>
    <t>7.597.374,38D</t>
  </si>
  <si>
    <t xml:space="preserve">           FUNDAÇÃO EZEQUIEL DIAS - FUNED - [63]</t>
  </si>
  <si>
    <t>[1.1.21.01.0014]</t>
  </si>
  <si>
    <t>91.092,02D</t>
  </si>
  <si>
    <t xml:space="preserve">           PREFEITURA DE FORTALEZA - CE - [64]</t>
  </si>
  <si>
    <t>[1.1.21.01.0015]</t>
  </si>
  <si>
    <t>7.849,40D</t>
  </si>
  <si>
    <t xml:space="preserve">           PREFEITURA  DE UMUARAMA - SC - [69]</t>
  </si>
  <si>
    <t>[1.1.21.01.0020]</t>
  </si>
  <si>
    <t>5.264,00D</t>
  </si>
  <si>
    <t xml:space="preserve">           FUNDAÇÃO OSWALDO CRUZ - [70]</t>
  </si>
  <si>
    <t>[1.1.21.01.0021]</t>
  </si>
  <si>
    <t>282.595,40D</t>
  </si>
  <si>
    <t xml:space="preserve">           GREEN FARMA QUIM. FARMACEUTICA LTDA - [74]</t>
  </si>
  <si>
    <t>[1.1.21.01.0025]</t>
  </si>
  <si>
    <t>14.086,28D</t>
  </si>
  <si>
    <t xml:space="preserve">           INSTITUTO DE SAUDE DO PARANA - [76]</t>
  </si>
  <si>
    <t>[1.1.21.01.0027]</t>
  </si>
  <si>
    <t>78.794,22D</t>
  </si>
  <si>
    <t xml:space="preserve">           LAB. FARM. DA  MARINHA - RJ CONTRATO 765741/2013 - [81]</t>
  </si>
  <si>
    <t>[1.1.21.01.0032]</t>
  </si>
  <si>
    <t>188.754,41D</t>
  </si>
  <si>
    <t xml:space="preserve">           LAB. QUIM. FARM. AERONAUTICA - RJ - [82]</t>
  </si>
  <si>
    <t>[1.1.21.01.0033]</t>
  </si>
  <si>
    <t>71.000,70D</t>
  </si>
  <si>
    <t xml:space="preserve">           LAB. FARM. EST. PERNAMBUCO - LAFEPE - [83]</t>
  </si>
  <si>
    <t>[1.1.21.01.0034]</t>
  </si>
  <si>
    <t>108.614,56D</t>
  </si>
  <si>
    <t xml:space="preserve">           LEON HEINER S/A - [84]</t>
  </si>
  <si>
    <t>[1.1.21.01.0035]</t>
  </si>
  <si>
    <t>12.000,00D</t>
  </si>
  <si>
    <t xml:space="preserve">           MINISTERIO DA SAUDE - CONV. 015/04 - [90]</t>
  </si>
  <si>
    <t>[1.1.21.01.0041]</t>
  </si>
  <si>
    <t>11.130,00D</t>
  </si>
  <si>
    <t xml:space="preserve">           MINISTERIO DA SAUDE - CONV. 017/05 - [91]</t>
  </si>
  <si>
    <t>[1.1.21.01.0042]</t>
  </si>
  <si>
    <t>52.176,79D</t>
  </si>
  <si>
    <t xml:space="preserve">           MINISTERIO DA SAUDE - CONV. 018/06 - [92]</t>
  </si>
  <si>
    <t>[1.1.21.01.0043]</t>
  </si>
  <si>
    <t>100,00D</t>
  </si>
  <si>
    <t xml:space="preserve">           MINISTERIO DA SAUDE - CONV. 034/04 - [95]</t>
  </si>
  <si>
    <t>[1.1.21.01.0046]</t>
  </si>
  <si>
    <t>253,50D</t>
  </si>
  <si>
    <t xml:space="preserve">           MINISTERIO DA SAUDE - CONV. 054/03 - [96]</t>
  </si>
  <si>
    <t>[1.1.21.01.0047]</t>
  </si>
  <si>
    <t>3.809,25D</t>
  </si>
  <si>
    <t xml:space="preserve">           MINISTERIO DA SAUDE - CONV. 056/04 - [98]</t>
  </si>
  <si>
    <t>[1.1.21.01.0049]</t>
  </si>
  <si>
    <t>474.488,00D</t>
  </si>
  <si>
    <t xml:space="preserve">           MINISTERIO DA SAUDE - CONV. 057/04 - [99]</t>
  </si>
  <si>
    <t>[1.1.21.01.0050]</t>
  </si>
  <si>
    <t>124.394,00D</t>
  </si>
  <si>
    <t xml:space="preserve">           MINISTERIO DA SAUDE - CONV. 064/04 - [100]</t>
  </si>
  <si>
    <t>[1.1.21.01.0051]</t>
  </si>
  <si>
    <t>7.868,25D</t>
  </si>
  <si>
    <t xml:space="preserve">           MINISTERIO DA SAUDE - CONV. 078/04 - [101]</t>
  </si>
  <si>
    <t>[1.1.21.01.0052]</t>
  </si>
  <si>
    <t>118.536,50D</t>
  </si>
  <si>
    <t xml:space="preserve">           MINISTERIO DA SAUDE - CONV. 082/04 - [102]</t>
  </si>
  <si>
    <t>[1.1.21.01.0053]</t>
  </si>
  <si>
    <t>2.438,09D</t>
  </si>
  <si>
    <t xml:space="preserve">           MINISTERIO DA SAUDE - CONV. 093/04 - [103]</t>
  </si>
  <si>
    <t>[1.1.21.01.0054]</t>
  </si>
  <si>
    <t>50.790,70D</t>
  </si>
  <si>
    <t xml:space="preserve">           MINISTERIO DA SAUDE - CONV. 101/04 - [104]</t>
  </si>
  <si>
    <t>[1.1.21.01.0055]</t>
  </si>
  <si>
    <t>667,15D</t>
  </si>
  <si>
    <t xml:space="preserve">           PHARMA NOVA PROD. QUIMICOS LTDA - [108]</t>
  </si>
  <si>
    <t>[1.1.21.01.0059]</t>
  </si>
  <si>
    <t>13.854,71D</t>
  </si>
  <si>
    <t xml:space="preserve">           PREFEITURA DE CAMPOS VERDES - GO - [118]</t>
  </si>
  <si>
    <t>[1.1.21.01.0069]</t>
  </si>
  <si>
    <t>8.017,45D</t>
  </si>
  <si>
    <t xml:space="preserve">           PREFEITURA DE ECOPORANGA - ES - [123]</t>
  </si>
  <si>
    <t>[1.1.21.01.0074]</t>
  </si>
  <si>
    <t>1.552,00D</t>
  </si>
  <si>
    <t xml:space="preserve">           PREFEITURA DE HUMAITÁ - MT - [128]</t>
  </si>
  <si>
    <t>[1.1.21.01.0079]</t>
  </si>
  <si>
    <t>17.001,78D</t>
  </si>
  <si>
    <t xml:space="preserve">           PREFEITURA DE MARAVILHAS - MT - [133]</t>
  </si>
  <si>
    <t>[1.1.21.01.0084]</t>
  </si>
  <si>
    <t>3.282,91D</t>
  </si>
  <si>
    <t xml:space="preserve">           PREFEITURA DE PORANGATU - GO - [136]</t>
  </si>
  <si>
    <t>[1.1.21.01.0087]</t>
  </si>
  <si>
    <t>3.855,00D</t>
  </si>
  <si>
    <t xml:space="preserve">           PREFEITURA DE RUBIATABA - GO - [151]</t>
  </si>
  <si>
    <t>[1.1.21.01.0102]</t>
  </si>
  <si>
    <t>976,12D</t>
  </si>
  <si>
    <t xml:space="preserve">           AGROVET DE AGRICOLA E VETERINARIA - [169]</t>
  </si>
  <si>
    <t>[1.1.21.01.0120]</t>
  </si>
  <si>
    <t>2.564,00D</t>
  </si>
  <si>
    <t xml:space="preserve">           FUNDACÃO MUNICIPAL DE SAUDE DE NITEROI - RJ - [174]</t>
  </si>
  <si>
    <t>[1.1.21.01.0125]</t>
  </si>
  <si>
    <t>18.000,00D</t>
  </si>
  <si>
    <t xml:space="preserve">           UNIVERSIDADE FEDERAL DO RIO DE JANEIRO - [176]</t>
  </si>
  <si>
    <t>[1.1.21.01.0127]</t>
  </si>
  <si>
    <t>25,98D</t>
  </si>
  <si>
    <t xml:space="preserve">           FUNDO DE SAUDE DE NOVA IGUAÇU - GO - [198]</t>
  </si>
  <si>
    <t>[1.1.21.01.0149]</t>
  </si>
  <si>
    <t>224,30D</t>
  </si>
  <si>
    <t xml:space="preserve">           FUNDO DE SAUDE ALTO ALEGRE DOS PARECIS R - [4552]</t>
  </si>
  <si>
    <t>[1.1.21.01.0190]</t>
  </si>
  <si>
    <t>6.450,00D</t>
  </si>
  <si>
    <t xml:space="preserve">           FUNDO DE SAUDE DE CAMPOS DOS GOYTACAZES RJ - [5049]</t>
  </si>
  <si>
    <t>[1.1.21.01.0229]</t>
  </si>
  <si>
    <t>15.926,00D</t>
  </si>
  <si>
    <t xml:space="preserve">           FUNDO  DE SAUDE DE CHUPINGUAIA - [679]</t>
  </si>
  <si>
    <t>[1.1.21.01.0230]</t>
  </si>
  <si>
    <t>3.401,95D</t>
  </si>
  <si>
    <t xml:space="preserve">           PREFEITURA DE  ARAGUAPAZ GO - [1057]</t>
  </si>
  <si>
    <t>[1.1.21.01.0265]</t>
  </si>
  <si>
    <t>4.750,00D</t>
  </si>
  <si>
    <t xml:space="preserve">           FUNDO DE SAUDE DE COARI     AM - [1379]</t>
  </si>
  <si>
    <t>[1.1.21.01.0311]</t>
  </si>
  <si>
    <t>46.613,00D</t>
  </si>
  <si>
    <t xml:space="preserve">           PREFEITURA DE  IACIARA - [2352]</t>
  </si>
  <si>
    <t>[1.1.21.01.0440]</t>
  </si>
  <si>
    <t>690,00D</t>
  </si>
  <si>
    <t xml:space="preserve">           PREFEITURA DE  TRES RANCHOS GO - [3444]</t>
  </si>
  <si>
    <t>[1.1.21.01.0464]</t>
  </si>
  <si>
    <t xml:space="preserve">           PREFEITURA DE  APARECIDA DE GOIANIA GO - [3801]</t>
  </si>
  <si>
    <t>[1.1.21.01.0501]</t>
  </si>
  <si>
    <t xml:space="preserve">           PREFEITURA MUNICIPAL DE VIANOPOLIS - [5460]</t>
  </si>
  <si>
    <t>[1.1.21.01.0569]</t>
  </si>
  <si>
    <t xml:space="preserve">           INSTITUTO DE CIENCIAS FARMACEUTICAS - [8286]</t>
  </si>
  <si>
    <t>[1.1.21.01.0629]</t>
  </si>
  <si>
    <t>20.584,03D</t>
  </si>
  <si>
    <t xml:space="preserve">           MINISTERIO DA SAUDE  - [8615]</t>
  </si>
  <si>
    <t>[1.1.21.01.0639]</t>
  </si>
  <si>
    <t>164.931,20D</t>
  </si>
  <si>
    <t xml:space="preserve">           FUNDO DE SAUDE DE EDEIA GO - [9259]</t>
  </si>
  <si>
    <t>[1.1.21.01.0654]</t>
  </si>
  <si>
    <t xml:space="preserve">           PREFEITURA DE CALDAS NOVAS GO - [9854]</t>
  </si>
  <si>
    <t>[1.1.21.01.0710]</t>
  </si>
  <si>
    <t>26.816,39D</t>
  </si>
  <si>
    <t xml:space="preserve">           FUNDO DE SAUDE DE MARA ROSA - [10755]</t>
  </si>
  <si>
    <t>[1.1.21.01.0764]</t>
  </si>
  <si>
    <t xml:space="preserve">           FUNDO DE SAUDE DE CALDAS NOVAS GO - [10874]</t>
  </si>
  <si>
    <t>[1.1.21.01.0770]</t>
  </si>
  <si>
    <t>8.842,50D</t>
  </si>
  <si>
    <t>31.000,00D</t>
  </si>
  <si>
    <t xml:space="preserve">           FUNDO DE SAUDE DE CARAPEBUS RJ - [10951]</t>
  </si>
  <si>
    <t>[1.1.21.01.0774]</t>
  </si>
  <si>
    <t xml:space="preserve">           FUNDO  DE SAUDE DE IPAMERI   GO - [11042]</t>
  </si>
  <si>
    <t>[1.1.21.01.0787]</t>
  </si>
  <si>
    <t xml:space="preserve">           MUNICIPIO DE MONTE FORMOSO MG - [11439]</t>
  </si>
  <si>
    <t>[1.1.21.01.0792]</t>
  </si>
  <si>
    <t>552,50D</t>
  </si>
  <si>
    <t xml:space="preserve">           FUNDO DE SAUDE DE CAMPINORTE GO  - [11565]</t>
  </si>
  <si>
    <t>[1.1.21.01.0796]</t>
  </si>
  <si>
    <t>2.798,80D</t>
  </si>
  <si>
    <t xml:space="preserve">           FUNDO DE SAUDE DE FAZENDA NOVA GO  - [11572]</t>
  </si>
  <si>
    <t>[1.1.21.01.0797]</t>
  </si>
  <si>
    <t>517,50D</t>
  </si>
  <si>
    <t xml:space="preserve">           FUNDO DE SAUDE DE TEREZOPOLIS DE GOIAS GO - [11649]</t>
  </si>
  <si>
    <t>[1.1.21.01.0808]</t>
  </si>
  <si>
    <t xml:space="preserve">           FUNDO DE SAUDE DE ARAGUAÇU  TO  - [11691]</t>
  </si>
  <si>
    <t>[1.1.21.01.0814]</t>
  </si>
  <si>
    <t xml:space="preserve">           FUNDO DE SAUDE DE TURVANIA  GO  - [11698]</t>
  </si>
  <si>
    <t>[1.1.21.01.0815]</t>
  </si>
  <si>
    <t xml:space="preserve">           FUNDO DE SAUDE DE NOVO PLANALTO DE GOIAS - GO - [11768]</t>
  </si>
  <si>
    <t>[1.1.21.01.0823]</t>
  </si>
  <si>
    <t xml:space="preserve">           FUNDO DE SAUDE DE LEOPOLDO DE BULHOES -GO - [11824]</t>
  </si>
  <si>
    <t>[1.1.21.01.0831]</t>
  </si>
  <si>
    <t xml:space="preserve">           FUNDO DE SAUDE DE MONTE ALEGRE DE GOIAS - GO - [11866]</t>
  </si>
  <si>
    <t>[1.1.21.01.0837]</t>
  </si>
  <si>
    <t>2.100,00D</t>
  </si>
  <si>
    <t xml:space="preserve">           FUNDO DE SAUDE DE GOIANAPOLIS - GO - [11992]</t>
  </si>
  <si>
    <t>[1.1.21.01.0845]</t>
  </si>
  <si>
    <t xml:space="preserve">           PREFEITURA DE MOGI DAS CRUZES - SP - [12111]</t>
  </si>
  <si>
    <t>[1.1.21.01.0846]</t>
  </si>
  <si>
    <t>17.100,00D</t>
  </si>
  <si>
    <t xml:space="preserve">           PREFEITURA DE QUERENCIA MT - [12279]</t>
  </si>
  <si>
    <t>[1.1.21.01.0854]</t>
  </si>
  <si>
    <t xml:space="preserve">           FUNDO DE SAÚDE DE MIRANTE DA SERRA RO - [12405]</t>
  </si>
  <si>
    <t>[1.1.21.01.0855]</t>
  </si>
  <si>
    <t xml:space="preserve">           FUNDO DE SAUDE DE CALDAZINHA GO - [12447]</t>
  </si>
  <si>
    <t>[1.1.21.01.0861]</t>
  </si>
  <si>
    <t xml:space="preserve">           FUNDO DE SAUDE DE URUTAI GO - [12454]</t>
  </si>
  <si>
    <t>[1.1.21.01.0862]</t>
  </si>
  <si>
    <t xml:space="preserve">           FUNDO DE SAUDE DE SOBRAL  CE - [12538]</t>
  </si>
  <si>
    <t>[1.1.21.01.0874]</t>
  </si>
  <si>
    <t>59.400,00D</t>
  </si>
  <si>
    <t>74.250,00D</t>
  </si>
  <si>
    <t xml:space="preserve">           FUNDO DE SAUDE DE ITAJA  GO  - [12552]</t>
  </si>
  <si>
    <t>[1.1.21.01.0876]</t>
  </si>
  <si>
    <t xml:space="preserve">           FUNDO DE SAUDE DE MAIRIPOTABA  GO - [12818]</t>
  </si>
  <si>
    <t>[1.1.21.01.0882]</t>
  </si>
  <si>
    <t xml:space="preserve">           FUNDO DE SAUDE DE TRES RANCHOS  GO  - [12832]</t>
  </si>
  <si>
    <t>[1.1.21.01.0884]</t>
  </si>
  <si>
    <t xml:space="preserve">           FUNDO DE SAUDE DE ALOANDIA GO - [12923]</t>
  </si>
  <si>
    <t>[1.1.21.01.0888]</t>
  </si>
  <si>
    <t xml:space="preserve">           FUNDO DE SAUDE DE ALTO HORIZONTE  GO - [12930]</t>
  </si>
  <si>
    <t>[1.1.21.01.0889]</t>
  </si>
  <si>
    <t>345,00D</t>
  </si>
  <si>
    <t xml:space="preserve">           FUNDO DE SAUDE DE GOIANIA  -  GO - [13308]</t>
  </si>
  <si>
    <t>[1.1.21.01.0894]</t>
  </si>
  <si>
    <t>257.300,00D</t>
  </si>
  <si>
    <t xml:space="preserve">           FUNDO DE SAUDE DE CASTELANDIA  GO  - [13350]</t>
  </si>
  <si>
    <t>[1.1.21.01.0900]</t>
  </si>
  <si>
    <t xml:space="preserve">           FUNDO DE SAUDE ARAGUAPAZ  GO - [13693]</t>
  </si>
  <si>
    <t>[1.1.21.01.0902]</t>
  </si>
  <si>
    <t xml:space="preserve">           FUNDO DE SAUDE DE THEOBROMA  RO  - [13721]</t>
  </si>
  <si>
    <t>[1.1.21.01.0906]</t>
  </si>
  <si>
    <t xml:space="preserve">           RV IMOLA TRANSPOTES E LOGISTICA LTDA - [13196]</t>
  </si>
  <si>
    <t>[1.1.21.01.0909]</t>
  </si>
  <si>
    <t>204,60D</t>
  </si>
  <si>
    <t xml:space="preserve">           FUNDO MUNICIPAL DE SAUDE DE PORTEIRAO - [13203]</t>
  </si>
  <si>
    <t>[1.1.21.01.0910]</t>
  </si>
  <si>
    <t xml:space="preserve">           FUNDO MUNICIPAL DE SAUDE DE ACRELANDIA - [13910]</t>
  </si>
  <si>
    <t>[1.1.21.01.0915]</t>
  </si>
  <si>
    <t xml:space="preserve">           FUNDO DE SAUDE DE SANTANA DO ARAGUAIA PA - [14141]</t>
  </si>
  <si>
    <t>[1.1.21.01.0926]</t>
  </si>
  <si>
    <t>4.080,00D</t>
  </si>
  <si>
    <t xml:space="preserve">           FUNDO DE SAUDE DE LABREA  AM - [14148]</t>
  </si>
  <si>
    <t>[1.1.21.01.0927]</t>
  </si>
  <si>
    <t>10.163,00D</t>
  </si>
  <si>
    <t xml:space="preserve">           FUNDO DE SAUDE DE CAMAPUA  MS - [14162]</t>
  </si>
  <si>
    <t>[1.1.21.01.0929]</t>
  </si>
  <si>
    <t xml:space="preserve">           FUNDO DE SAUDE PIRACURUCA  PI - [14358]</t>
  </si>
  <si>
    <t>[1.1.21.01.0935]</t>
  </si>
  <si>
    <t xml:space="preserve">           FUNDO DE SAUDE DIANOPOLIS TO - [14372]</t>
  </si>
  <si>
    <t>[1.1.21.01.0937]</t>
  </si>
  <si>
    <t xml:space="preserve">           FUNDO DE SAUDE PARINTINS AM - [14379]</t>
  </si>
  <si>
    <t>[1.1.21.01.0938]</t>
  </si>
  <si>
    <t>27.500,00D</t>
  </si>
  <si>
    <t xml:space="preserve">           FUNDO DE SAÚDE DE CONCEIÇÃO DO TOCANTINS  TO - [14617]</t>
  </si>
  <si>
    <t>[1.1.21.01.0949]</t>
  </si>
  <si>
    <t xml:space="preserve">           FUNDO DE SAUDE DE COLORADO DO OESTE  RO  - [14659]</t>
  </si>
  <si>
    <t>[1.1.21.01.0950]</t>
  </si>
  <si>
    <t xml:space="preserve">           PREFEITURA MUNICIPAL DE CABIXI    RO - [14757]</t>
  </si>
  <si>
    <t>[1.1.21.01.0952]</t>
  </si>
  <si>
    <t xml:space="preserve">           FUNDO DE SAUDE DE TRES LAGOAS  MS  - [14820]</t>
  </si>
  <si>
    <t>[1.1.21.01.0953]</t>
  </si>
  <si>
    <t xml:space="preserve">           FUNDO DE SAUDE COLINAS DO SUL  GO - [14981]</t>
  </si>
  <si>
    <t>[1.1.21.01.0960]</t>
  </si>
  <si>
    <t xml:space="preserve">           FUNDO DE SAUDE DE SANCRERLANDIA  GO - [15002]</t>
  </si>
  <si>
    <t>[1.1.21.01.0963]</t>
  </si>
  <si>
    <t xml:space="preserve">           FUNDO SAUDE DE DOVERLANDIA  GO  - [15016]</t>
  </si>
  <si>
    <t>[1.1.21.01.0965]</t>
  </si>
  <si>
    <t xml:space="preserve">           FUNDO DE SAUDE DE AQUIDAUANA  MS - [15128]</t>
  </si>
  <si>
    <t>[1.1.21.01.0979]</t>
  </si>
  <si>
    <t>14.000,00D</t>
  </si>
  <si>
    <t xml:space="preserve">           SECRETARIA DE ESTADO DE GOVERNO SEGOV - [15373]</t>
  </si>
  <si>
    <t>[1.1.21.01.1009]</t>
  </si>
  <si>
    <t xml:space="preserve">           FUNDO DE SAUDE DE RUBIATABA  GO - [15464]</t>
  </si>
  <si>
    <t>[1.1.21.01.1018]</t>
  </si>
  <si>
    <t xml:space="preserve">           FUNDO MUNICIPAL DE SAUDE DE GOIANIA   GO - [15814]</t>
  </si>
  <si>
    <t>[1.1.21.01.1032]</t>
  </si>
  <si>
    <t>351.000,00D</t>
  </si>
  <si>
    <t xml:space="preserve">           FUNDO DE SAUDE ALTA FLORESTA DO OESTE - [15849]</t>
  </si>
  <si>
    <t>[1.1.21.01.1033]</t>
  </si>
  <si>
    <t xml:space="preserve">           COMPANHIA DE DESENVOL. ECONOMICO DO EST. DE GOIAS - [16010]</t>
  </si>
  <si>
    <t>[1.1.21.01.1040]</t>
  </si>
  <si>
    <t>1.197,00D</t>
  </si>
  <si>
    <t xml:space="preserve">           CONSORCIO INTERGESTORES PARANÁ SAÚDE- PR - [16122]</t>
  </si>
  <si>
    <t>[1.1.21.01.1044]</t>
  </si>
  <si>
    <t>4.471.162,50D</t>
  </si>
  <si>
    <t>2.327.046,00D</t>
  </si>
  <si>
    <t xml:space="preserve">           CONTROLADORIA GERAL DO ESTADO  CGE GO - [16129]</t>
  </si>
  <si>
    <t>[1.1.21.01.1045]</t>
  </si>
  <si>
    <t xml:space="preserve">           DEPARTAMENTO ESTADUAL DE TRANSITO  DETRA - [16136]</t>
  </si>
  <si>
    <t>[1.1.21.01.1046]</t>
  </si>
  <si>
    <t xml:space="preserve">           MUNICIPIO DE JUIZ DE FORA - [16164]</t>
  </si>
  <si>
    <t>[1.1.21.01.1050]</t>
  </si>
  <si>
    <t>98,50D</t>
  </si>
  <si>
    <t xml:space="preserve">           SANEAMENTO DE GOIAS S/A - [16206]</t>
  </si>
  <si>
    <t>[1.1.21.01.1052]</t>
  </si>
  <si>
    <t>10.500,00D</t>
  </si>
  <si>
    <t xml:space="preserve">           AGENCIA BRASIL CENTRAL - [16213]</t>
  </si>
  <si>
    <t>[1.1.21.01.1053]</t>
  </si>
  <si>
    <t>1.244,88D</t>
  </si>
  <si>
    <t xml:space="preserve">           SERVIÇO SOCIAL DA INDUSTRIA - SESI - [16234]</t>
  </si>
  <si>
    <t>[1.1.21.01.1054]</t>
  </si>
  <si>
    <t>1.872,00D</t>
  </si>
  <si>
    <t xml:space="preserve">           SECRETARIA DE ESTADO DA SEGURANÇA PUBLICA DE GOIAS - [16241]</t>
  </si>
  <si>
    <t>[1.1.21.01.1055]</t>
  </si>
  <si>
    <t xml:space="preserve">           SERVIÇO NACIONAL DE APRENDIZAGEM INDUSTRIAL SENAI - [16276]</t>
  </si>
  <si>
    <t>[1.1.21.01.1057]</t>
  </si>
  <si>
    <t xml:space="preserve">           SERVICO SOCIAL DA INDUSTRIA SESI - [16325]</t>
  </si>
  <si>
    <t>[1.1.21.01.1058]</t>
  </si>
  <si>
    <t xml:space="preserve">           SERVICO NACIONAL DE APRENDIZAGEM INDUSTR - [16332]</t>
  </si>
  <si>
    <t>[1.1.21.01.1059]</t>
  </si>
  <si>
    <t xml:space="preserve">           FUNDO MUNICIPAL DE SAUDE DE AGUA AZUL DO - [16360]</t>
  </si>
  <si>
    <t>[1.1.21.01.1061]</t>
  </si>
  <si>
    <t xml:space="preserve">           FUNDO ESTADUAL DE SAUDE DE GOIÁS  - [16374]</t>
  </si>
  <si>
    <t>[1.1.21.01.1062]</t>
  </si>
  <si>
    <t xml:space="preserve">           CONSORCIO INTERM. DE SAUDE DO MEDIO VALE ITAJAÍ SC - [16381]</t>
  </si>
  <si>
    <t>[1.1.21.01.1063]</t>
  </si>
  <si>
    <t xml:space="preserve">           CONSORCIO INTERMUNICIPAL DO SUL DO ESTADO ALAGOAS  - [16416]</t>
  </si>
  <si>
    <t>[1.1.21.01.1064]</t>
  </si>
  <si>
    <t>629.275,35D</t>
  </si>
  <si>
    <t xml:space="preserve">           AGENCIA DE ASSIST. TECNICA RURAL E PESQUISA AGR - [16423]</t>
  </si>
  <si>
    <t>[1.1.21.01.1065]</t>
  </si>
  <si>
    <t xml:space="preserve">           FUNDO ESTADUAL DE SAUDE FUNDES CE - [16549]</t>
  </si>
  <si>
    <t>[1.1.21.01.1066]</t>
  </si>
  <si>
    <t>3.807.685,50D</t>
  </si>
  <si>
    <t xml:space="preserve">           FUNDO DE SAUDE DE PORTO BELO  SC - [16556]</t>
  </si>
  <si>
    <t>[1.1.21.01.1067]</t>
  </si>
  <si>
    <t xml:space="preserve">           MUNICIPIO DE TRIUNFO  PB - [16605]</t>
  </si>
  <si>
    <t>[1.1.21.01.1068]</t>
  </si>
  <si>
    <t xml:space="preserve">           MUNICIPIO DE MAQUINE  RS - [16612]</t>
  </si>
  <si>
    <t>[1.1.21.01.1069]</t>
  </si>
  <si>
    <t xml:space="preserve">           RIO GRANDE DO NORTE SECRETARIA SAUDE PUBLICA  RN - [16619]</t>
  </si>
  <si>
    <t>[1.1.21.01.1070]</t>
  </si>
  <si>
    <t>47.040,00D</t>
  </si>
  <si>
    <t xml:space="preserve">           ASSOCIAÇÃO REGIONAL DO SUDOESTE ARSS  PR - [16668]</t>
  </si>
  <si>
    <t>[1.1.21.01.1071]</t>
  </si>
  <si>
    <t xml:space="preserve">           MUNICIPIO DE GRANJACE - [16675]</t>
  </si>
  <si>
    <t>[1.1.21.01.1072]</t>
  </si>
  <si>
    <t xml:space="preserve">           EMPRESA BRASILEIRA DE SERVIÇOS HOSPITALARES  GO - [16682]</t>
  </si>
  <si>
    <t>[1.1.21.01.1073]</t>
  </si>
  <si>
    <t xml:space="preserve">           MUNICIPIO DE PALMACIA  CE - [16773]</t>
  </si>
  <si>
    <t>[1.1.21.01.1074]</t>
  </si>
  <si>
    <t xml:space="preserve">           FUNDO DE CACHOEIRO DE ITAPEMIRIM - [16780]</t>
  </si>
  <si>
    <t>[1.1.21.01.1075]</t>
  </si>
  <si>
    <t xml:space="preserve">           FUNDO DE SAUDE DE BOM JARDIM  RJ - [16822]</t>
  </si>
  <si>
    <t>[1.1.21.01.1076]</t>
  </si>
  <si>
    <t>93.000,00D</t>
  </si>
  <si>
    <t xml:space="preserve">           FUNDO DE SAUDE DE GOIANA  - PE - [16829]</t>
  </si>
  <si>
    <t>[1.1.21.01.1077]</t>
  </si>
  <si>
    <t xml:space="preserve">         (-) DUPLICATAS RECEBIDAS - [300]</t>
  </si>
  <si>
    <t>[1.1.21.02]</t>
  </si>
  <si>
    <t xml:space="preserve">             0,00D</t>
  </si>
  <si>
    <t xml:space="preserve">           RECEBIMENTOS A CLASSIFICAR - [6378]</t>
  </si>
  <si>
    <t>[1.1.21.02.0001]</t>
  </si>
  <si>
    <t xml:space="preserve">         (-) REDUÇÃO AO VALOR RECUPERAVEL - [14050]</t>
  </si>
  <si>
    <t>[1.1.21.05]</t>
  </si>
  <si>
    <t xml:space="preserve">     1.793.770,46C</t>
  </si>
  <si>
    <t>C</t>
  </si>
  <si>
    <t xml:space="preserve">           (-) REDUÇÃO AO VALOR RECUPERAVEL - CLIENTES - [14057]</t>
  </si>
  <si>
    <t>[1.1.21.05.0001]</t>
  </si>
  <si>
    <t>1.793.770,46C</t>
  </si>
  <si>
    <t xml:space="preserve">       OUTROS CREDITOS - [311]</t>
  </si>
  <si>
    <t>[1.1.22]</t>
  </si>
  <si>
    <t xml:space="preserve">    15.045.709,16D</t>
  </si>
  <si>
    <t>1.758.248,97D</t>
  </si>
  <si>
    <t xml:space="preserve">         ADIANTAMENTOS A FORNECEDORES - [330]</t>
  </si>
  <si>
    <t>[1.1.22.02]</t>
  </si>
  <si>
    <t xml:space="preserve">         1.069,80D</t>
  </si>
  <si>
    <t xml:space="preserve">           YVYTU IND E COM DE FILTROS LTDA - [13630]</t>
  </si>
  <si>
    <t>[1.1.22.02.0460]</t>
  </si>
  <si>
    <t>1.010,80D</t>
  </si>
  <si>
    <t xml:space="preserve">           FORNECEDORES DIVERSOS - [15422]</t>
  </si>
  <si>
    <t>[1.1.22.02.0503]</t>
  </si>
  <si>
    <t>59,00D</t>
  </si>
  <si>
    <t xml:space="preserve">         ANTECIPACÕES - [500]</t>
  </si>
  <si>
    <t>[1.1.22.03]</t>
  </si>
  <si>
    <t xml:space="preserve">        49.733,79D</t>
  </si>
  <si>
    <t xml:space="preserve">           ADIANTAMENTOS 13º SALARIO - [502]</t>
  </si>
  <si>
    <t>[1.1.22.03.0002]</t>
  </si>
  <si>
    <t xml:space="preserve">           ADIANTAMENTOS DE FERIAS - [503]</t>
  </si>
  <si>
    <t>[1.1.22.03.0003]</t>
  </si>
  <si>
    <t>49.733,79D</t>
  </si>
  <si>
    <t>61.438,40D</t>
  </si>
  <si>
    <t xml:space="preserve">         IMPOSTOS A COMPENSAR - [550]</t>
  </si>
  <si>
    <t>[1.1.22.06]</t>
  </si>
  <si>
    <t xml:space="preserve">     2.110.170,32D</t>
  </si>
  <si>
    <t xml:space="preserve">           CSLL RETIDO NA FONTE - [553]</t>
  </si>
  <si>
    <t>[1.1.22.06.0003]</t>
  </si>
  <si>
    <t>583,01D</t>
  </si>
  <si>
    <t>1.339,91D</t>
  </si>
  <si>
    <t xml:space="preserve">           IMPOSTO DE RENDA RETIDO NA FONTE - [554]</t>
  </si>
  <si>
    <t>[1.1.22.06.0004]</t>
  </si>
  <si>
    <t>343.555,33D</t>
  </si>
  <si>
    <t>357.261,98D</t>
  </si>
  <si>
    <t xml:space="preserve">           COFINS - [562]</t>
  </si>
  <si>
    <t>[1.1.22.06.0012]</t>
  </si>
  <si>
    <t>1.426.691,19D</t>
  </si>
  <si>
    <t>747.256,29D</t>
  </si>
  <si>
    <t xml:space="preserve">           PASEP - [564]</t>
  </si>
  <si>
    <t>[1.1.22.06.0014]</t>
  </si>
  <si>
    <t>311.448,15D</t>
  </si>
  <si>
    <t>163.832,64D</t>
  </si>
  <si>
    <t xml:space="preserve">           INSS RETIDO A COMPENSAR - [7845]</t>
  </si>
  <si>
    <t>[1.1.22.06.0016]</t>
  </si>
  <si>
    <t>21.279,75D</t>
  </si>
  <si>
    <t xml:space="preserve">           ISS A RECUPERAR - [9035]</t>
  </si>
  <si>
    <t>[1.1.22.06.0017]</t>
  </si>
  <si>
    <t>5.736,39D</t>
  </si>
  <si>
    <t xml:space="preserve">           CSRF 5952 PAGO A MAIOR OU INDEVIDO - [14022]</t>
  </si>
  <si>
    <t>[1.1.22.06.0029]</t>
  </si>
  <si>
    <t>876,50D</t>
  </si>
  <si>
    <t>65,10D</t>
  </si>
  <si>
    <t xml:space="preserve">         OUTROS CREDITOS - [575]</t>
  </si>
  <si>
    <t>[1.1.22.08]</t>
  </si>
  <si>
    <t xml:space="preserve">            71,96D</t>
  </si>
  <si>
    <t xml:space="preserve">           BANCO REAL S/A - [576]</t>
  </si>
  <si>
    <t>[1.1.22.08.0001]</t>
  </si>
  <si>
    <t>32,44D</t>
  </si>
  <si>
    <t xml:space="preserve">           ELETROBRAS S/A - [577]</t>
  </si>
  <si>
    <t>[1.1.22.08.0002]</t>
  </si>
  <si>
    <t>30,14D</t>
  </si>
  <si>
    <t xml:space="preserve">           GERASUL - [578]</t>
  </si>
  <si>
    <t>[1.1.22.08.0003]</t>
  </si>
  <si>
    <t>9,38D</t>
  </si>
  <si>
    <t xml:space="preserve">         OPERAÇÕES COM A MATRIZ - [13231]</t>
  </si>
  <si>
    <t>[1.1.22.10]</t>
  </si>
  <si>
    <t xml:space="preserve">           CRÉDITOS COM MATRIZ - [14078]</t>
  </si>
  <si>
    <t>[1.1.22.10.0004]</t>
  </si>
  <si>
    <t xml:space="preserve">         OPERAÇÕES COM A FILIAL - [13280]</t>
  </si>
  <si>
    <t>[1.1.22.11]</t>
  </si>
  <si>
    <t xml:space="preserve">           CRÉDITOS COM FILIAL - [13287]</t>
  </si>
  <si>
    <t>[1.1.22.11.0001]</t>
  </si>
  <si>
    <t xml:space="preserve">         OPERAÇÕES COM PARCEIROS - [15632]</t>
  </si>
  <si>
    <t>[1.1.22.12]</t>
  </si>
  <si>
    <t xml:space="preserve">    12.884.663,29D</t>
  </si>
  <si>
    <t xml:space="preserve">           ANTECIPAÇÃO A PARCEIROS HMD - [15639]</t>
  </si>
  <si>
    <t>[1.1.22.12.0001]</t>
  </si>
  <si>
    <t>12.457.680,60D</t>
  </si>
  <si>
    <t xml:space="preserve">           ANTECIPAÇÃO A PARCEIROS = GREENPHARMA - [15961]</t>
  </si>
  <si>
    <t>[1.1.22.12.0002]</t>
  </si>
  <si>
    <t>426.982,69D</t>
  </si>
  <si>
    <t xml:space="preserve">       PRODUTOS - [580]</t>
  </si>
  <si>
    <t>[1.1.31]</t>
  </si>
  <si>
    <t xml:space="preserve">         PRODUTOS ACABADOS - [581]</t>
  </si>
  <si>
    <t>[1.1.31.01]</t>
  </si>
  <si>
    <t xml:space="preserve">     2.307.528,73D</t>
  </si>
  <si>
    <t>3.848.209,91D</t>
  </si>
  <si>
    <t xml:space="preserve">           (-) PROVISÃO PARA PERDAS EM ESTOQUE - [10599]</t>
  </si>
  <si>
    <t>[1.1.31.01.0007]</t>
  </si>
  <si>
    <t>18.391,52C</t>
  </si>
  <si>
    <t xml:space="preserve">           ESTOQUE DE MERCADORIA - MEDIDOR GLICOSE - [12237]</t>
  </si>
  <si>
    <t>[1.1.31.01.0008]</t>
  </si>
  <si>
    <t>1.518.025,95D</t>
  </si>
  <si>
    <t>2.895.707,74D</t>
  </si>
  <si>
    <t xml:space="preserve">           ESTOQUE DE MERCADORIA - TIRAS DE TESTE - [12244]</t>
  </si>
  <si>
    <t>[1.1.31.01.0009]</t>
  </si>
  <si>
    <t>665.952,00D</t>
  </si>
  <si>
    <t>19.320,00D</t>
  </si>
  <si>
    <t xml:space="preserve">           ESTOQUE - IQ. ALCOOL GEL 70%  - 1 LITRO - [16017]</t>
  </si>
  <si>
    <t>[1.1.31.01.0010]</t>
  </si>
  <si>
    <t>71.782,55D</t>
  </si>
  <si>
    <t>56.946,30D</t>
  </si>
  <si>
    <t xml:space="preserve">           ESTOQUE - IQ. ALCOOL GEL 70%  - 440G - [16024]</t>
  </si>
  <si>
    <t>[1.1.31.01.0011]</t>
  </si>
  <si>
    <t>56.955,68D</t>
  </si>
  <si>
    <t>37.864,64D</t>
  </si>
  <si>
    <t xml:space="preserve">           ESTOQUE - IQ. ALCOOL GEL 70% -  5 L - [16031]</t>
  </si>
  <si>
    <t>[1.1.31.01.0012]</t>
  </si>
  <si>
    <t>1.331,28D</t>
  </si>
  <si>
    <t>1.423,73D</t>
  </si>
  <si>
    <t xml:space="preserve">           ESTOQUE - IQ. ALCOOL LIQ 70%  - 1 LITRO - [16038]</t>
  </si>
  <si>
    <t>[1.1.31.01.0013]</t>
  </si>
  <si>
    <t>148,99D</t>
  </si>
  <si>
    <t xml:space="preserve">           SOLUÇÃO CONTROLE DE GLICOSE - [16220]</t>
  </si>
  <si>
    <t>[1.1.31.01.0014]</t>
  </si>
  <si>
    <t>8.480,56D</t>
  </si>
  <si>
    <t>41.097,32D</t>
  </si>
  <si>
    <t xml:space="preserve">           BATERIA DE LITIO CR 2032 - GLUCOLEADER - [16227]</t>
  </si>
  <si>
    <t>[1.1.31.01.0015]</t>
  </si>
  <si>
    <t>3.392,23D</t>
  </si>
  <si>
    <t>121,84D</t>
  </si>
  <si>
    <t xml:space="preserve">           CABO GLUCOLEADER 2 SAIDAS E CABO USB OKMETER BRANC - [16584]</t>
  </si>
  <si>
    <t>[1.1.31.01.0016]</t>
  </si>
  <si>
    <t>362,89D</t>
  </si>
  <si>
    <t xml:space="preserve">           MEDIDOR DE GLICOSE SANG OKMETER MATCH II GOD CX 1 - [16591]</t>
  </si>
  <si>
    <t>[1.1.31.01.0017]</t>
  </si>
  <si>
    <t>244.012,08D</t>
  </si>
  <si>
    <t xml:space="preserve">           TIRA DE TESTE DE GLIC SANG OKMETER MATCH II CX 50 - [16598]</t>
  </si>
  <si>
    <t>[1.1.31.01.0018]</t>
  </si>
  <si>
    <t>569.595,90D</t>
  </si>
  <si>
    <t xml:space="preserve">       MATERIAIS - [588]</t>
  </si>
  <si>
    <t>[1.1.32]</t>
  </si>
  <si>
    <t xml:space="preserve">         MATERIAS-PRIMAS - [589]</t>
  </si>
  <si>
    <t>[1.1.32.01]</t>
  </si>
  <si>
    <t xml:space="preserve">        58.288,95D</t>
  </si>
  <si>
    <t>53.771,22D</t>
  </si>
  <si>
    <t xml:space="preserve">           ESTOQUE MATERIA PRIMA - [590]</t>
  </si>
  <si>
    <t>[1.1.32.01.0001]</t>
  </si>
  <si>
    <t>58.288,95D</t>
  </si>
  <si>
    <t xml:space="preserve">       EMBALAGENS - [609]</t>
  </si>
  <si>
    <t>[1.1.33]</t>
  </si>
  <si>
    <t xml:space="preserve">         EMBALAGENS - [610]</t>
  </si>
  <si>
    <t>[1.1.33.01]</t>
  </si>
  <si>
    <t xml:space="preserve">       373.340,64D</t>
  </si>
  <si>
    <t>369.735,54D</t>
  </si>
  <si>
    <t xml:space="preserve">           ESTOQUE DE EMBALAGENS - [611]</t>
  </si>
  <si>
    <t>[1.1.33.01.0001]</t>
  </si>
  <si>
    <t>522.028,92D</t>
  </si>
  <si>
    <t>518.131,83D</t>
  </si>
  <si>
    <t xml:space="preserve">           (-) PROVISÃO DE PERDA DE ESTOQUE - [7580]</t>
  </si>
  <si>
    <t>[1.1.33.01.0006]</t>
  </si>
  <si>
    <t>148.688,28C</t>
  </si>
  <si>
    <t>148.396,29C</t>
  </si>
  <si>
    <t xml:space="preserve">       ALMOXARIFADO DE CONSUMO - [3784]</t>
  </si>
  <si>
    <t>[1.1.38]</t>
  </si>
  <si>
    <t xml:space="preserve">         ALMOXARIFADO DE CONSUMO - [3791]</t>
  </si>
  <si>
    <t>[1.1.38.01]</t>
  </si>
  <si>
    <t xml:space="preserve">     1.446.534,79D</t>
  </si>
  <si>
    <t>1.466.363,96D</t>
  </si>
  <si>
    <t xml:space="preserve">           ESTOQUE ALMOXARIFADO DE CONSUMO - [3798]</t>
  </si>
  <si>
    <t>[1.1.38.01.0001]</t>
  </si>
  <si>
    <t>93.558,31D</t>
  </si>
  <si>
    <t>98.323,49D</t>
  </si>
  <si>
    <t xml:space="preserve">           EQUIPAMENTOS - [16346]</t>
  </si>
  <si>
    <t>[1.1.38.01.0002]</t>
  </si>
  <si>
    <t>1.352.976,48D</t>
  </si>
  <si>
    <t>1.368.040,47D</t>
  </si>
  <si>
    <t xml:space="preserve">       DESP. DIFERIDAS / ANTECIPADAS - [681]</t>
  </si>
  <si>
    <t>[1.1.51]</t>
  </si>
  <si>
    <t xml:space="preserve">     1.733.959,67D</t>
  </si>
  <si>
    <t xml:space="preserve">         DESPESAS DIFERIDA S/ ANTECIPADAS - [682]</t>
  </si>
  <si>
    <t>[1.1.51.01]</t>
  </si>
  <si>
    <t>1.525.367,88D</t>
  </si>
  <si>
    <t xml:space="preserve">           BLOQUEIOS JUDICIAIS - [683]</t>
  </si>
  <si>
    <t>[1.1.51.01.0001]</t>
  </si>
  <si>
    <t>1.733.959,67D</t>
  </si>
  <si>
    <t xml:space="preserve">     CREDITOS LONGO PRAZO - [16451]</t>
  </si>
  <si>
    <t>[1.2]</t>
  </si>
  <si>
    <t xml:space="preserve">    39.399.149,69D</t>
  </si>
  <si>
    <t>67.568.401,68D</t>
  </si>
  <si>
    <t xml:space="preserve">       CREDITOS DE LONGO PRAZO - [702]</t>
  </si>
  <si>
    <t>[1.2.11]</t>
  </si>
  <si>
    <t xml:space="preserve">     6.131.083,94D</t>
  </si>
  <si>
    <t xml:space="preserve">         VALORES MOBILIARIOS - [710]</t>
  </si>
  <si>
    <t>[1.2.11.02]</t>
  </si>
  <si>
    <t xml:space="preserve">         4.618,91D</t>
  </si>
  <si>
    <t>4.618,91D</t>
  </si>
  <si>
    <t xml:space="preserve">           ELETROBRAS - [711]</t>
  </si>
  <si>
    <t>[1.2.11.02.0001]</t>
  </si>
  <si>
    <t>530,16D</t>
  </si>
  <si>
    <t xml:space="preserve">           PETROBRAS - [712]</t>
  </si>
  <si>
    <t>[1.2.11.02.0002]</t>
  </si>
  <si>
    <t>4.088,75D</t>
  </si>
  <si>
    <t xml:space="preserve">         OUTROS CREDITOS - [5012]</t>
  </si>
  <si>
    <t>[1.2.11.03]</t>
  </si>
  <si>
    <t xml:space="preserve">     6.126.465,03D</t>
  </si>
  <si>
    <t>6.252.076,39D</t>
  </si>
  <si>
    <t xml:space="preserve">           DEPOSITOS JUDICIAIS - [5054]</t>
  </si>
  <si>
    <t>[1.2.11.03.0004]</t>
  </si>
  <si>
    <t>3.916.766,63D</t>
  </si>
  <si>
    <t>4.270.804,41D</t>
  </si>
  <si>
    <t xml:space="preserve">           DEPOSITOS RECURSAIS - [2323]</t>
  </si>
  <si>
    <t>[1.2.11.03.0007]</t>
  </si>
  <si>
    <t>2.209.698,40D</t>
  </si>
  <si>
    <t>1.981.271,98D</t>
  </si>
  <si>
    <t xml:space="preserve">       APLICAÇÕES C/ RECURSOS PROPRIOS - [716]</t>
  </si>
  <si>
    <t>[1.2.21]</t>
  </si>
  <si>
    <t xml:space="preserve">        52.634,40D</t>
  </si>
  <si>
    <t>10A</t>
  </si>
  <si>
    <t xml:space="preserve">         APLICAÇÕES DE INCENTIVOS FISCAIS - [717]</t>
  </si>
  <si>
    <t>[1.2.21.01]</t>
  </si>
  <si>
    <t xml:space="preserve">        42.022,61D</t>
  </si>
  <si>
    <t>42.022,61D</t>
  </si>
  <si>
    <t xml:space="preserve">           TELEGOIAS - [718]</t>
  </si>
  <si>
    <t>[1.2.21.01.0001]</t>
  </si>
  <si>
    <t>1.066,44D</t>
  </si>
  <si>
    <t xml:space="preserve">           ELETROBRAS - [719]</t>
  </si>
  <si>
    <t>[1.2.21.01.0002]</t>
  </si>
  <si>
    <t>450,01D</t>
  </si>
  <si>
    <t xml:space="preserve">           SRI-COM. SERV. REC. INFORMAÇÃO SA - [720]</t>
  </si>
  <si>
    <t>[1.2.21.01.0003]</t>
  </si>
  <si>
    <t>2.725,64D</t>
  </si>
  <si>
    <t xml:space="preserve">           PATROCINIO CULTURAL - [721]</t>
  </si>
  <si>
    <t>[1.2.21.01.0004]</t>
  </si>
  <si>
    <t>34.997,63D</t>
  </si>
  <si>
    <t xml:space="preserve">           TRACTEBEL (ENERGIA) S/A - [722]</t>
  </si>
  <si>
    <t>[1.2.21.01.0005]</t>
  </si>
  <si>
    <t>62,89D</t>
  </si>
  <si>
    <t xml:space="preserve">           BANCOOB - [723]</t>
  </si>
  <si>
    <t>[1.2.21.01.0006]</t>
  </si>
  <si>
    <t>2.720,00D</t>
  </si>
  <si>
    <t xml:space="preserve">         APLICAÇÕES INCENTIVADAS - [730]</t>
  </si>
  <si>
    <t>[1.2.21.02]</t>
  </si>
  <si>
    <t xml:space="preserve">        10.611,79D</t>
  </si>
  <si>
    <t>10.611,79D</t>
  </si>
  <si>
    <t xml:space="preserve">           SUDAM - [731]</t>
  </si>
  <si>
    <t>[1.2.21.02.0001]</t>
  </si>
  <si>
    <t>3.864,04D</t>
  </si>
  <si>
    <t xml:space="preserve">           FISET - [732]</t>
  </si>
  <si>
    <t>[1.2.21.02.0002]</t>
  </si>
  <si>
    <t>2.355,99D</t>
  </si>
  <si>
    <t xml:space="preserve">           INCENTIVO A INFORMATICA - [733]</t>
  </si>
  <si>
    <t>[1.2.21.02.0003]</t>
  </si>
  <si>
    <t>4.391,76D</t>
  </si>
  <si>
    <t xml:space="preserve">       IMOBILIZAÇÕES TÉCNICAS - [751]</t>
  </si>
  <si>
    <t>[1.2.31]</t>
  </si>
  <si>
    <t xml:space="preserve">    33.215.431,35D</t>
  </si>
  <si>
    <t xml:space="preserve">         IMOVEIS DE USO - [752]</t>
  </si>
  <si>
    <t>[1.2.31.01]</t>
  </si>
  <si>
    <t xml:space="preserve">    36.466.622,66D</t>
  </si>
  <si>
    <t>61.000.000,00D</t>
  </si>
  <si>
    <t xml:space="preserve">           TERRENOS - [753]</t>
  </si>
  <si>
    <t>[1.2.31.01.0001]</t>
  </si>
  <si>
    <t>12.002.725,80D</t>
  </si>
  <si>
    <t xml:space="preserve">           PREDIO INDUSTRIAL - [754]</t>
  </si>
  <si>
    <t>[1.2.31.01.0002]</t>
  </si>
  <si>
    <t>7.392.054,17D</t>
  </si>
  <si>
    <t>3.887.289,28D</t>
  </si>
  <si>
    <t xml:space="preserve">           SEDE ADMINISTRATRIVA I - [755]</t>
  </si>
  <si>
    <t>[1.2.31.01.0003]</t>
  </si>
  <si>
    <t>928.657,50D</t>
  </si>
  <si>
    <t>488.356,86D</t>
  </si>
  <si>
    <t xml:space="preserve">           SEDE ADMINISTRATIVA II - [756]</t>
  </si>
  <si>
    <t>[1.2.31.01.0004]</t>
  </si>
  <si>
    <t>265.176,57D</t>
  </si>
  <si>
    <t>139.449,47D</t>
  </si>
  <si>
    <t xml:space="preserve">           REFEITÓRIO - [757]</t>
  </si>
  <si>
    <t>[1.2.31.01.0005]</t>
  </si>
  <si>
    <t>275.206,83D</t>
  </si>
  <si>
    <t>144.724,13D</t>
  </si>
  <si>
    <t xml:space="preserve">           MUROS ALAMBRADOS - [758]</t>
  </si>
  <si>
    <t>[1.2.31.01.0006]</t>
  </si>
  <si>
    <t>320.071,48D</t>
  </si>
  <si>
    <t>168.317,28D</t>
  </si>
  <si>
    <t xml:space="preserve">           EDIFICAÇÕES EM ANDAMENTO - [759]</t>
  </si>
  <si>
    <t>[1.2.31.01.0007]</t>
  </si>
  <si>
    <t>12.550.576,34D</t>
  </si>
  <si>
    <t xml:space="preserve">           OUTRAS CONSTRUÇÕES - [760]</t>
  </si>
  <si>
    <t>[1.2.31.01.0008]</t>
  </si>
  <si>
    <t>243.582,40D</t>
  </si>
  <si>
    <t>128.093,66D</t>
  </si>
  <si>
    <t xml:space="preserve">           ALMORAXIFADO  - [761]</t>
  </si>
  <si>
    <t>[1.2.31.01.0009]</t>
  </si>
  <si>
    <t>1.598.750,00D</t>
  </si>
  <si>
    <t>840.741,10D</t>
  </si>
  <si>
    <t xml:space="preserve">           LAB. CONTROLE DE QUALIDADE - [762]</t>
  </si>
  <si>
    <t>[1.2.31.01.0010]</t>
  </si>
  <si>
    <t>889.821,57D</t>
  </si>
  <si>
    <t xml:space="preserve">           TERRENOS CUSTO ATRIBUIDO AAP - [17011]</t>
  </si>
  <si>
    <t>[1.2.31.01.0011]</t>
  </si>
  <si>
    <t>36.446.697,86D</t>
  </si>
  <si>
    <t xml:space="preserve">           PREDIO INDUSTRIAL CUSTO ATRIBUIDO AAP - [17018]</t>
  </si>
  <si>
    <t>[1.2.31.01.0012]</t>
  </si>
  <si>
    <t>1.828.160,71D</t>
  </si>
  <si>
    <t xml:space="preserve">           SEDE ADM CUSTO ATRIBUIDO AAP - [17025]</t>
  </si>
  <si>
    <t>[1.2.31.01.0013]</t>
  </si>
  <si>
    <t>56.843,14D</t>
  </si>
  <si>
    <t xml:space="preserve">           SEDE ADMINISTRATIVA II CUSTO ATRIBUIDO AAP - [17060]</t>
  </si>
  <si>
    <t>[1.2.31.01.0014]</t>
  </si>
  <si>
    <t>209.478,53D</t>
  </si>
  <si>
    <t xml:space="preserve">           REFEITORIO CUSTO ATRIBUIDO AAP - [17067]</t>
  </si>
  <si>
    <t>[1.2.31.01.0015]</t>
  </si>
  <si>
    <t>56.739,38D</t>
  </si>
  <si>
    <t xml:space="preserve">           OUTRAS CONSTRUÇÕES CUSTO ATRIBUIDO AAP - [17074]</t>
  </si>
  <si>
    <t>[1.2.31.01.0016]</t>
  </si>
  <si>
    <t>74.806,34D</t>
  </si>
  <si>
    <t xml:space="preserve">           ALMOXARIFADO CUSTO ATRIBUIDO AAP - [17081]</t>
  </si>
  <si>
    <t>[1.2.31.01.0017]</t>
  </si>
  <si>
    <t>931.275,90D</t>
  </si>
  <si>
    <t xml:space="preserve">           EDIFICAÇÕES EM ANDAMENTO CUSTO ATRIBUIDO AAP - [17088]</t>
  </si>
  <si>
    <t>[1.2.31.01.0018]</t>
  </si>
  <si>
    <t>8.894.738,50C</t>
  </si>
  <si>
    <t xml:space="preserve">           MUROS E ALAMBRADOS CUSTO ATRIBUIDO AAP - [17095]</t>
  </si>
  <si>
    <t>[1.2.31.01.0019]</t>
  </si>
  <si>
    <t>59.537,28C</t>
  </si>
  <si>
    <t xml:space="preserve">         MAQUINAS E FERRAMENTAS - [763]</t>
  </si>
  <si>
    <t>[1.2.31.02]</t>
  </si>
  <si>
    <t xml:space="preserve">    18.334.762,35D</t>
  </si>
  <si>
    <t>18.340.187,35D</t>
  </si>
  <si>
    <t xml:space="preserve">           INDUSTRIA -  MAQ. FERR. - [764]</t>
  </si>
  <si>
    <t>[1.2.31.02.0001]</t>
  </si>
  <si>
    <t>13.811.576,05D</t>
  </si>
  <si>
    <t>13.817.001,05D</t>
  </si>
  <si>
    <t xml:space="preserve">           LAB. CONTROLE DE QUALIDADE-  MAQ. FERR. - [765]</t>
  </si>
  <si>
    <t>[1.2.31.02.0002]</t>
  </si>
  <si>
    <t>3.504.751,94D</t>
  </si>
  <si>
    <t xml:space="preserve">           ALMOXARIFADO -  MAQ. FERR. - [766]</t>
  </si>
  <si>
    <t>[1.2.31.02.0003]</t>
  </si>
  <si>
    <t>514.640,71D</t>
  </si>
  <si>
    <t xml:space="preserve">           OFICINA-  MAQ. FERR. - [767]</t>
  </si>
  <si>
    <t>[1.2.31.02.0004]</t>
  </si>
  <si>
    <t>27.047,66D</t>
  </si>
  <si>
    <t xml:space="preserve">           ADMINISTRAÇÃO I -  MAQ. FERR. - [768]</t>
  </si>
  <si>
    <t>[1.2.31.02.0005]</t>
  </si>
  <si>
    <t>407.630,55D</t>
  </si>
  <si>
    <t xml:space="preserve">           LAVANDERIA-  MAQ. FERR. - [770]</t>
  </si>
  <si>
    <t>[1.2.31.02.0007]</t>
  </si>
  <si>
    <t>9.299,79D</t>
  </si>
  <si>
    <t xml:space="preserve">           OUTROS-  MAQ. FERR. - [771]</t>
  </si>
  <si>
    <t>[1.2.31.02.0008]</t>
  </si>
  <si>
    <t>50.786,65D</t>
  </si>
  <si>
    <t xml:space="preserve">           FARMACIA POPULAR-  MAQ. FERR. - [772]</t>
  </si>
  <si>
    <t>[1.2.31.02.0009]</t>
  </si>
  <si>
    <t>9.029,00D</t>
  </si>
  <si>
    <t xml:space="preserve">         MOVEIS E UTENSILIOS - [773]</t>
  </si>
  <si>
    <t>[1.2.31.03]</t>
  </si>
  <si>
    <t xml:space="preserve">       511.296,63D</t>
  </si>
  <si>
    <t>511.296,63D</t>
  </si>
  <si>
    <t xml:space="preserve">           INDUSTRIA - MOV. E UTENS. - [774]</t>
  </si>
  <si>
    <t>[1.2.31.03.0001]</t>
  </si>
  <si>
    <t>120.705,73D</t>
  </si>
  <si>
    <t xml:space="preserve">           LAB. CONTROLE DE QUALIDADE- MOV. E UTENS. - [775]</t>
  </si>
  <si>
    <t>[1.2.31.03.0002]</t>
  </si>
  <si>
    <t>133.637,77D</t>
  </si>
  <si>
    <t xml:space="preserve">           ALMOXARIFADO - MOV. E UTENS. - [776]</t>
  </si>
  <si>
    <t>[1.2.31.03.0003]</t>
  </si>
  <si>
    <t>14.324,91D</t>
  </si>
  <si>
    <t xml:space="preserve">           ADMINISTRAÇÃO I - MOV. E UTENS. - [778]</t>
  </si>
  <si>
    <t>[1.2.31.03.0005]</t>
  </si>
  <si>
    <t>222.607,32D</t>
  </si>
  <si>
    <t xml:space="preserve">           FARMACIA POPULAR - MOV. E UTENS. - [782]</t>
  </si>
  <si>
    <t>[1.2.31.03.0009]</t>
  </si>
  <si>
    <t>20.020,90D</t>
  </si>
  <si>
    <t xml:space="preserve">         INSTALAÇÕES - [783]</t>
  </si>
  <si>
    <t>[1.2.31.04]</t>
  </si>
  <si>
    <t xml:space="preserve">     3.202.809,30D</t>
  </si>
  <si>
    <t xml:space="preserve">           INDUSTRIA - INSTALAÇÃO - [784]</t>
  </si>
  <si>
    <t>[1.2.31.04.0001]</t>
  </si>
  <si>
    <t>1.537.069,64D</t>
  </si>
  <si>
    <t>738.439,71D</t>
  </si>
  <si>
    <t xml:space="preserve">           LAB. CONTROLE DE QUALIDADE - INSTAL. - [785]</t>
  </si>
  <si>
    <t>[1.2.31.04.0002]</t>
  </si>
  <si>
    <t>264.873,58D</t>
  </si>
  <si>
    <t>127.250,69D</t>
  </si>
  <si>
    <t xml:space="preserve">           ALMOXARIFADO- INSTALAÇÃO - [786]</t>
  </si>
  <si>
    <t>[1.2.31.04.0003]</t>
  </si>
  <si>
    <t>1.130.835,20D</t>
  </si>
  <si>
    <t>543.276,38D</t>
  </si>
  <si>
    <t xml:space="preserve">           OFICINA- INSTALAÇÃO - [787]</t>
  </si>
  <si>
    <t>[1.2.31.04.0004]</t>
  </si>
  <si>
    <t>900,00D</t>
  </si>
  <si>
    <t>432,38D</t>
  </si>
  <si>
    <t xml:space="preserve">           ADMINISTRAÇÃO I- INSTALAÇÃO - [788]</t>
  </si>
  <si>
    <t>[1.2.31.04.0005]</t>
  </si>
  <si>
    <t>269.130,88D</t>
  </si>
  <si>
    <t>129.295,98D</t>
  </si>
  <si>
    <t xml:space="preserve">           INDUSTRIA-INSTALAÇÃO CUSTO ATRIBUIDO AAP - [17102]</t>
  </si>
  <si>
    <t>[1.2.31.04.0010]</t>
  </si>
  <si>
    <t>738.439,71C</t>
  </si>
  <si>
    <t xml:space="preserve">           LAB.CONTROLE DE QUALIDADE INST CUSTO ATRIBUIDO AAP - [17109]</t>
  </si>
  <si>
    <t>[1.2.31.04.0011]</t>
  </si>
  <si>
    <t>127.250,69C</t>
  </si>
  <si>
    <t xml:space="preserve">           ALMOXARIFADO-INSTALAÇÃO CUSTO ATRIBUIDO AAP - [17116]</t>
  </si>
  <si>
    <t>[1.2.31.04.0012]</t>
  </si>
  <si>
    <t>543.276,38C</t>
  </si>
  <si>
    <t xml:space="preserve">           OFICINA-INSTALAÇÃO CUSTO ATRIBUIDO AAP - [17123]</t>
  </si>
  <si>
    <t>[1.2.31.04.0013]</t>
  </si>
  <si>
    <t>432,38C</t>
  </si>
  <si>
    <t xml:space="preserve">           ADMINISTRAÇÃO I-INSTALAÇÃO CUSTO ATRIBUIDO AAP - [17130]</t>
  </si>
  <si>
    <t>[1.2.31.04.0014]</t>
  </si>
  <si>
    <t>129.295,98C</t>
  </si>
  <si>
    <t xml:space="preserve">         BIBLIOTECA - [793]</t>
  </si>
  <si>
    <t>[1.2.31.05]</t>
  </si>
  <si>
    <t xml:space="preserve">        32.880,08D</t>
  </si>
  <si>
    <t>32.880,08D</t>
  </si>
  <si>
    <t xml:space="preserve">           INDUSTRIA - BIBLIOT. - [794]</t>
  </si>
  <si>
    <t>[1.2.31.05.0001]</t>
  </si>
  <si>
    <t>8.945,50D</t>
  </si>
  <si>
    <t xml:space="preserve">           LAB. CONTROLE DE QUALIDADE - BIBLIOT. - [795]</t>
  </si>
  <si>
    <t>[1.2.31.05.0002]</t>
  </si>
  <si>
    <t>19.674,09D</t>
  </si>
  <si>
    <t xml:space="preserve">           ADMINISTRAÇÃO I - BIBLIOT. - [796]</t>
  </si>
  <si>
    <t>[1.2.31.05.0003]</t>
  </si>
  <si>
    <t>4.260,49D</t>
  </si>
  <si>
    <t xml:space="preserve">         VEICULOS - [797]</t>
  </si>
  <si>
    <t>[1.2.31.06]</t>
  </si>
  <si>
    <t xml:space="preserve">       788.886,11D</t>
  </si>
  <si>
    <t>788.886,11D</t>
  </si>
  <si>
    <t xml:space="preserve">           ADMINISTRAÇÃO I- VEÍCULOS - [799]</t>
  </si>
  <si>
    <t>[1.2.31.06.0002]</t>
  </si>
  <si>
    <t xml:space="preserve">         EQUIPAMENTOS P/ PROCESSAMENTOS DE DADOS - [801]</t>
  </si>
  <si>
    <t>[1.2.31.07]</t>
  </si>
  <si>
    <t xml:space="preserve">       641.310,31D</t>
  </si>
  <si>
    <t>641.310,31D</t>
  </si>
  <si>
    <t xml:space="preserve">           INDUSTRIA - EQUIP. PROC. DADOS - [802]</t>
  </si>
  <si>
    <t>[1.2.31.07.0001]</t>
  </si>
  <si>
    <t>223.286,58D</t>
  </si>
  <si>
    <t xml:space="preserve">           LAB. CONTROLE DE QUALIDADE- EQUIP. PROC. DADOS - [803]</t>
  </si>
  <si>
    <t>[1.2.31.07.0002]</t>
  </si>
  <si>
    <t>13.732,65D</t>
  </si>
  <si>
    <t xml:space="preserve">           ALMOXARIFADO - EQUIP. PROC. DADOS - [804]</t>
  </si>
  <si>
    <t>[1.2.31.07.0003]</t>
  </si>
  <si>
    <t>630,28D</t>
  </si>
  <si>
    <t xml:space="preserve">           ADMINISTRAÇÃO- EQUIP. PROC. DADOS - [805]</t>
  </si>
  <si>
    <t>[1.2.31.07.0004]</t>
  </si>
  <si>
    <t>400.252,21D</t>
  </si>
  <si>
    <t xml:space="preserve">           FARMACIA POPULAR- EQUIP. PROC. DADOS - [806]</t>
  </si>
  <si>
    <t>[1.2.31.07.0005]</t>
  </si>
  <si>
    <t>3.408,59D</t>
  </si>
  <si>
    <t xml:space="preserve">         SISTEMAS P/ PROCESSAMENTOS DE DADOS - [808]</t>
  </si>
  <si>
    <t>[1.2.31.08]</t>
  </si>
  <si>
    <t xml:space="preserve">       337.165,95D</t>
  </si>
  <si>
    <t>337.165,95D</t>
  </si>
  <si>
    <t xml:space="preserve">           INDUSTRIA - SIST. PROC. DADOS - [809]</t>
  </si>
  <si>
    <t>[1.2.31.08.0001]</t>
  </si>
  <si>
    <t>5.210,63D</t>
  </si>
  <si>
    <t xml:space="preserve">           ALMOXARIFADO - SIST. PROC. DADOS - [811]</t>
  </si>
  <si>
    <t>[1.2.31.08.0003]</t>
  </si>
  <si>
    <t>490,00D</t>
  </si>
  <si>
    <t xml:space="preserve">           ADMINISTRAÇÃO I - SIST. PROC. DADOS - [812]</t>
  </si>
  <si>
    <t>[1.2.31.08.0004]</t>
  </si>
  <si>
    <t>331.465,32D</t>
  </si>
  <si>
    <t xml:space="preserve">         DIREITO USO LINHA TELEFONICA - [814]</t>
  </si>
  <si>
    <t>[1.2.31.09]</t>
  </si>
  <si>
    <t xml:space="preserve">         4.569,91D</t>
  </si>
  <si>
    <t>4.569,91D</t>
  </si>
  <si>
    <t xml:space="preserve">           TELEGOIAS S/A - [815]</t>
  </si>
  <si>
    <t>[1.2.31.09.0001]</t>
  </si>
  <si>
    <t xml:space="preserve">         FUNDO DE DEPRECIAÇÃO - [844]</t>
  </si>
  <si>
    <t>[1.2.31.17]</t>
  </si>
  <si>
    <t xml:space="preserve">    27.104.871,95C</t>
  </si>
  <si>
    <t>20.397.224,36C</t>
  </si>
  <si>
    <t xml:space="preserve">           IMOVEIS DE USO - [845]</t>
  </si>
  <si>
    <t>[1.2.31.17.0001]</t>
  </si>
  <si>
    <t>5.096.567,26C</t>
  </si>
  <si>
    <t>0,00C</t>
  </si>
  <si>
    <t xml:space="preserve">           MAQUINAS, APARELHOS E FERRAMENTAS - [846]</t>
  </si>
  <si>
    <t>[1.2.31.17.0002]</t>
  </si>
  <si>
    <t>18.334.762,35C</t>
  </si>
  <si>
    <t>18.334.817,11C</t>
  </si>
  <si>
    <t xml:space="preserve">           MOVEIS E UTENSILIOS - [847]</t>
  </si>
  <si>
    <t>[1.2.31.17.0003]</t>
  </si>
  <si>
    <t>511.296,63C</t>
  </si>
  <si>
    <t xml:space="preserve">           INSTALAÇÕES - [848]</t>
  </si>
  <si>
    <t>[1.2.31.17.0004]</t>
  </si>
  <si>
    <t>1.615.588,11C</t>
  </si>
  <si>
    <t xml:space="preserve">           BIBLIOTECA - [849]</t>
  </si>
  <si>
    <t>[1.2.31.17.0005]</t>
  </si>
  <si>
    <t>16.795,25C</t>
  </si>
  <si>
    <t>21.248,27C</t>
  </si>
  <si>
    <t xml:space="preserve">           VEICULOS - [850]</t>
  </si>
  <si>
    <t>[1.2.31.17.0006]</t>
  </si>
  <si>
    <t>788.886,11C</t>
  </si>
  <si>
    <t xml:space="preserve">           EQUIP. P/ PROCESSAMENTOS DE DADOS - [851]</t>
  </si>
  <si>
    <t>[1.2.31.17.0007]</t>
  </si>
  <si>
    <t>641.310,31C</t>
  </si>
  <si>
    <t xml:space="preserve">           SISTEMAS DE PROCESSAMENTOS DE DADOS - [852]</t>
  </si>
  <si>
    <t>[1.2.31.17.0008]</t>
  </si>
  <si>
    <t>99.665,93C</t>
  </si>
  <si>
    <t xml:space="preserve">   PASSIVO - [2000]</t>
  </si>
  <si>
    <t>[2]</t>
  </si>
  <si>
    <t xml:space="preserve">    75.536.053,65C</t>
  </si>
  <si>
    <t>97.374.476,34C</t>
  </si>
  <si>
    <t xml:space="preserve">     Passivo - [16458]</t>
  </si>
  <si>
    <t>[2.1]</t>
  </si>
  <si>
    <t xml:space="preserve">    26.882.095,10C</t>
  </si>
  <si>
    <t>34.168.771,09C</t>
  </si>
  <si>
    <t xml:space="preserve">       FORNECEDORES - [2003]</t>
  </si>
  <si>
    <t>[2.1.11]</t>
  </si>
  <si>
    <t xml:space="preserve">    15.019.494,54C</t>
  </si>
  <si>
    <t xml:space="preserve">         FORNECEDORES DE MATERIA-PRIMA - [2004]</t>
  </si>
  <si>
    <t>[2.1.11.01]</t>
  </si>
  <si>
    <t xml:space="preserve">       288.491,62C</t>
  </si>
  <si>
    <t>288.491,62C</t>
  </si>
  <si>
    <t xml:space="preserve">           FUNDAÇÃO REMEDIO POPULAR - FURP - [2013]</t>
  </si>
  <si>
    <t>[2.1.11.01.0009]</t>
  </si>
  <si>
    <t>2.428,00C</t>
  </si>
  <si>
    <t xml:space="preserve">           JOINT BILL REP.COMERCIAIS LTDA - [2020]</t>
  </si>
  <si>
    <t>[2.1.11.01.0016]</t>
  </si>
  <si>
    <t>118.073,70C</t>
  </si>
  <si>
    <t xml:space="preserve">           JKLAB QUIM. DIAG. E SEGURANÇA LTDA - [4184]</t>
  </si>
  <si>
    <t>[2.1.11.01.0145]</t>
  </si>
  <si>
    <t>7.300,90C</t>
  </si>
  <si>
    <t xml:space="preserve">           LIO SERUM PRODUTOS LABORATORIAIS E HOSPITALARES - [12846]</t>
  </si>
  <si>
    <t>[2.1.11.01.0149]</t>
  </si>
  <si>
    <t>30.000,00C</t>
  </si>
  <si>
    <t xml:space="preserve">           NORTEC QUIMICA S/A - [13861]</t>
  </si>
  <si>
    <t>[2.1.11.01.0150]</t>
  </si>
  <si>
    <t>130.689,02C</t>
  </si>
  <si>
    <t xml:space="preserve">         FORNECEDORES DE EMBALAGENS - [2200]</t>
  </si>
  <si>
    <t>[2.1.11.02]</t>
  </si>
  <si>
    <t xml:space="preserve">       204.651,91C</t>
  </si>
  <si>
    <t>152.859,41C</t>
  </si>
  <si>
    <t xml:space="preserve">           GRAFICA E EDITORA ALIANÇA LTDA - [2208]</t>
  </si>
  <si>
    <t>[2.1.11.02.0008]</t>
  </si>
  <si>
    <t>123.361,31C</t>
  </si>
  <si>
    <t xml:space="preserve">           CENTAURO GRAFICA E EDITORA LTDA - [4936]</t>
  </si>
  <si>
    <t>[2.1.11.02.0023]</t>
  </si>
  <si>
    <t>51.792,50C</t>
  </si>
  <si>
    <t xml:space="preserve">           GRAFICA EDITORA FABERPRINT LTDA - [9511]</t>
  </si>
  <si>
    <t>[2.1.11.02.0034]</t>
  </si>
  <si>
    <t>18.626,23C</t>
  </si>
  <si>
    <t xml:space="preserve">           INTERLABEL ETIQUETAS E RÓTULOS EIRELI EPP - [10711]</t>
  </si>
  <si>
    <t>[2.1.11.02.0041]</t>
  </si>
  <si>
    <t>10.871,87C</t>
  </si>
  <si>
    <t xml:space="preserve">         FORNECEDORES DE MERCADORIAS - [2300]</t>
  </si>
  <si>
    <t>[2.1.11.03]</t>
  </si>
  <si>
    <t xml:space="preserve">    12.594.342,50C</t>
  </si>
  <si>
    <t>19.883.248,27C</t>
  </si>
  <si>
    <t xml:space="preserve">           HMD BIOMEDICAL INTERNATIONAL INC - [12251]</t>
  </si>
  <si>
    <t>[2.1.11.03.0041]</t>
  </si>
  <si>
    <t>12.594.342,50C</t>
  </si>
  <si>
    <t xml:space="preserve">         FORNECEDORES DE MATERIAL DE CONSUMO - [2400]</t>
  </si>
  <si>
    <t>[2.1.11.04]</t>
  </si>
  <si>
    <t xml:space="preserve">       364.506,49C</t>
  </si>
  <si>
    <t>320.214,49C</t>
  </si>
  <si>
    <t xml:space="preserve">           DIRECTA COM.SERV. E SOLUÇÕES LTDA - [2415]</t>
  </si>
  <si>
    <t>[2.1.11.04.0015]</t>
  </si>
  <si>
    <t>1.076,93C</t>
  </si>
  <si>
    <t xml:space="preserve">           PAPELARIA TRIBUTARIA - [2436]</t>
  </si>
  <si>
    <t>[2.1.11.04.0036]</t>
  </si>
  <si>
    <t xml:space="preserve">           OBJETIVA PROD. E SERVIÇOS P/ LABORATORIOS  - [2456]</t>
  </si>
  <si>
    <t>[2.1.11.04.0055]</t>
  </si>
  <si>
    <t>31.783,88C</t>
  </si>
  <si>
    <t xml:space="preserve">           MAXLAB PROD. P/ DIAGNOSTICO E PESQUISAS - [2458]</t>
  </si>
  <si>
    <t>[2.1.11.04.0057]</t>
  </si>
  <si>
    <t>8.698,98C</t>
  </si>
  <si>
    <t xml:space="preserve">           WHITE MARTINS GASES INDUST. LTDA - [3179]</t>
  </si>
  <si>
    <t>[2.1.11.04.0075]</t>
  </si>
  <si>
    <t>2.907,70C</t>
  </si>
  <si>
    <t xml:space="preserve">           YVYTU INDUSTRIA E COMERCIO DE FILTROS LTDA - [4386]</t>
  </si>
  <si>
    <t>[2.1.11.04.0236]</t>
  </si>
  <si>
    <t>75.654,13C</t>
  </si>
  <si>
    <t xml:space="preserve">           NFG. COMERCIAL LTDA ME - [10372]</t>
  </si>
  <si>
    <t>[2.1.11.04.0245]</t>
  </si>
  <si>
    <t>2.145,74C</t>
  </si>
  <si>
    <t xml:space="preserve">           BR MIX COMERCIO E SERV. LTDA - [10540]</t>
  </si>
  <si>
    <t>[2.1.11.04.0251]</t>
  </si>
  <si>
    <t>31.786,59C</t>
  </si>
  <si>
    <t xml:space="preserve">           DIGITAL PAPELARIA E INFORMATICA LTDA - [10561]</t>
  </si>
  <si>
    <t>[2.1.11.04.0252]</t>
  </si>
  <si>
    <t>7.084,03C</t>
  </si>
  <si>
    <t xml:space="preserve">           FORNECEDORES DIVERSOS - [7587]</t>
  </si>
  <si>
    <t>[2.1.11.04.0255]</t>
  </si>
  <si>
    <t>899,97C</t>
  </si>
  <si>
    <t>475,51C</t>
  </si>
  <si>
    <t xml:space="preserve">           MODERNA COMERCIAL DE PAPEIS LTDA - [7601]</t>
  </si>
  <si>
    <t>[2.1.11.04.0257]</t>
  </si>
  <si>
    <t>6.658,94C</t>
  </si>
  <si>
    <t xml:space="preserve">           KADU COMERCIO E SERVIÇO LTDA  - [10705]</t>
  </si>
  <si>
    <t>[2.1.11.04.0258]</t>
  </si>
  <si>
    <t>103.676,82C</t>
  </si>
  <si>
    <t xml:space="preserve">           CIANORTH COMERCIO E SERVIÇOS LTDA - ME - [6347]</t>
  </si>
  <si>
    <t>[2.1.11.04.0265]</t>
  </si>
  <si>
    <t>2.777,30C</t>
  </si>
  <si>
    <t xml:space="preserve">           FRUGATTE E TROIA CONFECÇÕES LTDA-EPP - [6452]</t>
  </si>
  <si>
    <t>[2.1.11.04.0269]</t>
  </si>
  <si>
    <t>79.099,90C</t>
  </si>
  <si>
    <t xml:space="preserve">           RDS COMERCIAL LTDA - [10664]</t>
  </si>
  <si>
    <t>[2.1.11.04.0272]</t>
  </si>
  <si>
    <t>7.010,80C</t>
  </si>
  <si>
    <t xml:space="preserve">           JANETE VIEIRA DOS SANTOS - EPP - [11098]</t>
  </si>
  <si>
    <t>[2.1.11.04.0275]</t>
  </si>
  <si>
    <t>3.580,00C</t>
  </si>
  <si>
    <t xml:space="preserve">           SOVEREIGN COM DE PROD LAB LTDA - [11418]</t>
  </si>
  <si>
    <t>[2.1.11.04.0280]</t>
  </si>
  <si>
    <t>2.040,00C</t>
  </si>
  <si>
    <t xml:space="preserve">           SARAIVA DISTRIBUIDORA EIRELI-ME - [13273]</t>
  </si>
  <si>
    <t>[2.1.11.04.0288]</t>
  </si>
  <si>
    <t>7.829,00C</t>
  </si>
  <si>
    <t xml:space="preserve">           BRANAGO COMERCIO DE MAQUINAS - EIRELI - ME - [13546]</t>
  </si>
  <si>
    <t>[2.1.11.04.0289]</t>
  </si>
  <si>
    <t>8.906,14C</t>
  </si>
  <si>
    <t xml:space="preserve">           OFICINA MECANICA DE COMPRES. DE AR ARANTES LTDA - [13623]</t>
  </si>
  <si>
    <t>[2.1.11.04.0290]</t>
  </si>
  <si>
    <t>9.789,98C</t>
  </si>
  <si>
    <t xml:space="preserve">           JR ÁGUAS EIRELI  - [15506]</t>
  </si>
  <si>
    <t>[2.1.11.04.0297]</t>
  </si>
  <si>
    <t>2.886,25C</t>
  </si>
  <si>
    <t xml:space="preserve">           MARLENE CUSTODIA ARAUJO LAGARES LTDA - [16066]</t>
  </si>
  <si>
    <t>[2.1.11.04.0299]</t>
  </si>
  <si>
    <t xml:space="preserve">           FC ALIMENTOS EIRELI  - [16073]</t>
  </si>
  <si>
    <t>[2.1.11.04.0300]</t>
  </si>
  <si>
    <t xml:space="preserve">           SUPERMERCADO D E D LTDA ME - [16388]</t>
  </si>
  <si>
    <t>[2.1.11.04.0302]</t>
  </si>
  <si>
    <t xml:space="preserve">           DMP A RODRIGUES - COMERCIO E SOLUÇÕES EM SAÚDE - [16409]</t>
  </si>
  <si>
    <t>[2.1.11.04.0303]</t>
  </si>
  <si>
    <t xml:space="preserve">         FORNECEDORES DE SERVIÇOS - [2500]</t>
  </si>
  <si>
    <t>[2.1.11.05]</t>
  </si>
  <si>
    <t xml:space="preserve">     1.544.530,07C</t>
  </si>
  <si>
    <t>1.693.512,02C</t>
  </si>
  <si>
    <t xml:space="preserve">           AVISO URGENTE CLIPPING E SOFTWARES LTDA - [2508]</t>
  </si>
  <si>
    <t>[2.1.11.05.0008]</t>
  </si>
  <si>
    <t xml:space="preserve">           CIEE - CENTRO INTEGRAÇÃO EMPRESA ESCOLA - [2514]</t>
  </si>
  <si>
    <t>[2.1.11.05.0014]</t>
  </si>
  <si>
    <t>31.482,09C</t>
  </si>
  <si>
    <t xml:space="preserve">           SANEAMENTO DE GOIAS S/A - [2548]</t>
  </si>
  <si>
    <t>[2.1.11.05.0049]</t>
  </si>
  <si>
    <t xml:space="preserve">           INTEGRA AUTOMAÇÃO E CONTROLE - [2567]</t>
  </si>
  <si>
    <t>[2.1.11.05.0068]</t>
  </si>
  <si>
    <t xml:space="preserve">           SESI SERVIÇO SOCIAL DA INDUSTRIA  - [2569]</t>
  </si>
  <si>
    <t>[2.1.11.05.0070]</t>
  </si>
  <si>
    <t xml:space="preserve">           OPTIONLINE LTDA - [2587]</t>
  </si>
  <si>
    <t>[2.1.11.05.0088]</t>
  </si>
  <si>
    <t>22.666,70C</t>
  </si>
  <si>
    <t xml:space="preserve">           MONTANDON SIQUEIRA &amp; ASSOCIADOS - [2589]</t>
  </si>
  <si>
    <t>[2.1.11.05.0090]</t>
  </si>
  <si>
    <t>28.865,80C</t>
  </si>
  <si>
    <t xml:space="preserve">           ARQUIVO OFF PRESTACIONAL LTDA - [2591]</t>
  </si>
  <si>
    <t>[2.1.11.05.0092]</t>
  </si>
  <si>
    <t>14.261,40C</t>
  </si>
  <si>
    <t xml:space="preserve">           SISTEMA MERCANTIL DE HIG. E CONSERVAÇÃO - MATABEM - [2605]</t>
  </si>
  <si>
    <t>[2.1.11.05.0106]</t>
  </si>
  <si>
    <t>12.464,00C</t>
  </si>
  <si>
    <t xml:space="preserve">           OI/BRASIL TELECOM S.A - [2615]</t>
  </si>
  <si>
    <t>[2.1.11.05.0116]</t>
  </si>
  <si>
    <t>290,26C</t>
  </si>
  <si>
    <t xml:space="preserve">           INSTITUTO CIENCIAS FARM. ESTUDO E PESQ. S/S - [2619]</t>
  </si>
  <si>
    <t>[2.1.11.05.0120]</t>
  </si>
  <si>
    <t>8.652,97C</t>
  </si>
  <si>
    <t xml:space="preserve">           EMPRESA BRASILEIRA DE CORREIOS E TELEGRAFOS  - [2620]</t>
  </si>
  <si>
    <t>[2.1.11.05.0121]</t>
  </si>
  <si>
    <t xml:space="preserve">           CELG - CIA ENERGETICA DE GOIAS - [2629]</t>
  </si>
  <si>
    <t>[2.1.11.05.0129]</t>
  </si>
  <si>
    <t>492.668,05C</t>
  </si>
  <si>
    <t xml:space="preserve">           JAIME CAMARA E IRMAOS - [2647]</t>
  </si>
  <si>
    <t>[2.1.11.05.0147]</t>
  </si>
  <si>
    <t>25.987,50C</t>
  </si>
  <si>
    <t xml:space="preserve">           PACK FILTER COM. REPRESENTAÇÕES LTDA - [2658]</t>
  </si>
  <si>
    <t>[2.1.11.05.0158]</t>
  </si>
  <si>
    <t>1.400,00C</t>
  </si>
  <si>
    <t xml:space="preserve">           GLOBAL CARGAS TRANSP. NAC. INTERNACIONAL LTDA - [2666]</t>
  </si>
  <si>
    <t>[2.1.11.05.0166]</t>
  </si>
  <si>
    <t>62.437,28C</t>
  </si>
  <si>
    <t xml:space="preserve">           ALTERDATA TECNOLOGIA EM INFORMATICA LTDA - [2676]</t>
  </si>
  <si>
    <t>[2.1.11.05.0176]</t>
  </si>
  <si>
    <t>5.875,86C</t>
  </si>
  <si>
    <t>2.819,35C</t>
  </si>
  <si>
    <t xml:space="preserve">           TECNOFIRE TECNOLOGIA CONTRA INCÊNDIO LTDA - [4907]</t>
  </si>
  <si>
    <t>[2.1.11.05.0225]</t>
  </si>
  <si>
    <t>581,77C</t>
  </si>
  <si>
    <t xml:space="preserve">           MECVAPOR COM. E SERV. HIDRAULICOS LTDA - [5888]</t>
  </si>
  <si>
    <t>[2.1.11.05.0234]</t>
  </si>
  <si>
    <t>4.568,40C</t>
  </si>
  <si>
    <t xml:space="preserve">           OBJETIVA EDIÇÕES EMPRESARIAIS LTDA - [5754]</t>
  </si>
  <si>
    <t>[2.1.11.05.0262]</t>
  </si>
  <si>
    <t>307,80C</t>
  </si>
  <si>
    <t xml:space="preserve">           GIBBOR BRASIL PUB. E PROP. LTDA - [5831]</t>
  </si>
  <si>
    <t>[2.1.11.05.0265]</t>
  </si>
  <si>
    <t xml:space="preserve">           MAXCROM INSTRUMENTOS CIENTIFICOS LTDA - [5236]</t>
  </si>
  <si>
    <t>[2.1.11.05.0276]</t>
  </si>
  <si>
    <t>2.162,74C</t>
  </si>
  <si>
    <t xml:space="preserve">           GARRA FORTE ADM E SERV LTDA -EPP - [8762]</t>
  </si>
  <si>
    <t>[2.1.11.05.0301]</t>
  </si>
  <si>
    <t>203.859,11C</t>
  </si>
  <si>
    <t>125.318,97C</t>
  </si>
  <si>
    <t xml:space="preserve">           MÁXIMA EMPREENDIMENTO E SERVIÇOS LTDA - [9210]</t>
  </si>
  <si>
    <t>[2.1.11.05.0308]</t>
  </si>
  <si>
    <t>26.560,00C</t>
  </si>
  <si>
    <t xml:space="preserve">           DENIS BORGES BARBOSA ADVOGADOS - [9413]</t>
  </si>
  <si>
    <t>[2.1.11.05.0311]</t>
  </si>
  <si>
    <t>93.760,88C</t>
  </si>
  <si>
    <t xml:space="preserve">           RV IMOLA TRANSPORTES E LOGISTIVA LTDA - [3721]</t>
  </si>
  <si>
    <t>[2.1.11.05.0326]</t>
  </si>
  <si>
    <t>50.533,18C</t>
  </si>
  <si>
    <t>50.328,58C</t>
  </si>
  <si>
    <t xml:space="preserve">           METROHM PENSALAB INSTRUMENTAÇÃO ANALÍTICA LTDA - [4078]</t>
  </si>
  <si>
    <t>[2.1.11.05.0336]</t>
  </si>
  <si>
    <t>4.377,46C</t>
  </si>
  <si>
    <t xml:space="preserve">           NP CAPACITAÇÃO E SOL. TEC. LTDA - [4099]</t>
  </si>
  <si>
    <t>[2.1.11.05.0337]</t>
  </si>
  <si>
    <t>7.498,61C</t>
  </si>
  <si>
    <t xml:space="preserve">           BR LAUNDRY INDUSTRIA, COMERCIO E SERVIÇOS LTDA - [4379]</t>
  </si>
  <si>
    <t>[2.1.11.05.0341]</t>
  </si>
  <si>
    <t>57.733,22C</t>
  </si>
  <si>
    <t xml:space="preserve">           VALSA-ASSIS.TEC.MAN E AUTOMACAO DE EQUIPAMENTOS IN - [10274]</t>
  </si>
  <si>
    <t>[2.1.11.05.0350]</t>
  </si>
  <si>
    <t>3.140,00C</t>
  </si>
  <si>
    <t xml:space="preserve">           A GERADORA ALUGUEL DE MAQUINAS S.A - [10428]</t>
  </si>
  <si>
    <t>[2.1.11.05.0355]</t>
  </si>
  <si>
    <t>8.101,40C</t>
  </si>
  <si>
    <t xml:space="preserve">           INSTITUTO ANALITICO DE EXCELENCIA FARM. LTDA - [10470]</t>
  </si>
  <si>
    <t>[2.1.11.05.0357]</t>
  </si>
  <si>
    <t>51.272,75C</t>
  </si>
  <si>
    <t xml:space="preserve">           FORNECEDORES DIVERSOS - [7608]</t>
  </si>
  <si>
    <t>[2.1.11.05.0369]</t>
  </si>
  <si>
    <t>3.196,11C</t>
  </si>
  <si>
    <t>2.979,95C</t>
  </si>
  <si>
    <t xml:space="preserve">           ACHEI AUTOMÓVEIS LTDA - [7615]</t>
  </si>
  <si>
    <t>[2.1.11.05.0370]</t>
  </si>
  <si>
    <t>21.663,50C</t>
  </si>
  <si>
    <t xml:space="preserve">           GISELE BADAUY LAURIA SILVA - [10670]</t>
  </si>
  <si>
    <t>[2.1.11.05.0375]</t>
  </si>
  <si>
    <t xml:space="preserve">           FONSECA MARTINS COMERCIO DE GAS LTDA - [2802]</t>
  </si>
  <si>
    <t>[2.1.11.05.0393]</t>
  </si>
  <si>
    <t xml:space="preserve">           FUNDAÇÃO DE APOIO A PESQUISA  - [10671]</t>
  </si>
  <si>
    <t>[2.1.11.05.0406]</t>
  </si>
  <si>
    <t>3.000,00C</t>
  </si>
  <si>
    <t>6.000,00C</t>
  </si>
  <si>
    <t xml:space="preserve">           INFINITI COMERCIO E SERVIÇOS EIRELI-ME - [10930]</t>
  </si>
  <si>
    <t>[2.1.11.05.0410]</t>
  </si>
  <si>
    <t>6.860,00C</t>
  </si>
  <si>
    <t xml:space="preserve">           TERMOSUL AR CONDICIONADO E REFRIGERAÇÃO LTDA EPP - [11189]</t>
  </si>
  <si>
    <t>[2.1.11.05.0415]</t>
  </si>
  <si>
    <t>8.126,96C</t>
  </si>
  <si>
    <t xml:space="preserve">           DMETROPOLITANO COMUNICAÇÕES EIRELI - ME - [12209]</t>
  </si>
  <si>
    <t>[2.1.11.05.0429]</t>
  </si>
  <si>
    <t>6.400,35C</t>
  </si>
  <si>
    <t xml:space="preserve">           HIDRO FORTE BOMBAS E MOTORES LTDA ME - [12909]</t>
  </si>
  <si>
    <t>[2.1.11.05.0436]</t>
  </si>
  <si>
    <t>5.880,00C</t>
  </si>
  <si>
    <t xml:space="preserve">           CENTRO DE EDUCAÇÃO PROF. E INDUSTRIAL LTDA ME - [13644]</t>
  </si>
  <si>
    <t>[2.1.11.05.0438]</t>
  </si>
  <si>
    <t>1.359,98C</t>
  </si>
  <si>
    <t xml:space="preserve">           LABVISION INSTRUMENTS COM. E SERVIÇOS LTDA ME - [13651]</t>
  </si>
  <si>
    <t>[2.1.11.05.0439]</t>
  </si>
  <si>
    <t>16.000,00C</t>
  </si>
  <si>
    <t xml:space="preserve">           FLOWSERVICE SERVIÇOS ANALÍTICOS LTDA - [13840]</t>
  </si>
  <si>
    <t>[2.1.11.05.0441]</t>
  </si>
  <si>
    <t>20.834,70C</t>
  </si>
  <si>
    <t xml:space="preserve">           LINECONTROL COMERCIO IMPORT. E EXPORTAÇÃO LTDA  - [13854]</t>
  </si>
  <si>
    <t>[2.1.11.05.0442]</t>
  </si>
  <si>
    <t>8.108,32C</t>
  </si>
  <si>
    <t xml:space="preserve">           SX TECNOLOGIA E SERVIÇOS CORPORATIVOS EIRELI  - [13868]</t>
  </si>
  <si>
    <t>[2.1.11.05.0443]</t>
  </si>
  <si>
    <t>5.605,02C</t>
  </si>
  <si>
    <t>4.251,30C</t>
  </si>
  <si>
    <t xml:space="preserve">           AUDIMEC AUDITORES INDEPENDENTES S/S EPP - [14127]</t>
  </si>
  <si>
    <t>[2.1.11.05.0451]</t>
  </si>
  <si>
    <t>4.000,00C</t>
  </si>
  <si>
    <t xml:space="preserve">           AGÊNCIA BRASIL CENTRAL - [14666]</t>
  </si>
  <si>
    <t>[2.1.11.05.0463]</t>
  </si>
  <si>
    <t>116.462,14C</t>
  </si>
  <si>
    <t xml:space="preserve">           BRAVAU AUDITORES INDEPENDENTES S/S EPP - [14827]</t>
  </si>
  <si>
    <t>[2.1.11.05.0469]</t>
  </si>
  <si>
    <t>11.074,28C</t>
  </si>
  <si>
    <t xml:space="preserve">           LUCAS FERNANDES VIEIRA 8º TABELIONATO DE NOTAS - [15807]</t>
  </si>
  <si>
    <t>[2.1.11.05.0485]</t>
  </si>
  <si>
    <t>13,25C</t>
  </si>
  <si>
    <t>16,47C</t>
  </si>
  <si>
    <t xml:space="preserve">           TICKET SOLUÇÕES HDFGT S.A - [15471]</t>
  </si>
  <si>
    <t>[2.1.11.05.473]</t>
  </si>
  <si>
    <t xml:space="preserve">           TIM S.A  - [15590]</t>
  </si>
  <si>
    <t>[2.1.11.05.475]</t>
  </si>
  <si>
    <t xml:space="preserve">           SUL AMERICA SEGUROS DE PESSOAS E PREVIDENCIA S.A - [15597]</t>
  </si>
  <si>
    <t>[2.1.11.05.476]</t>
  </si>
  <si>
    <t>3.251,01C</t>
  </si>
  <si>
    <t xml:space="preserve">           WEGH ASSESSORIA E LOGISTICA INTERNACIONAL LTDA - [15618]</t>
  </si>
  <si>
    <t>[2.1.11.05.477]</t>
  </si>
  <si>
    <t>1.950,65C</t>
  </si>
  <si>
    <t>1.664,60C</t>
  </si>
  <si>
    <t xml:space="preserve">           ALFOB -  ASSOCIAÇÃO DOS LAB OFICIAIS DO BRASIL - [15821]</t>
  </si>
  <si>
    <t>[2.1.11.05.485]</t>
  </si>
  <si>
    <t>42.000,00C</t>
  </si>
  <si>
    <t xml:space="preserve">           UP BRASIL ADMINISTRAÇÃO E SERVIÇOS LTDA  - [15828]</t>
  </si>
  <si>
    <t>[2.1.11.05.486]</t>
  </si>
  <si>
    <t>46.039,61C</t>
  </si>
  <si>
    <t xml:space="preserve">           DESPRAG DEDETIZADORA LTDA - EPP - [15863]</t>
  </si>
  <si>
    <t>[2.1.11.05.489]</t>
  </si>
  <si>
    <t>2.450,00C</t>
  </si>
  <si>
    <t xml:space="preserve">           VALE DO RIBEIRA INTERNET LTDA - ME  - [15954]</t>
  </si>
  <si>
    <t>[2.1.11.05.492]</t>
  </si>
  <si>
    <t>3.532,00C</t>
  </si>
  <si>
    <t xml:space="preserve">           ALEXANDRE OSNI Z. EIRELI/MPS BRASIL OUTSOURCING - [16045]</t>
  </si>
  <si>
    <t>[2.1.11.05.494]</t>
  </si>
  <si>
    <t xml:space="preserve">           LUCAS GOMES SEVALE EIRELI - [16094]</t>
  </si>
  <si>
    <t>[2.1.11.05.495]</t>
  </si>
  <si>
    <t>32.432,40C</t>
  </si>
  <si>
    <t xml:space="preserve">           CERRADO EQUIP. CONTRA INCENDIO EIRELI - [16115]</t>
  </si>
  <si>
    <t>[2.1.11.05.496]</t>
  </si>
  <si>
    <t xml:space="preserve">           AJ LOGISTICA EIRELI - [16178]</t>
  </si>
  <si>
    <t>[2.1.11.05.497]</t>
  </si>
  <si>
    <t>51.765,93C</t>
  </si>
  <si>
    <t xml:space="preserve">           RHALLFF ANDERSON FERREIRA FILHO - [16262]</t>
  </si>
  <si>
    <t>[2.1.11.05.498]</t>
  </si>
  <si>
    <t xml:space="preserve">           SERVIÇO POSTAL LTDA - ACF JARDIM PLANALTO  - [16269]</t>
  </si>
  <si>
    <t>[2.1.11.05.499]</t>
  </si>
  <si>
    <t xml:space="preserve">           WORK7 AUDITORES INDEPENDENTES SS - EPP - [16318]</t>
  </si>
  <si>
    <t>[2.1.11.05.500]</t>
  </si>
  <si>
    <t>38.200,00C</t>
  </si>
  <si>
    <t xml:space="preserve">           MOVEMAQUINAS COMERCIO DE PEÇAS EIRELI - [16367]</t>
  </si>
  <si>
    <t>[2.1.11.05.501]</t>
  </si>
  <si>
    <t xml:space="preserve">           AUTO RACE SOLUÇÕES AUTOMOTIVAS EIRELI - [16752]</t>
  </si>
  <si>
    <t>[2.1.11.05.502]</t>
  </si>
  <si>
    <t xml:space="preserve">           RUSSEL BEDFORD BRASIL AUDITORES INDEPENDENTES S/S - [16759]</t>
  </si>
  <si>
    <t>[2.1.11.05.503]</t>
  </si>
  <si>
    <t>171.000,00C</t>
  </si>
  <si>
    <t xml:space="preserve">         FORNECEDORES DO ATIVO PERMANENTE - [2685]</t>
  </si>
  <si>
    <t>[2.1.11.07]</t>
  </si>
  <si>
    <t xml:space="preserve">        22.971,95C</t>
  </si>
  <si>
    <t>22.971,95C</t>
  </si>
  <si>
    <t xml:space="preserve">           ONDINAS INOVAÇÃO TECNOLÓGICA LTDA - [9875]</t>
  </si>
  <si>
    <t>[2.1.11.07.0023]</t>
  </si>
  <si>
    <t>2.206,95C</t>
  </si>
  <si>
    <t xml:space="preserve">           TECNOBOMBAS - BOMBAS MOTORES SERVIÇOS LTDA - [11224]</t>
  </si>
  <si>
    <t>[2.1.11.07.0026]</t>
  </si>
  <si>
    <t>20.765,00C</t>
  </si>
  <si>
    <t xml:space="preserve">       OBRIGAÇÕES SOCIAIS E TRABALHISTAS - [2720]</t>
  </si>
  <si>
    <t>[2.1.13]</t>
  </si>
  <si>
    <t xml:space="preserve">       413.471,61C</t>
  </si>
  <si>
    <t xml:space="preserve">         OBRIGAÇÕES SOCIAIS E TRABALHISTAS - [2721]</t>
  </si>
  <si>
    <t>[2.1.13.01]</t>
  </si>
  <si>
    <t xml:space="preserve">       314.181,33C</t>
  </si>
  <si>
    <t>80.062,77C</t>
  </si>
  <si>
    <t xml:space="preserve">           13º SALARIO - [2722]</t>
  </si>
  <si>
    <t>[2.1.13.01.0001]</t>
  </si>
  <si>
    <t xml:space="preserve">           FGTS A RECOLHER - [2725]</t>
  </si>
  <si>
    <t>[2.1.13.01.0004]</t>
  </si>
  <si>
    <t xml:space="preserve">           SALÁRIOS A PAGAR - [2726]</t>
  </si>
  <si>
    <t>[2.1.13.01.0005]</t>
  </si>
  <si>
    <t>56.302,51C</t>
  </si>
  <si>
    <t xml:space="preserve">           INSS A RECOLHER - [2727]</t>
  </si>
  <si>
    <t>[2.1.13.01.0006]</t>
  </si>
  <si>
    <t>127.736,70C</t>
  </si>
  <si>
    <t>15.231,78C</t>
  </si>
  <si>
    <t xml:space="preserve">           IPASGO RETIDO - [2728]</t>
  </si>
  <si>
    <t>[2.1.13.01.0007]</t>
  </si>
  <si>
    <t>13.745,90C</t>
  </si>
  <si>
    <t xml:space="preserve">           SENAI - [2743]</t>
  </si>
  <si>
    <t>[2.1.13.01.0012]</t>
  </si>
  <si>
    <t>3.409,39C</t>
  </si>
  <si>
    <t xml:space="preserve">           SESI SERVIÇO SOCIAL DA INDUSTRIA - [2745]</t>
  </si>
  <si>
    <t>[2.1.13.01.0014]</t>
  </si>
  <si>
    <t>5.114,09C</t>
  </si>
  <si>
    <t xml:space="preserve">           HONORARIOS A PAGAR - [2746]</t>
  </si>
  <si>
    <t>[2.1.13.01.0015]</t>
  </si>
  <si>
    <t xml:space="preserve">           IRRF S/SALARIOS - [2747]</t>
  </si>
  <si>
    <t>[2.1.13.01.0016]</t>
  </si>
  <si>
    <t>116.396,22C</t>
  </si>
  <si>
    <t>5,00C</t>
  </si>
  <si>
    <t xml:space="preserve">         CONSIGNAÇÕES A PAGAR - [2755]</t>
  </si>
  <si>
    <t>[2.1.13.02]</t>
  </si>
  <si>
    <t xml:space="preserve">        50.895,83C</t>
  </si>
  <si>
    <t>29.079,60C</t>
  </si>
  <si>
    <t xml:space="preserve">           ASSOC. SERVIDORES DA IQUEGO - ASIQ - [2757]</t>
  </si>
  <si>
    <t>[2.1.13.02.0002]</t>
  </si>
  <si>
    <t>3.027,51C</t>
  </si>
  <si>
    <t>2.894,66C</t>
  </si>
  <si>
    <t xml:space="preserve">           BANCO ITAU S/A - [2759]</t>
  </si>
  <si>
    <t>[2.1.13.02.0004]</t>
  </si>
  <si>
    <t>510,67C</t>
  </si>
  <si>
    <t xml:space="preserve">           SINDICATO TRAB. IND. QUIM. FARM. EST. GOIAS - [2768]</t>
  </si>
  <si>
    <t>[2.1.13.02.0013]</t>
  </si>
  <si>
    <t>6.982,89C</t>
  </si>
  <si>
    <t xml:space="preserve">           IPSM PREVIDENCIA - [2770]</t>
  </si>
  <si>
    <t>[2.1.13.02.0015]</t>
  </si>
  <si>
    <t>40.374,76C</t>
  </si>
  <si>
    <t>19.202,05C</t>
  </si>
  <si>
    <t xml:space="preserve">         OBRIG. SOCIAIS E TRABALHISTAS - PARCELAMENTO - [2775]</t>
  </si>
  <si>
    <t>[2.1.13.03]</t>
  </si>
  <si>
    <t xml:space="preserve">        48.394,45C</t>
  </si>
  <si>
    <t>50.484,00C</t>
  </si>
  <si>
    <t xml:space="preserve">           FGTS PARC. 2011003531 - [9700]</t>
  </si>
  <si>
    <t>[2.1.13.03.0020]</t>
  </si>
  <si>
    <t>48.394,45C</t>
  </si>
  <si>
    <t xml:space="preserve">       OBRIGAÇÕES TRITUTÁRIAS - [2780]</t>
  </si>
  <si>
    <t>[2.1.14]</t>
  </si>
  <si>
    <t xml:space="preserve">     2.934.853,29C</t>
  </si>
  <si>
    <t xml:space="preserve">         OBRIGAÇÕES TRIBUTÁRIAS - [2781]</t>
  </si>
  <si>
    <t>[2.1.14.01]</t>
  </si>
  <si>
    <t xml:space="preserve">     2.452.324,48C</t>
  </si>
  <si>
    <t>53.768,44C</t>
  </si>
  <si>
    <t xml:space="preserve">           COFINS A RECOLHER - [2782]</t>
  </si>
  <si>
    <t>[2.1.14.01.0001]</t>
  </si>
  <si>
    <t>20.596,20C</t>
  </si>
  <si>
    <t>20.964,53C</t>
  </si>
  <si>
    <t xml:space="preserve">           CSLL A RECOLHER - [2783]</t>
  </si>
  <si>
    <t>[2.1.14.01.0002]</t>
  </si>
  <si>
    <t>673.623,14C</t>
  </si>
  <si>
    <t xml:space="preserve">           IRRF A RECOLHER - [2784]</t>
  </si>
  <si>
    <t>[2.1.14.01.0003]</t>
  </si>
  <si>
    <t>1.904,79C</t>
  </si>
  <si>
    <t>2.047,52C</t>
  </si>
  <si>
    <t xml:space="preserve">           IRRPJ A RECOLHER - [2785]</t>
  </si>
  <si>
    <t>[2.1.14.01.0004]</t>
  </si>
  <si>
    <t>1.737.954,22C</t>
  </si>
  <si>
    <t xml:space="preserve">           PIS - FATURAMENTO - [2787]</t>
  </si>
  <si>
    <t>[2.1.14.01.0006]</t>
  </si>
  <si>
    <t xml:space="preserve">           ISS A RECOLHER - [2790]</t>
  </si>
  <si>
    <t>[2.1.14.01.0009]</t>
  </si>
  <si>
    <t>2.988,73C</t>
  </si>
  <si>
    <t>501,73C</t>
  </si>
  <si>
    <t xml:space="preserve">           INSS RETIDO A RECOLHER - [2791]</t>
  </si>
  <si>
    <t>[2.1.14.01.0010]</t>
  </si>
  <si>
    <t>11.138,78C</t>
  </si>
  <si>
    <t>11.987,72C</t>
  </si>
  <si>
    <t xml:space="preserve">           I.P.T.U A RECOLHER - [2792]</t>
  </si>
  <si>
    <t>[2.1.14.01.0011]</t>
  </si>
  <si>
    <t xml:space="preserve">           CSLL/PASEP/COFINS - LEI 10.833/03 - [2793]</t>
  </si>
  <si>
    <t>[2.1.14.01.0012]</t>
  </si>
  <si>
    <t>4.118,62C</t>
  </si>
  <si>
    <t>18.266,94C</t>
  </si>
  <si>
    <t xml:space="preserve">         OBRIGAÇÕES TRIBUTARIAS - PARCELAMENTO - [2800]</t>
  </si>
  <si>
    <t>[2.1.14.02]</t>
  </si>
  <si>
    <t xml:space="preserve">       482.528,81C</t>
  </si>
  <si>
    <t>860.167,45C</t>
  </si>
  <si>
    <t xml:space="preserve">           PARCEL SIMPLIF PREVID PGFN -626994640- - [15527]</t>
  </si>
  <si>
    <t>[2.1.14.02.0058]</t>
  </si>
  <si>
    <t>195.530,81C</t>
  </si>
  <si>
    <t>205.025,79C</t>
  </si>
  <si>
    <t xml:space="preserve">           PARCEL SIMPLIF PREVID PGFN 627011012 - [15534]</t>
  </si>
  <si>
    <t>[2.1.14.02.0059]</t>
  </si>
  <si>
    <t>80.614,21C</t>
  </si>
  <si>
    <t>90.778,20C</t>
  </si>
  <si>
    <t xml:space="preserve">           PARCEL SIMPLIF PREVID PGFN 627011446 - [15541]</t>
  </si>
  <si>
    <t>[2.1.14.02.0060]</t>
  </si>
  <si>
    <t>133.481,98C</t>
  </si>
  <si>
    <t>150.313,80C</t>
  </si>
  <si>
    <t xml:space="preserve">           PARCELAMENTO MULTA CLT-PGFN - [16052]</t>
  </si>
  <si>
    <t>[2.1.14.02.0062]</t>
  </si>
  <si>
    <t>72.901,81C</t>
  </si>
  <si>
    <t>62.090,76C</t>
  </si>
  <si>
    <t xml:space="preserve">           PARCELAMENTO PREVID RFB Nº 10120728259/2021 - [16402]</t>
  </si>
  <si>
    <t>[2.1.14.02.0063]</t>
  </si>
  <si>
    <t>322.219,08C</t>
  </si>
  <si>
    <t xml:space="preserve">           PARCELAMENTO INSS-JUST.TRABALHO-RT001193/2015 - [16570]</t>
  </si>
  <si>
    <t>[2.1.14.02.0064]</t>
  </si>
  <si>
    <t>29.739,82C</t>
  </si>
  <si>
    <t xml:space="preserve">       CREDITOS DE TERCEIROS - [2810]</t>
  </si>
  <si>
    <t>[2.1.15]</t>
  </si>
  <si>
    <t xml:space="preserve">     6.055.391,66C</t>
  </si>
  <si>
    <t>6.034.318,13C</t>
  </si>
  <si>
    <t xml:space="preserve">         ADIANTAMENTO DE CLIENTES - [2811]</t>
  </si>
  <si>
    <t>[2.1.15.01]</t>
  </si>
  <si>
    <t xml:space="preserve">     6.050.127,94C</t>
  </si>
  <si>
    <t xml:space="preserve">           MINISTÉRIO DA SAUDE CONV. 061/06 - [2824]</t>
  </si>
  <si>
    <t>[2.1.15.01.0013]</t>
  </si>
  <si>
    <t>3.101.163,44C</t>
  </si>
  <si>
    <t xml:space="preserve">           ICF INSTITUTO CIENCIAS FARM. ESTUDO E PESQ. S/S - [8895]</t>
  </si>
  <si>
    <t>[2.1.15.01.0044]</t>
  </si>
  <si>
    <t>29.237,00C</t>
  </si>
  <si>
    <t xml:space="preserve">           MINISTERIO DA SAUDE CONV 787297/2013 - [10122]</t>
  </si>
  <si>
    <t>[2.1.15.01.0050]</t>
  </si>
  <si>
    <t>2.808.928,22C</t>
  </si>
  <si>
    <t xml:space="preserve">           CREDITOS DA MATRIZ - [14015]</t>
  </si>
  <si>
    <t>[2.1.15.01.0052]</t>
  </si>
  <si>
    <t xml:space="preserve">           IRRF S/CONV 787297/2013 - [15688]</t>
  </si>
  <si>
    <t>[2.1.15.01.0053]</t>
  </si>
  <si>
    <t>110.799,28C</t>
  </si>
  <si>
    <t xml:space="preserve">         VALORES EM DEPOSITO - [2850]</t>
  </si>
  <si>
    <t>[2.1.15.02]</t>
  </si>
  <si>
    <t xml:space="preserve">         5.263,72C</t>
  </si>
  <si>
    <t xml:space="preserve">           DEPOSITOS  NÃO IDENTIFICADOS - [2853]</t>
  </si>
  <si>
    <t>[2.1.15.02.0003]</t>
  </si>
  <si>
    <t>5.263,72C</t>
  </si>
  <si>
    <t>13.427,19C</t>
  </si>
  <si>
    <t xml:space="preserve">         CREDITOS COM COLIGADAS - [14036]</t>
  </si>
  <si>
    <t>[2.1.15.03]</t>
  </si>
  <si>
    <t xml:space="preserve">           CREDITOS DA FILIAL - [14043]</t>
  </si>
  <si>
    <t>[2.1.15.03.0001]</t>
  </si>
  <si>
    <t xml:space="preserve">       OUTRAS EXIGIBILIDADES - [2860]</t>
  </si>
  <si>
    <t>[2.1.16]</t>
  </si>
  <si>
    <t xml:space="preserve">       434.807,51C</t>
  </si>
  <si>
    <t xml:space="preserve">         OUTRAS EXIGIBILIDADES - [2861]</t>
  </si>
  <si>
    <t>[2.1.16.01]</t>
  </si>
  <si>
    <t>527.711,57C</t>
  </si>
  <si>
    <t xml:space="preserve">           SANEAMENTO DE GOIAS S/A - PARCELAMENTO - [2862]</t>
  </si>
  <si>
    <t>[2.1.16.01.0001]</t>
  </si>
  <si>
    <t>141.036,60C</t>
  </si>
  <si>
    <t>70.518,30C</t>
  </si>
  <si>
    <t xml:space="preserve">           ADIANTAMENTO / PAGAMENTO PASEP - [2863]</t>
  </si>
  <si>
    <t>[2.1.16.01.0002]</t>
  </si>
  <si>
    <t>797,56C</t>
  </si>
  <si>
    <t xml:space="preserve">           SESI PARCELAMENTO - [3912]</t>
  </si>
  <si>
    <t>[2.1.16.01.0007]</t>
  </si>
  <si>
    <t>163.422,36C</t>
  </si>
  <si>
    <t xml:space="preserve">           AGÊNCIA BRASIL CENTRAL PARCELAMENTO  - [14673]</t>
  </si>
  <si>
    <t>[2.1.16.01.0009]</t>
  </si>
  <si>
    <t>292.973,35C</t>
  </si>
  <si>
    <t xml:space="preserve">       PROVISÕES SOCIAIS E TRABALHISTAS - [2870]</t>
  </si>
  <si>
    <t>[2.1.17]</t>
  </si>
  <si>
    <t xml:space="preserve">     1.333.273,27C</t>
  </si>
  <si>
    <t xml:space="preserve">         PROVISÕES SOCIAIS E TRABALHISTAS - [2871]</t>
  </si>
  <si>
    <t>[2.1.17.01]</t>
  </si>
  <si>
    <t>872.590,71C</t>
  </si>
  <si>
    <t xml:space="preserve">           PROVISÕES DE FERIAS - [2872]</t>
  </si>
  <si>
    <t>[2.1.17.01.0001]</t>
  </si>
  <si>
    <t>777.631,45C</t>
  </si>
  <si>
    <t>678.016,43C</t>
  </si>
  <si>
    <t xml:space="preserve">           ENCARGOS S/ PROV FERIAS - [2873]</t>
  </si>
  <si>
    <t>[2.1.17.01.0002]</t>
  </si>
  <si>
    <t>530.935,11C</t>
  </si>
  <si>
    <t>194.574,28C</t>
  </si>
  <si>
    <t xml:space="preserve">           PROV. P/ 13º SALARIO - [2874]</t>
  </si>
  <si>
    <t>[2.1.17.01.0003]</t>
  </si>
  <si>
    <t xml:space="preserve">           ENCARGOS S/ PROV. 13º SALARIO - [2875]</t>
  </si>
  <si>
    <t>[2.1.17.01.0004]</t>
  </si>
  <si>
    <t>24.706,71C</t>
  </si>
  <si>
    <t xml:space="preserve">       OUTRAS CONTAS - [8503]</t>
  </si>
  <si>
    <t>[2.1.18]</t>
  </si>
  <si>
    <t xml:space="preserve">       690.803,22C</t>
  </si>
  <si>
    <t xml:space="preserve">         OUTRAS CONTAS A PAGAR - [8510]</t>
  </si>
  <si>
    <t>[2.1.18.01]</t>
  </si>
  <si>
    <t>3.299.290,66C</t>
  </si>
  <si>
    <t xml:space="preserve">           PROCESSOS TRABALHISTAS PARCELAMENTO - [15478]</t>
  </si>
  <si>
    <t>[2.1.18.01.0004]</t>
  </si>
  <si>
    <t>13.247,77C</t>
  </si>
  <si>
    <t xml:space="preserve">           PLANO DE PAGAMENTO ESPECIAL TRABALHISTA - PEPT - [15877]</t>
  </si>
  <si>
    <t>[2.1.18.01.0005]</t>
  </si>
  <si>
    <t>647.555,45C</t>
  </si>
  <si>
    <t>3.286.042,89C</t>
  </si>
  <si>
    <t xml:space="preserve">           PROCESSOS CIVEIS - [16185]</t>
  </si>
  <si>
    <t>[2.1.18.01.0006]</t>
  </si>
  <si>
    <t xml:space="preserve">     PARCELAMENTOS - [16465]</t>
  </si>
  <si>
    <t>[2.2]</t>
  </si>
  <si>
    <t xml:space="preserve">    45.356.828,00C</t>
  </si>
  <si>
    <t>55.060.252,47C</t>
  </si>
  <si>
    <t xml:space="preserve">       PARCELAMENTOS - [2882]</t>
  </si>
  <si>
    <t>[2.2.11]</t>
  </si>
  <si>
    <t xml:space="preserve">     2.600.779,01C</t>
  </si>
  <si>
    <t>3.863.781,91C</t>
  </si>
  <si>
    <t xml:space="preserve">         PARCELAMENTOS A LONGO PRAZO - [2883]</t>
  </si>
  <si>
    <t>[2.2.11.01]</t>
  </si>
  <si>
    <t xml:space="preserve">        70.518,30C</t>
  </si>
  <si>
    <t xml:space="preserve">           SANEAMENTO DE GOIAS S/A - SANEAGO - [2884]</t>
  </si>
  <si>
    <t>[2.2.11.01.0001]</t>
  </si>
  <si>
    <t xml:space="preserve">           SESI PARCELAMENTO - [3919]</t>
  </si>
  <si>
    <t>[2.2.11.01.0004]</t>
  </si>
  <si>
    <t>640.053,21C</t>
  </si>
  <si>
    <t xml:space="preserve">         PARCELAMENTOS DE TRIBUTOS - [2885]</t>
  </si>
  <si>
    <t>[2.2.11.02]</t>
  </si>
  <si>
    <t xml:space="preserve">     1.177.284,23C</t>
  </si>
  <si>
    <t xml:space="preserve">           FGTS PARC.  2011003531  - [5055]</t>
  </si>
  <si>
    <t>[2.2.11.02.0005]</t>
  </si>
  <si>
    <t>200.303,17C</t>
  </si>
  <si>
    <t>175.786,58C</t>
  </si>
  <si>
    <t xml:space="preserve">           PARCEL SIMPLIF PREVID PGFN 626994640 - [15548]</t>
  </si>
  <si>
    <t>[2.2.11.02.0083]</t>
  </si>
  <si>
    <t>349.808,38C</t>
  </si>
  <si>
    <t>153.769,32C</t>
  </si>
  <si>
    <t xml:space="preserve">           PARCEL SIMPLIF PREVID PGFN 627011012 - [15555]</t>
  </si>
  <si>
    <t>[2.2.11.02.0084]</t>
  </si>
  <si>
    <t>160.843,16C</t>
  </si>
  <si>
    <t>68.083,66C</t>
  </si>
  <si>
    <t xml:space="preserve">           PARCEL SIMPLIF PREVID PGFN 627011446 - [15562]</t>
  </si>
  <si>
    <t>[2.2.11.02.0085]</t>
  </si>
  <si>
    <t>266.329,52C</t>
  </si>
  <si>
    <t>112.735,39C</t>
  </si>
  <si>
    <t xml:space="preserve">           PARCELAMENTO MULTA CLT - PGFN - [16255]</t>
  </si>
  <si>
    <t>[2.2.11.02.0086]</t>
  </si>
  <si>
    <t>200.000,00C</t>
  </si>
  <si>
    <t>160.401,13C</t>
  </si>
  <si>
    <t xml:space="preserve">           PARCELAMENTO PREVID RFB Nº 10120728259/2021 - [16395]</t>
  </si>
  <si>
    <t>[2.2.11.02.0087]</t>
  </si>
  <si>
    <t>1.074.063,60C</t>
  </si>
  <si>
    <t xml:space="preserve">           PARCELAMENTO INSS-JUST.TRABALHO-RT0011993/2015 - [16577]</t>
  </si>
  <si>
    <t>[2.2.11.02.0088]</t>
  </si>
  <si>
    <t>110.848,55C</t>
  </si>
  <si>
    <t xml:space="preserve">         CRÉDITOS DE TERCEIROS - [2900]</t>
  </si>
  <si>
    <t>[2.2.11.03]</t>
  </si>
  <si>
    <t xml:space="preserve">     1.352.976,48C</t>
  </si>
  <si>
    <t xml:space="preserve">           ARRENDAMENTO MERCANTIL A EXECUTAR - EQUIPAMENTOS - [16339]</t>
  </si>
  <si>
    <t>[2.2.11.03.0002]</t>
  </si>
  <si>
    <t>1.352.976,48C</t>
  </si>
  <si>
    <t>1.368.040,47C</t>
  </si>
  <si>
    <t xml:space="preserve">       PROVISÕES DE PROCESSOS - [8475]</t>
  </si>
  <si>
    <t>[2.2.13]</t>
  </si>
  <si>
    <t xml:space="preserve">    42.132.436,67C</t>
  </si>
  <si>
    <t xml:space="preserve">         PROVISÕES DE RISCOS  - [8482]</t>
  </si>
  <si>
    <t>[2.2.13.01]</t>
  </si>
  <si>
    <t>37.731.109,91C</t>
  </si>
  <si>
    <t xml:space="preserve">           PROVISÃO DE RISCO TRABALHISTA - [8489]</t>
  </si>
  <si>
    <t>[2.2.13.01.0001]</t>
  </si>
  <si>
    <t>11.682.800,58C</t>
  </si>
  <si>
    <t>8.691.622,71C</t>
  </si>
  <si>
    <t xml:space="preserve">           PROVISÃO DE PROC. CIVEIS - [8496]</t>
  </si>
  <si>
    <t>[2.2.13.01.0002]</t>
  </si>
  <si>
    <t>27.126.963,28C</t>
  </si>
  <si>
    <t>27.117.399,67C</t>
  </si>
  <si>
    <t xml:space="preserve">           PROVISÃO DE PROC. TRIBUTÁRIOS - [13259]</t>
  </si>
  <si>
    <t>[2.2.13.01.0003]</t>
  </si>
  <si>
    <t>3.322.672,81C</t>
  </si>
  <si>
    <t>1.922.087,53C</t>
  </si>
  <si>
    <t xml:space="preserve">       RESULTADO DE EXERCÍCIOS FUTUROS - [2911]</t>
  </si>
  <si>
    <t>[2.2.21]</t>
  </si>
  <si>
    <t xml:space="preserve">       623.612,32C</t>
  </si>
  <si>
    <t>19A</t>
  </si>
  <si>
    <t xml:space="preserve">         RECUPERAÇÃO EXTEMPORANEA DE CONTIBUIÇÃO - [2912]</t>
  </si>
  <si>
    <t>[2.2.21.01]</t>
  </si>
  <si>
    <t xml:space="preserve">           COFINS - RECUPERADO EXTEMPORANEAMENTE - [2913]</t>
  </si>
  <si>
    <t>[2.2.21.01.0001]</t>
  </si>
  <si>
    <t>433.919,68C</t>
  </si>
  <si>
    <t xml:space="preserve">           INSS - RECUPERADO EXTEMPORANEAMENTE  - [2914]</t>
  </si>
  <si>
    <t>[2.2.21.01.0002]</t>
  </si>
  <si>
    <t>189.692,64C</t>
  </si>
  <si>
    <t xml:space="preserve">         RECEITAS DIFERIDAS - [2920]</t>
  </si>
  <si>
    <t>[2.2.21.02]</t>
  </si>
  <si>
    <t xml:space="preserve">             0,00C</t>
  </si>
  <si>
    <t>13.465.360,65C</t>
  </si>
  <si>
    <t xml:space="preserve">           IR DIFERIDO VENDA IMOVEIS DE USO - [17032]</t>
  </si>
  <si>
    <t>[2.2.21.02.0002]</t>
  </si>
  <si>
    <t>9.901.000,48C</t>
  </si>
  <si>
    <t xml:space="preserve">           CSLL DIFERIDO VENDA IMOVEIS DE USO - [17039]</t>
  </si>
  <si>
    <t>[2.2.21.02.0003]</t>
  </si>
  <si>
    <t>3.564.360,17C</t>
  </si>
  <si>
    <t xml:space="preserve">     CAPITAL SOCIAL REALIZADO - [16472]</t>
  </si>
  <si>
    <t>[2.3]</t>
  </si>
  <si>
    <t xml:space="preserve">     3.297.130,55C</t>
  </si>
  <si>
    <t xml:space="preserve">       CAPITAL SOCIAL REALIZADO - [2927]</t>
  </si>
  <si>
    <t>[2.3.11]</t>
  </si>
  <si>
    <t xml:space="preserve">   240.000.000,00C</t>
  </si>
  <si>
    <t xml:space="preserve">         DOMICILIADO NO PAIS  - [2928]</t>
  </si>
  <si>
    <t>[2.3.11.01]</t>
  </si>
  <si>
    <t>240.000.000,00C</t>
  </si>
  <si>
    <t xml:space="preserve">           EMPRESAS ESTADUAIS - [2931]</t>
  </si>
  <si>
    <t>[2.3.11.01.0003]</t>
  </si>
  <si>
    <t>5.518,00C</t>
  </si>
  <si>
    <t xml:space="preserve">           PESSOAS FISICAS - [5545]</t>
  </si>
  <si>
    <t>[2.3.11.01.0006]</t>
  </si>
  <si>
    <t>73,00C</t>
  </si>
  <si>
    <t xml:space="preserve">           GOVERNO DO ESTADO DE GOIAS - [10232]</t>
  </si>
  <si>
    <t>[2.3.11.01.0007]</t>
  </si>
  <si>
    <t>239.994.409,00C</t>
  </si>
  <si>
    <t xml:space="preserve">       RESERVAS DE CAPITAL - [2941]</t>
  </si>
  <si>
    <t>[2.3.21]</t>
  </si>
  <si>
    <t xml:space="preserve">    14.103.061,08C</t>
  </si>
  <si>
    <t xml:space="preserve">         RESERVAS DE CAPITAL  - [2942]</t>
  </si>
  <si>
    <t>[2.3.21.01]</t>
  </si>
  <si>
    <t xml:space="preserve">    28.897.862,43C</t>
  </si>
  <si>
    <t>15.177.736,26C</t>
  </si>
  <si>
    <t xml:space="preserve">           RESERVAS DE DOAÇÕES DE BENS - [2943]</t>
  </si>
  <si>
    <t>[2.3.21.01.0001]</t>
  </si>
  <si>
    <t>18.300.011,17C</t>
  </si>
  <si>
    <t xml:space="preserve">           AJUSTE DE AVALIAÇÃO PATRIMONIAL  - [2946]</t>
  </si>
  <si>
    <t>[2.3.21.01.0004]</t>
  </si>
  <si>
    <t>10.479.160,82C</t>
  </si>
  <si>
    <t xml:space="preserve">           AJUSTE DE ESTOQUE DE MATERIAIS - [2947]</t>
  </si>
  <si>
    <t>[2.3.21.01.0005]</t>
  </si>
  <si>
    <t>118.690,44C</t>
  </si>
  <si>
    <t xml:space="preserve">         RESERVAS DE LUCRO - [2950]</t>
  </si>
  <si>
    <t>[2.3.21.02]</t>
  </si>
  <si>
    <t xml:space="preserve">    14.794.801,35D</t>
  </si>
  <si>
    <t xml:space="preserve">           DESPESAS DE EXERCICIOS ANTERIORES  - [2951]</t>
  </si>
  <si>
    <t>[2.3.21.02.0001]</t>
  </si>
  <si>
    <t>32.525.921,71D</t>
  </si>
  <si>
    <t xml:space="preserve">           RECEITAS DE EXERCICIOS ANTERIORES  - [2952]</t>
  </si>
  <si>
    <t>[2.3.21.02.0002]</t>
  </si>
  <si>
    <t>17.731.120,36C</t>
  </si>
  <si>
    <t xml:space="preserve">       LUCROS OU PREJUIZOS - [2961]</t>
  </si>
  <si>
    <t>[2.3.31]</t>
  </si>
  <si>
    <t xml:space="preserve">   231.571.149,93D</t>
  </si>
  <si>
    <t xml:space="preserve">         LUCROS - [2962]</t>
  </si>
  <si>
    <t>[2.3.31.01]</t>
  </si>
  <si>
    <t xml:space="preserve">    39.785.631,21C</t>
  </si>
  <si>
    <t>10.358.651,03D</t>
  </si>
  <si>
    <t xml:space="preserve">           LUCROS DO EXERCICIO - [2963]</t>
  </si>
  <si>
    <t>[2.3.31.01.0001]</t>
  </si>
  <si>
    <t>29.542.773,24C</t>
  </si>
  <si>
    <t xml:space="preserve">           AJUSTE DE EXERCICIO ANTERIORES - [16290]</t>
  </si>
  <si>
    <t>[2.3.31.01.0005]</t>
  </si>
  <si>
    <t>10.242.857,97C</t>
  </si>
  <si>
    <t xml:space="preserve">         PREJUIZOS - [2970]</t>
  </si>
  <si>
    <t>[2.3.31.02]</t>
  </si>
  <si>
    <t xml:space="preserve">   271.356.781,14D</t>
  </si>
  <si>
    <t xml:space="preserve">           PREJUIZOS ACUMULADOS - [2971]</t>
  </si>
  <si>
    <t>[2.3.31.02.0001]</t>
  </si>
  <si>
    <t>49.412.229,45D</t>
  </si>
  <si>
    <t>220.157.379,13D</t>
  </si>
  <si>
    <t xml:space="preserve">           PREJUIZOS DO EXERCICIO - [2972]</t>
  </si>
  <si>
    <t>[2.3.31.02.0002]</t>
  </si>
  <si>
    <t>221.944.551,69D</t>
  </si>
  <si>
    <t xml:space="preserve">       SUBUSCRICOES A INTEGRALIZAR - [3137]</t>
  </si>
  <si>
    <t>[2.3.32]</t>
  </si>
  <si>
    <t xml:space="preserve">    16.516.253,32D</t>
  </si>
  <si>
    <t xml:space="preserve">         PODER PUBLICO - [3144]</t>
  </si>
  <si>
    <t>[2.3.32.01]</t>
  </si>
  <si>
    <t>16.516.253,32D</t>
  </si>
  <si>
    <t xml:space="preserve">           GOVERNO DO ESTADO DE GOIAS - [10239]</t>
  </si>
  <si>
    <t>[2.3.32.01.0003]</t>
  </si>
  <si>
    <t xml:space="preserve">       RESULTADO DE EXERCÍCIOS ANTERIORES  - [4572]</t>
  </si>
  <si>
    <t>[2.3.33]</t>
  </si>
  <si>
    <t xml:space="preserve">     2.718.527,28D</t>
  </si>
  <si>
    <t xml:space="preserve">         RECEITA LIQUIDA - [4579]</t>
  </si>
  <si>
    <t>[2.3.33.01]</t>
  </si>
  <si>
    <t xml:space="preserve">         5.308,30C</t>
  </si>
  <si>
    <t xml:space="preserve">           RECEITAS DE EXERCÍCIOS ANTERIORES - [4586]</t>
  </si>
  <si>
    <t>[2.3.33.01.0001]</t>
  </si>
  <si>
    <t>5.308,30C</t>
  </si>
  <si>
    <t xml:space="preserve">         DESPESA LIQUIDA - [4593]</t>
  </si>
  <si>
    <t>[2.3.33.02]</t>
  </si>
  <si>
    <t xml:space="preserve">     2.723.835,58D</t>
  </si>
  <si>
    <t xml:space="preserve">           DESPESAS DE EXERCÍCIOS ANTERIORES - [4600]</t>
  </si>
  <si>
    <t>[2.3.33.02.0001]</t>
  </si>
  <si>
    <t>2.723.835,58D</t>
  </si>
  <si>
    <t xml:space="preserve">   CUSTOS E DESPESAS - [3000]</t>
  </si>
  <si>
    <t>[3]</t>
  </si>
  <si>
    <t>D-23</t>
  </si>
  <si>
    <t xml:space="preserve">     CUSTOS E DESPESAS - [16479]</t>
  </si>
  <si>
    <t>[3.1]</t>
  </si>
  <si>
    <t xml:space="preserve">       CUSTOS INDUSTRIAIS - [3003]</t>
  </si>
  <si>
    <t>[3.1.11]</t>
  </si>
  <si>
    <t>20.316.627,01D</t>
  </si>
  <si>
    <t xml:space="preserve">         PESSOAL - [3004]</t>
  </si>
  <si>
    <t>[3.1.11.01]</t>
  </si>
  <si>
    <t>111.175,98D</t>
  </si>
  <si>
    <t xml:space="preserve">           ASSISTENCIA MEDICA E SOCIAL - [6189]</t>
  </si>
  <si>
    <t>[3.1.11.01.0035]</t>
  </si>
  <si>
    <t xml:space="preserve">         GASTOS GERAIS DE FABRICAÇÃO - [3060]</t>
  </si>
  <si>
    <t>[3.1.11.05]</t>
  </si>
  <si>
    <t>20.205.451,03D</t>
  </si>
  <si>
    <t xml:space="preserve">           MANUTENÇÃO DE EQUIPAMENTOS INDUSTRIAIS  - [3064]</t>
  </si>
  <si>
    <t>[3.1.11.05.0004]</t>
  </si>
  <si>
    <t>49.282,00D</t>
  </si>
  <si>
    <t xml:space="preserve">           ANALISE DE CONTROLE DE QUALIDADE  - [3072]</t>
  </si>
  <si>
    <t>[3.1.11.05.0012]</t>
  </si>
  <si>
    <t xml:space="preserve">           DEPRECIAÇÃO - [3076]</t>
  </si>
  <si>
    <t>[3.1.11.05.0016]</t>
  </si>
  <si>
    <t xml:space="preserve">           BONIFICAÇAO, DOAÇOES E BRINDES - [3095]</t>
  </si>
  <si>
    <t>[3.1.11.05.0035]</t>
  </si>
  <si>
    <t>2.566.615,80D</t>
  </si>
  <si>
    <t xml:space="preserve">           ESTOQUE INICIAL - [7551]</t>
  </si>
  <si>
    <t>[3.1.11.05.0058]</t>
  </si>
  <si>
    <t>24.660.167,08D</t>
  </si>
  <si>
    <t xml:space="preserve">           (-)ESTOQUE FINAL - [7558]</t>
  </si>
  <si>
    <t>[3.1.11.05.0059]</t>
  </si>
  <si>
    <t>7.134.593,48C</t>
  </si>
  <si>
    <t xml:space="preserve">           PROVISÃO DE PERDA COM ESTOQUE OBSOLETO - [7559]</t>
  </si>
  <si>
    <t>[3.1.11.05.0060]</t>
  </si>
  <si>
    <t xml:space="preserve">       CUSTO COMERCIAL - [3200]</t>
  </si>
  <si>
    <t>[3.1.12]</t>
  </si>
  <si>
    <t>3.272.562,88D</t>
  </si>
  <si>
    <t xml:space="preserve">         PESSOAL - [3201]</t>
  </si>
  <si>
    <t>[3.1.12.01]</t>
  </si>
  <si>
    <t>0,01D</t>
  </si>
  <si>
    <t xml:space="preserve">           IPASGO - PARTE EMPRESA - [4698]</t>
  </si>
  <si>
    <t>[3.1.12.01.0028]</t>
  </si>
  <si>
    <t xml:space="preserve">         DESPESAS COM VENDAS - [3273]</t>
  </si>
  <si>
    <t>[3.1.12.05]</t>
  </si>
  <si>
    <t>3.272.562,87D</t>
  </si>
  <si>
    <t xml:space="preserve">           AMOSTRA DE GLICOSIMETRO - [13168]</t>
  </si>
  <si>
    <t>[3.1.12.05.0007]</t>
  </si>
  <si>
    <t>3.587,43D</t>
  </si>
  <si>
    <t xml:space="preserve">           DESPESAS COM IMPORTAÇÃO - [13210]</t>
  </si>
  <si>
    <t>[3.1.12.05.0008]</t>
  </si>
  <si>
    <t>3.267.071,01D</t>
  </si>
  <si>
    <t xml:space="preserve">           AMOSTRA TIRA DE TESTE - [13581]</t>
  </si>
  <si>
    <t>[3.1.12.05.0009]</t>
  </si>
  <si>
    <t>1.858,78D</t>
  </si>
  <si>
    <t xml:space="preserve">           AMOSTRA SOLUÇÃO CONTROLE GLICOSE - [16647]</t>
  </si>
  <si>
    <t>[3.1.12.05.0010]</t>
  </si>
  <si>
    <t>44,50D</t>
  </si>
  <si>
    <t xml:space="preserve">           AMOSTRA BATERIA DE LITIO CR 2032 - GLUCOLEADER - [16745]</t>
  </si>
  <si>
    <t>[3.1.12.05.0011]</t>
  </si>
  <si>
    <t>1,15D</t>
  </si>
  <si>
    <t xml:space="preserve">     DESPESAS - [16486]</t>
  </si>
  <si>
    <t>[3.2]</t>
  </si>
  <si>
    <t>13.409.719,60D</t>
  </si>
  <si>
    <t xml:space="preserve">       DESPESAS ADMINISTRATIVAS - [3322]</t>
  </si>
  <si>
    <t>[3.2.11]</t>
  </si>
  <si>
    <t xml:space="preserve">         PESSOAL - [3323]</t>
  </si>
  <si>
    <t>[3.2.11.01]</t>
  </si>
  <si>
    <t>D-24A</t>
  </si>
  <si>
    <t xml:space="preserve">           ANUENIO - [3326]</t>
  </si>
  <si>
    <t>[3.2.11.01.0003]</t>
  </si>
  <si>
    <t>192.628,14D</t>
  </si>
  <si>
    <t xml:space="preserve">           ASSIDUIDADE - [3327]</t>
  </si>
  <si>
    <t>[3.2.11.01.0004]</t>
  </si>
  <si>
    <t>160.385,45D</t>
  </si>
  <si>
    <t xml:space="preserve">           ASSISTÊNCIA MÉDICA E SOCIAL - [3328]</t>
  </si>
  <si>
    <t>[3.2.11.01.0005]</t>
  </si>
  <si>
    <t>3.526,00D</t>
  </si>
  <si>
    <t xml:space="preserve">           AUXILIO CRECHE - [3329]</t>
  </si>
  <si>
    <t>[3.2.11.01.0006]</t>
  </si>
  <si>
    <t>48.943,19D</t>
  </si>
  <si>
    <t xml:space="preserve">           ACORDOS TRABALHISTAS E INDENIZAÇÕES - [3331]</t>
  </si>
  <si>
    <t>[3.2.11.01.0008]</t>
  </si>
  <si>
    <t>1.435.529,15D</t>
  </si>
  <si>
    <t xml:space="preserve">           GRATIFICAÇÕES - [3336]</t>
  </si>
  <si>
    <t>[3.2.11.01.014]</t>
  </si>
  <si>
    <t>1.870.984,97D</t>
  </si>
  <si>
    <t xml:space="preserve">           PROGRAMA DE ALIMENTAÇÃO - [3341]</t>
  </si>
  <si>
    <t>[3.2.11.01.019]</t>
  </si>
  <si>
    <t>579.459,51D</t>
  </si>
  <si>
    <t xml:space="preserve">           PROGRAMA MENOR APRENDIZ - [3342]</t>
  </si>
  <si>
    <t>[3.2.11.01.020]</t>
  </si>
  <si>
    <t>40.906,97D</t>
  </si>
  <si>
    <t xml:space="preserve">           QUINQUENIO - [3344]</t>
  </si>
  <si>
    <t>[3.2.11.01.022]</t>
  </si>
  <si>
    <t>81.887,20D</t>
  </si>
  <si>
    <t xml:space="preserve">           SALARIOS - [3345]</t>
  </si>
  <si>
    <t>[3.2.11.01.023]</t>
  </si>
  <si>
    <t>1.704.533,49D</t>
  </si>
  <si>
    <t xml:space="preserve">           VALE-TRANSPORTES - [3349]</t>
  </si>
  <si>
    <t>[3.2.11.01.027]</t>
  </si>
  <si>
    <t>7.799,55D</t>
  </si>
  <si>
    <t xml:space="preserve">           PAGTO A AUTONOMOS - RPA - [3351]</t>
  </si>
  <si>
    <t>[3.2.11.01.029]</t>
  </si>
  <si>
    <t>317.205,09D</t>
  </si>
  <si>
    <t xml:space="preserve">           FUNDO PREVIDENCIARIO (ESTADO E MUNICIPIO) - [3352]</t>
  </si>
  <si>
    <t>[3.2.11.01.030]</t>
  </si>
  <si>
    <t>116.753,49D</t>
  </si>
  <si>
    <t xml:space="preserve">           VERBAS ESTATUTÁRIOS - MUNICIPAL E ESTADUAL - [16199]</t>
  </si>
  <si>
    <t>[3.2.11.01.039]</t>
  </si>
  <si>
    <t>440.035,29D</t>
  </si>
  <si>
    <t xml:space="preserve">         ENCARGOS SOCIAIS - [3355]</t>
  </si>
  <si>
    <t>[3.2.11.02]</t>
  </si>
  <si>
    <t xml:space="preserve">           FGTS - [3356]</t>
  </si>
  <si>
    <t>[3.2.11.02.0001]</t>
  </si>
  <si>
    <t>339.716,48D</t>
  </si>
  <si>
    <t xml:space="preserve">           INSS - [3357]</t>
  </si>
  <si>
    <t>[3.2.11.02.0002]</t>
  </si>
  <si>
    <t>1.203.093,81D</t>
  </si>
  <si>
    <t xml:space="preserve">           SESI - [9721]</t>
  </si>
  <si>
    <t>[3.2.11.02.0005]</t>
  </si>
  <si>
    <t>65.757,79D</t>
  </si>
  <si>
    <t xml:space="preserve">           SENAI - [9722]</t>
  </si>
  <si>
    <t>[3.2.11.02.0006]</t>
  </si>
  <si>
    <t>25.767,63D</t>
  </si>
  <si>
    <t xml:space="preserve">         PROVISÕES - [3360]</t>
  </si>
  <si>
    <t>[3.2.11.03]</t>
  </si>
  <si>
    <t>D-24C</t>
  </si>
  <si>
    <t xml:space="preserve">           PROVISÕES DE FÉRIAS - [3361]</t>
  </si>
  <si>
    <t>[3.2.11.03.0001]</t>
  </si>
  <si>
    <t>335.409,68D</t>
  </si>
  <si>
    <t xml:space="preserve">           PROVISÕES DE ENCARGOS SOCIAIS S/ FERIAS - [3362]</t>
  </si>
  <si>
    <t>[3.2.11.03.0002]</t>
  </si>
  <si>
    <t>108.345,27D</t>
  </si>
  <si>
    <t xml:space="preserve">           PROVISÕES DE  13º SALARIO - [3363]</t>
  </si>
  <si>
    <t>[3.2.11.03.0003]</t>
  </si>
  <si>
    <t>453.547,79D</t>
  </si>
  <si>
    <t xml:space="preserve">           PROVISÕES DE ENCARGOS SOCIAIS S/ 13º SALARIO - [3364]</t>
  </si>
  <si>
    <t>[3.2.11.03.0004]</t>
  </si>
  <si>
    <t>71.597,71D</t>
  </si>
  <si>
    <t xml:space="preserve">           PROVISÃO DE RISCO TRABALHISTA - [8461]</t>
  </si>
  <si>
    <t>[3.2.11.03.0007]</t>
  </si>
  <si>
    <t>401.257,86C</t>
  </si>
  <si>
    <t xml:space="preserve">           PROVISÃO DE RISCO PROC. CIVEIS - [8468]</t>
  </si>
  <si>
    <t>[3.2.11.03.0008]</t>
  </si>
  <si>
    <t>59.648,89D</t>
  </si>
  <si>
    <t xml:space="preserve">         DESPESAS GERAIS COM ADMINISTRAÇÃO - [3370]</t>
  </si>
  <si>
    <t>[3.2.11.04]</t>
  </si>
  <si>
    <t>D-24B</t>
  </si>
  <si>
    <t xml:space="preserve">           AGUA - [3371]</t>
  </si>
  <si>
    <t>[3.2.11.04.0001]</t>
  </si>
  <si>
    <t>75.721,82D</t>
  </si>
  <si>
    <t xml:space="preserve">           ENERGIA - [3372]</t>
  </si>
  <si>
    <t>[3.2.11.04.0002]</t>
  </si>
  <si>
    <t>216.737,70D</t>
  </si>
  <si>
    <t xml:space="preserve">           TELEFONE - [3373]</t>
  </si>
  <si>
    <t>[3.2.11.04.0003]</t>
  </si>
  <si>
    <t>5.537,41D</t>
  </si>
  <si>
    <t xml:space="preserve">           SERVIÇO DE LIMPEZA E MANUTENÇÃO - [3376]</t>
  </si>
  <si>
    <t>[3.2.11.04.0006]</t>
  </si>
  <si>
    <t>712.785,10D</t>
  </si>
  <si>
    <t xml:space="preserve">           HONORARIOS CONTÁBEIS - [3377]</t>
  </si>
  <si>
    <t>[3.2.11.04.0007]</t>
  </si>
  <si>
    <t>209.200,00D</t>
  </si>
  <si>
    <t xml:space="preserve">           SERVIÇOS DE TERCEIROS  - PJ - [3379]</t>
  </si>
  <si>
    <t>[3.2.11.04.0009]</t>
  </si>
  <si>
    <t>165.375,97D</t>
  </si>
  <si>
    <t xml:space="preserve">           COPIAS E PLOTAGENS - [3381]</t>
  </si>
  <si>
    <t>[3.2.11.04.0011]</t>
  </si>
  <si>
    <t>315,00D</t>
  </si>
  <si>
    <t xml:space="preserve">           CORREIOS E MALOTES - [3382]</t>
  </si>
  <si>
    <t>[3.2.11.04.0012]</t>
  </si>
  <si>
    <t>2.824,78D</t>
  </si>
  <si>
    <t xml:space="preserve">           FRETES - [3384]</t>
  </si>
  <si>
    <t>[3.2.11.04.0014]</t>
  </si>
  <si>
    <t>345.453,82D</t>
  </si>
  <si>
    <t xml:space="preserve">           MANUTENÇÃO DE SOFTWARE - [3385]</t>
  </si>
  <si>
    <t>[3.2.11.04.0015]</t>
  </si>
  <si>
    <t>25.521,00D</t>
  </si>
  <si>
    <t xml:space="preserve">           DESPESAS COM VEICULOS - [3388]</t>
  </si>
  <si>
    <t>[3.2.11.04.0018]</t>
  </si>
  <si>
    <t>15.456,17D</t>
  </si>
  <si>
    <t xml:space="preserve">           MATERIAL DE CONSUMO - [3389]</t>
  </si>
  <si>
    <t>[3.2.11.04.0019]</t>
  </si>
  <si>
    <t>57.000,32D</t>
  </si>
  <si>
    <t xml:space="preserve">           DEPRECIAÇÃO - [3391]</t>
  </si>
  <si>
    <t>[3.2.11.04.0021]</t>
  </si>
  <si>
    <t xml:space="preserve">           DESPESAS CARTORARIAS E LEGAIS - [3392]</t>
  </si>
  <si>
    <t>[3.2.11.04.0022]</t>
  </si>
  <si>
    <t>1.793,64D</t>
  </si>
  <si>
    <t xml:space="preserve">           LOCAÇÃO DE EQUIPAMENTOS - [3394]</t>
  </si>
  <si>
    <t>[3.2.11.04.0024]</t>
  </si>
  <si>
    <t>21.095,14D</t>
  </si>
  <si>
    <t xml:space="preserve">           LICENÇA DE SOFTWARE - [3399]</t>
  </si>
  <si>
    <t>[3.2.11.04.0029]</t>
  </si>
  <si>
    <t>37.695,37D</t>
  </si>
  <si>
    <t xml:space="preserve">           LICENCIAMENTO DE VEICULOS - [3400]</t>
  </si>
  <si>
    <t>[3.2.11.04.0030]</t>
  </si>
  <si>
    <t>8.044,78D</t>
  </si>
  <si>
    <t xml:space="preserve">           ASSINATURA DE PERIÓDICOS  - [3401]</t>
  </si>
  <si>
    <t>[3.2.11.04.0031]</t>
  </si>
  <si>
    <t>3.385,80D</t>
  </si>
  <si>
    <t xml:space="preserve">           EDITAIS E PUBLICAÇÕES - [3402]</t>
  </si>
  <si>
    <t>[3.2.11.04.0032]</t>
  </si>
  <si>
    <t>3.795,40D</t>
  </si>
  <si>
    <t xml:space="preserve">           COMBUSTIVEIS E LUBRIFICANTES - [3406]</t>
  </si>
  <si>
    <t>[3.2.11.04.0036]</t>
  </si>
  <si>
    <t>202,57D</t>
  </si>
  <si>
    <t xml:space="preserve">           LANCHES E REFEIÇÕES - [3407]</t>
  </si>
  <si>
    <t>[3.2.11.04.0037]</t>
  </si>
  <si>
    <t>10.599,05D</t>
  </si>
  <si>
    <t xml:space="preserve">           DIARIAS, VIAGENS E REPRESENTAÇÕES - [6125]</t>
  </si>
  <si>
    <t>[3.2.11.04.0046]</t>
  </si>
  <si>
    <t>7.462,30D</t>
  </si>
  <si>
    <t xml:space="preserve">           DESPESAS COM INTERNET - [3414]</t>
  </si>
  <si>
    <t>[3.2.11.04.0047]</t>
  </si>
  <si>
    <t>34.378,13D</t>
  </si>
  <si>
    <t xml:space="preserve">           CUSTAS JUDICIAIS - [7623]</t>
  </si>
  <si>
    <t>[3.2.11.04.0053]</t>
  </si>
  <si>
    <t>24.775,60D</t>
  </si>
  <si>
    <t xml:space="preserve">           OUTRAS DESPESAS - [14946]</t>
  </si>
  <si>
    <t>[3.2.11.04.0057]</t>
  </si>
  <si>
    <t>3.147,28D</t>
  </si>
  <si>
    <t xml:space="preserve">           PROCESSO CIVEIS - [16192]</t>
  </si>
  <si>
    <t>[3.2.11.04.0058]</t>
  </si>
  <si>
    <t>435.868,82D</t>
  </si>
  <si>
    <t xml:space="preserve">         DESPESAS FINANCEIRAS - [3490]</t>
  </si>
  <si>
    <t>[3.2.11.05]</t>
  </si>
  <si>
    <t>D-26B</t>
  </si>
  <si>
    <t xml:space="preserve">           DESCONTOS CONCEDIDOS - [3491]</t>
  </si>
  <si>
    <t>[3.2.11.05.0001]</t>
  </si>
  <si>
    <t>1.187,97D</t>
  </si>
  <si>
    <t>25.b</t>
  </si>
  <si>
    <t xml:space="preserve">           DESPESAS BANCARIAS - [3492]</t>
  </si>
  <si>
    <t>[3.2.11.05.0002]</t>
  </si>
  <si>
    <t>6.887,48D</t>
  </si>
  <si>
    <t xml:space="preserve">           JUROS, MULTAS E CORREÇÃO MONETÁRIA - [3496]</t>
  </si>
  <si>
    <t>[3.2.11.05.0006]</t>
  </si>
  <si>
    <t>454.839,40D</t>
  </si>
  <si>
    <t xml:space="preserve">           VARIAÇÃO CAMBIAL PASSIVA - [3499]</t>
  </si>
  <si>
    <t>[3.2.11.05.0009]</t>
  </si>
  <si>
    <t>125.790,00D</t>
  </si>
  <si>
    <t xml:space="preserve">           DESPESAS DE IOF - [3502]</t>
  </si>
  <si>
    <t>[3.2.11.05.0012]</t>
  </si>
  <si>
    <t>401,24D</t>
  </si>
  <si>
    <t xml:space="preserve">           CORREÇÃO MONETARIA DE DEBITOS TRIBUTARIOS - [10649]</t>
  </si>
  <si>
    <t>[3.2.11.05.0015]</t>
  </si>
  <si>
    <t>248.897,31D</t>
  </si>
  <si>
    <t xml:space="preserve">         DESPESAS TRIBUTÁRIAS - [3530]</t>
  </si>
  <si>
    <t>[3.2.11.07]</t>
  </si>
  <si>
    <t>D-25A</t>
  </si>
  <si>
    <t xml:space="preserve">           COFINS S/ RECEITAS FINANCEIRAS - [3532]</t>
  </si>
  <si>
    <t>[3.2.11.07.0002]</t>
  </si>
  <si>
    <t>2.342,01D</t>
  </si>
  <si>
    <t xml:space="preserve">           PASEP S/ RECEITAS FINANCEIRAS - [3533]</t>
  </si>
  <si>
    <t>[3.2.11.07.0003]</t>
  </si>
  <si>
    <t>380,58D</t>
  </si>
  <si>
    <t xml:space="preserve">           IMPOSTOS E TAXAS ESTADUAIS - [3535]</t>
  </si>
  <si>
    <t>[3.2.11.07.0005]</t>
  </si>
  <si>
    <t>14.443,91D</t>
  </si>
  <si>
    <t xml:space="preserve">           IMPOSTOS E TAXAS FEDERAIS - [3536]</t>
  </si>
  <si>
    <t>[3.2.11.07.0006]</t>
  </si>
  <si>
    <t>117.184,62D</t>
  </si>
  <si>
    <t xml:space="preserve">           IMPOSTOS E TAXAS MUNICIPAIS - [3537]</t>
  </si>
  <si>
    <t>[3.2.11.07.0007]</t>
  </si>
  <si>
    <t>29.552,08D</t>
  </si>
  <si>
    <t xml:space="preserve">           I.P.T.U. - [3544]</t>
  </si>
  <si>
    <t>[3.2.11.07.0014]</t>
  </si>
  <si>
    <t>162.533,70D</t>
  </si>
  <si>
    <t xml:space="preserve">   RECEITAS  - [4000]</t>
  </si>
  <si>
    <t>[4]</t>
  </si>
  <si>
    <t xml:space="preserve">     RECEITAS - [16493]</t>
  </si>
  <si>
    <t>[4.1]</t>
  </si>
  <si>
    <t>C-22</t>
  </si>
  <si>
    <t xml:space="preserve">       LINHA HUMANA - [4003]</t>
  </si>
  <si>
    <t>[4.1.11]</t>
  </si>
  <si>
    <t>21.848.006,95C</t>
  </si>
  <si>
    <t xml:space="preserve">         VENDAS LINHA PARALELA - [4010]</t>
  </si>
  <si>
    <t>[4.1.11.02]</t>
  </si>
  <si>
    <t xml:space="preserve">           PRODUTOS - [4011]</t>
  </si>
  <si>
    <t>[4.1.11.02.0001]</t>
  </si>
  <si>
    <t>13.167.090,70C</t>
  </si>
  <si>
    <t xml:space="preserve">           PRODUTOS - GOD - [16766]</t>
  </si>
  <si>
    <t>[4.1.11.02.0004]</t>
  </si>
  <si>
    <t>8.680.916,25C</t>
  </si>
  <si>
    <t xml:space="preserve">       LINHA HUMANA - [4031]</t>
  </si>
  <si>
    <t>[4.1.21]</t>
  </si>
  <si>
    <t>83.889,73C</t>
  </si>
  <si>
    <t xml:space="preserve">         VENDAS DA LINHA PARALELA - [4036]</t>
  </si>
  <si>
    <t>[4.1.21.02]</t>
  </si>
  <si>
    <t xml:space="preserve">           PRODUTOS - ALCOOL - [4037]</t>
  </si>
  <si>
    <t>[4.1.21.02.0001]</t>
  </si>
  <si>
    <t>21.a</t>
  </si>
  <si>
    <t xml:space="preserve">     VENDAS - [16500]</t>
  </si>
  <si>
    <t>[4.2]</t>
  </si>
  <si>
    <t>C-25B</t>
  </si>
  <si>
    <t xml:space="preserve">       RENDA DE VARIAÇÃO MONETARIA - [4140]</t>
  </si>
  <si>
    <t>[4.2.22]</t>
  </si>
  <si>
    <t>481.407,50C</t>
  </si>
  <si>
    <t xml:space="preserve">         RENDA DE VARIAÇÃO CAMBIAL - [4141]</t>
  </si>
  <si>
    <t>[4.2.22.01]</t>
  </si>
  <si>
    <t xml:space="preserve">           RENDA DE VARIAÇÃO CAMBIAL ATIVA - [4142]</t>
  </si>
  <si>
    <t>[4.2.22.01.0001]</t>
  </si>
  <si>
    <t xml:space="preserve">       RENDA DE VARIAÇÃO MONETARIA - [4150]</t>
  </si>
  <si>
    <t>[4.2.23]</t>
  </si>
  <si>
    <t>277,50C</t>
  </si>
  <si>
    <t xml:space="preserve">         RENDA DE VARIAÇÃO MONETARIA ATIVA - [4151]</t>
  </si>
  <si>
    <t>[4.2.23.01]</t>
  </si>
  <si>
    <t xml:space="preserve">           RENDIMENTO DE APLICAÇÕES EM AÇÕES - [10641]</t>
  </si>
  <si>
    <t>[4.2.23.01.0004]</t>
  </si>
  <si>
    <t xml:space="preserve">       RECEITAS DIVERSAS - [4161]</t>
  </si>
  <si>
    <t>[4.2.31]</t>
  </si>
  <si>
    <t>10.390.945,22C</t>
  </si>
  <si>
    <t xml:space="preserve">         RECEITAS DIVERSAS - [4165]</t>
  </si>
  <si>
    <t>[4.2.31.02]</t>
  </si>
  <si>
    <t>2.280,00C</t>
  </si>
  <si>
    <t xml:space="preserve">           DOAÇÕES RECEBIDAS - [4170]</t>
  </si>
  <si>
    <t>[4.2.31.02.0005]</t>
  </si>
  <si>
    <t xml:space="preserve">         RECEITAS DE SUBVENÇÃO GOVERNAMENTAL - [11343]</t>
  </si>
  <si>
    <t>[4.2.31.03]</t>
  </si>
  <si>
    <t>10.388.665,22C</t>
  </si>
  <si>
    <t xml:space="preserve">           GOVERNO DO ESTADO DE GOIAS - [15919]</t>
  </si>
  <si>
    <t>[4.2.31.03.0002]</t>
  </si>
  <si>
    <t xml:space="preserve">       RECEITAS FINANCEIRAS - [4180]</t>
  </si>
  <si>
    <t>[4.2.32]</t>
  </si>
  <si>
    <t>60.749,82C</t>
  </si>
  <si>
    <t xml:space="preserve">         DESCONTOS OBTIDOS - [4181]</t>
  </si>
  <si>
    <t>[4.2.32.01]</t>
  </si>
  <si>
    <t>C-26A</t>
  </si>
  <si>
    <t xml:space="preserve">           DESCONTOS OBTIDOS DE FORNECEDORES - [4182]</t>
  </si>
  <si>
    <t>[4.2.32.01.0001]</t>
  </si>
  <si>
    <t>1.781,49C</t>
  </si>
  <si>
    <t xml:space="preserve">         JUROS SOBRE ATIVOS FINANCEIROS - [4185]</t>
  </si>
  <si>
    <t>[4.2.32.02]</t>
  </si>
  <si>
    <t>58.968,33C</t>
  </si>
  <si>
    <t xml:space="preserve">           RECEITAS DIVERSAS - [4189]</t>
  </si>
  <si>
    <t>[4.2.32.02.0004]</t>
  </si>
  <si>
    <t>313,77C</t>
  </si>
  <si>
    <t>25.a</t>
  </si>
  <si>
    <t xml:space="preserve">           RENDIMENTOS DE APLICAÇÕES FINANCEIRAS - [4190]</t>
  </si>
  <si>
    <t>[4.2.32.02.0005]</t>
  </si>
  <si>
    <t>58.550,47C</t>
  </si>
  <si>
    <t xml:space="preserve">           DIVIDENDOS RECEBIDOS - [4192]</t>
  </si>
  <si>
    <t>[4.2.32.02.0007]</t>
  </si>
  <si>
    <t>104,09C</t>
  </si>
  <si>
    <t xml:space="preserve">           PIS SOBRE RECEITAS FINANCEIRAS - [15646]</t>
  </si>
  <si>
    <t>[4.2.32.02.0008]</t>
  </si>
  <si>
    <t xml:space="preserve">           COFINS SOBRE RECEITAS FINANCEIRAS - [15653]</t>
  </si>
  <si>
    <t>[4.2.32.02.0009]</t>
  </si>
  <si>
    <t xml:space="preserve">     DEDUÇÕE - [16514]</t>
  </si>
  <si>
    <t>[4.4]</t>
  </si>
  <si>
    <t>D-25B</t>
  </si>
  <si>
    <t xml:space="preserve">       DEDUÇÃO S/ VENDAS - LINHA HUMANA - [4402]</t>
  </si>
  <si>
    <t>[4.4.11]</t>
  </si>
  <si>
    <t>2.149.550,94D</t>
  </si>
  <si>
    <t xml:space="preserve">         DEDUÇÃO S/ VENDAS - CONVENIO FEDERAL - [4403]</t>
  </si>
  <si>
    <t>[4.4.11.01]</t>
  </si>
  <si>
    <t>132.469,86D</t>
  </si>
  <si>
    <t xml:space="preserve">           DEVOLUÇÃO DE VENDAS - [4408]</t>
  </si>
  <si>
    <t>[4.4.11.01.0005]</t>
  </si>
  <si>
    <t xml:space="preserve">         DEDUÇÃO S/ VENDAS - LINHA PARALELA - [4425]</t>
  </si>
  <si>
    <t>[4.4.11.03]</t>
  </si>
  <si>
    <t>2.017.081,08D</t>
  </si>
  <si>
    <t xml:space="preserve">           COFINS - [4426]</t>
  </si>
  <si>
    <t>[4.4.11.03.0001]</t>
  </si>
  <si>
    <t>1.657.277,48D</t>
  </si>
  <si>
    <t xml:space="preserve">           PASEP - [4427]</t>
  </si>
  <si>
    <t>[4.4.11.03.0002]</t>
  </si>
  <si>
    <t>359.803,60D</t>
  </si>
  <si>
    <t xml:space="preserve">   COMPENSADO - [5000]</t>
  </si>
  <si>
    <t>[5]</t>
  </si>
  <si>
    <t>40.109.589,64D</t>
  </si>
  <si>
    <t xml:space="preserve">     COMPENSADO - [16521]</t>
  </si>
  <si>
    <t>[5.1]</t>
  </si>
  <si>
    <t xml:space="preserve">       CONTRATOS DE LOCAÇÃO DE EQUIPAMENTOS - [5003]</t>
  </si>
  <si>
    <t>[5.1.11]</t>
  </si>
  <si>
    <t>39.209.209,81D</t>
  </si>
  <si>
    <t xml:space="preserve">         MAQUINAS E EQUIPAMENTOS - [5004]</t>
  </si>
  <si>
    <t>[5.1.11.01]</t>
  </si>
  <si>
    <t xml:space="preserve">           OPERAÇÕES COM A MATRIZ E FILIAL - [15884]</t>
  </si>
  <si>
    <t>[5.1.11.01.0007]</t>
  </si>
  <si>
    <t xml:space="preserve">       COMODATOS CONTRATADOS - [5020]</t>
  </si>
  <si>
    <t>[5.1.12]</t>
  </si>
  <si>
    <t>900.379,83D</t>
  </si>
  <si>
    <t xml:space="preserve">          COMODATOS CONTRATADOS GLICOSIMETRO - [5021]</t>
  </si>
  <si>
    <t>[5.1.12.01]</t>
  </si>
  <si>
    <t xml:space="preserve">           CONSORCIO INTERMUNICIPAL DO SUL EST. ALAGOAS - AL - [16430]</t>
  </si>
  <si>
    <t>[5.1.12.01.0067]</t>
  </si>
  <si>
    <t>895.912,78D</t>
  </si>
  <si>
    <t xml:space="preserve">           EMPRESA BRASILEIRA DE SERVIÇOS HOSPITALARES   GO - [16696]</t>
  </si>
  <si>
    <t>[5.1.12.01.0068]</t>
  </si>
  <si>
    <t>3.631,75D</t>
  </si>
  <si>
    <t xml:space="preserve">           ASSOCIAÇÃO REGIONAL DO SUDOESTE   PR - [16710]</t>
  </si>
  <si>
    <t>[5.1.12.01.0069]</t>
  </si>
  <si>
    <t>108,95D</t>
  </si>
  <si>
    <t xml:space="preserve">           FUNDO ESTADUAL SAUDE FUNDES  CE - [16836]</t>
  </si>
  <si>
    <t>[5.1.12.01.0072]</t>
  </si>
  <si>
    <t>726,35D</t>
  </si>
  <si>
    <t xml:space="preserve">   COMPENSADO - [6000]</t>
  </si>
  <si>
    <t>[6]</t>
  </si>
  <si>
    <t>40.109.589,64C</t>
  </si>
  <si>
    <t xml:space="preserve">     COMPENSADO - [16528]</t>
  </si>
  <si>
    <t>[6.1]</t>
  </si>
  <si>
    <t xml:space="preserve">       LOCAÇÃO EQUIPAMENTOS CONTRATADA - [6003]</t>
  </si>
  <si>
    <t>[6.1.11]</t>
  </si>
  <si>
    <t>39.209.209,81C</t>
  </si>
  <si>
    <t xml:space="preserve">         MAQUINAS E EQUIPAMENTOS - [6004]</t>
  </si>
  <si>
    <t>[6.1.11.01]</t>
  </si>
  <si>
    <t xml:space="preserve">           OPERAÇÕES COM A MATRIZ E FILIAL - [15898]</t>
  </si>
  <si>
    <t>[6.1.11.01.0007]</t>
  </si>
  <si>
    <t xml:space="preserve">       COMODATOS CONTRATADOS - [6020]</t>
  </si>
  <si>
    <t>[6.1.12]</t>
  </si>
  <si>
    <t>900.379,83C</t>
  </si>
  <si>
    <t xml:space="preserve">         COMODATOS CONTRATADOS GLICOSIMETRO - [6021]</t>
  </si>
  <si>
    <t>[6.1.12.01]</t>
  </si>
  <si>
    <t xml:space="preserve">           CONSORCIO INTERMUNICIPAL DO SUL EST. ALAGOAS - AL - [16437]</t>
  </si>
  <si>
    <t>[6.1.12.01.0067]</t>
  </si>
  <si>
    <t>895.912,78C</t>
  </si>
  <si>
    <t xml:space="preserve">           EMPRESA BRASILEIRA DE SERVIÇOS HOSPITALARES  GO - [16703]</t>
  </si>
  <si>
    <t>[6.1.12.01.0068]</t>
  </si>
  <si>
    <t>3.631,75C</t>
  </si>
  <si>
    <t xml:space="preserve">           ASSOCIAÇÃO REGIONAL DO SUDOESTE  PR - [16717]</t>
  </si>
  <si>
    <t>[6.1.12.01.0069]</t>
  </si>
  <si>
    <t>108,95C</t>
  </si>
  <si>
    <t xml:space="preserve">           FUNDO ESTADUAL SAUDE FUNDES  CE - [16843]</t>
  </si>
  <si>
    <t>[6.1.12.01.0072]</t>
  </si>
  <si>
    <t>726,35C</t>
  </si>
  <si>
    <t>Reservas</t>
  </si>
  <si>
    <t>2022</t>
  </si>
  <si>
    <t>2021</t>
  </si>
  <si>
    <t>Ajuste de Avaliação Patrim.</t>
  </si>
  <si>
    <t>APP - Ajuste de Avaliação Patrim.</t>
  </si>
  <si>
    <t>TOTAL</t>
  </si>
  <si>
    <t>CUSTOS DOS PRODUTOS</t>
  </si>
  <si>
    <t>Salários e Encargos</t>
  </si>
  <si>
    <t>22.1</t>
  </si>
  <si>
    <t>Gastos Gerais de Fabricação e Estoques</t>
  </si>
  <si>
    <t>22.2</t>
  </si>
  <si>
    <t>Despesas com Importação</t>
  </si>
  <si>
    <t>22.3</t>
  </si>
  <si>
    <t xml:space="preserve">Outros  </t>
  </si>
  <si>
    <t>22.4</t>
  </si>
  <si>
    <t>DESPESAS OPERACIONAIS E ADMINISTRATIVAS</t>
  </si>
  <si>
    <t>Com pessoal e encargos</t>
  </si>
  <si>
    <t>23.1</t>
  </si>
  <si>
    <t>Água, Energia e Telefone.</t>
  </si>
  <si>
    <t>23.2</t>
  </si>
  <si>
    <t>Serviço de Limpeza e Manutenção</t>
  </si>
  <si>
    <t>23.3</t>
  </si>
  <si>
    <t>Fretes</t>
  </si>
  <si>
    <t>23.4</t>
  </si>
  <si>
    <t>Serviços de Terceiros</t>
  </si>
  <si>
    <t>23.5</t>
  </si>
  <si>
    <t>Material em Geral</t>
  </si>
  <si>
    <t>23.6</t>
  </si>
  <si>
    <t>Registros, Licenças, Assinatura e Publicações.</t>
  </si>
  <si>
    <t>23.7</t>
  </si>
  <si>
    <t>Despesas com viagens e veículos</t>
  </si>
  <si>
    <t>23.8</t>
  </si>
  <si>
    <t>Refeições e Lanches</t>
  </si>
  <si>
    <t>23.9</t>
  </si>
  <si>
    <t>Outras</t>
  </si>
  <si>
    <t>23.10</t>
  </si>
  <si>
    <t>Impairment</t>
  </si>
  <si>
    <t>23.12</t>
  </si>
  <si>
    <t>Depreciação</t>
  </si>
  <si>
    <t>23.11</t>
  </si>
  <si>
    <t>DESPESAS TRIBUTARIAS</t>
  </si>
  <si>
    <t>Taxas e Tributos Federais</t>
  </si>
  <si>
    <t>24.1</t>
  </si>
  <si>
    <t>Impostos e Taxas Estaduais</t>
  </si>
  <si>
    <t>24.2</t>
  </si>
  <si>
    <t>Outras Despesas Tributarias</t>
  </si>
  <si>
    <t>24.3</t>
  </si>
  <si>
    <t>Resultado Financeiro</t>
  </si>
  <si>
    <t>Receita Financeira</t>
  </si>
  <si>
    <t>25.1</t>
  </si>
  <si>
    <t>Despesa Financeira</t>
  </si>
  <si>
    <t>25.2</t>
  </si>
  <si>
    <t>INDUSTRIA QUIMICA DO ESTADO DE GOIAS S/A(00011)</t>
  </si>
  <si>
    <t>BALANCETE ANALÍTICO CONSOLIDADO DE 01/01/2022 ATÉ 31/12/2022</t>
  </si>
  <si>
    <t>Núm.Caract</t>
  </si>
  <si>
    <t>Redutora</t>
  </si>
  <si>
    <t>Grupo</t>
  </si>
  <si>
    <t>Natureza</t>
  </si>
  <si>
    <t>Débito</t>
  </si>
  <si>
    <t>Saldo Atual</t>
  </si>
  <si>
    <t>VAZIAS</t>
  </si>
  <si>
    <t>NOTAS DRE</t>
  </si>
  <si>
    <t>NOME</t>
  </si>
  <si>
    <t>QUADROS</t>
  </si>
  <si>
    <t>NOME QUADROS</t>
  </si>
  <si>
    <t/>
  </si>
  <si>
    <t>13.222,72D</t>
  </si>
  <si>
    <t>2,70D</t>
  </si>
  <si>
    <t>20.844,00D</t>
  </si>
  <si>
    <t>[1.1.11.02.0033]</t>
  </si>
  <si>
    <t>#####</t>
  </si>
  <si>
    <t>[1.1.11.02.0036]</t>
  </si>
  <si>
    <t>218.884,75D</t>
  </si>
  <si>
    <t>[1.1.11.02.0037]</t>
  </si>
  <si>
    <t>5.387,47D</t>
  </si>
  <si>
    <t>85,70D</t>
  </si>
  <si>
    <t>2.345.993,84D</t>
  </si>
  <si>
    <t>825,00D</t>
  </si>
  <si>
    <t>[1.1.21.01.0875]</t>
  </si>
  <si>
    <t>2.295,00D</t>
  </si>
  <si>
    <t>[1.1.21.01.0916]</t>
  </si>
  <si>
    <t>11.184,00D</t>
  </si>
  <si>
    <t>12.400,00D</t>
  </si>
  <si>
    <t>1.350,00D</t>
  </si>
  <si>
    <t>14.750,00D</t>
  </si>
  <si>
    <t>[1.1.21.01.1017]</t>
  </si>
  <si>
    <t>65.565,00D</t>
  </si>
  <si>
    <t>17.369,55D</t>
  </si>
  <si>
    <t>1.342.062,00D</t>
  </si>
  <si>
    <t>21.472,00D</t>
  </si>
  <si>
    <t>[1.1.21.01.1078]</t>
  </si>
  <si>
    <t>[1.1.21.01.1079]</t>
  </si>
  <si>
    <t>77.500,00D</t>
  </si>
  <si>
    <t>[1.1.21.01.1080]</t>
  </si>
  <si>
    <t>[1.1.21.01.1081]</t>
  </si>
  <si>
    <t>6.980,00D</t>
  </si>
  <si>
    <t>[1.1.21.01.1082]</t>
  </si>
  <si>
    <t>[1.1.21.01.1083]</t>
  </si>
  <si>
    <t>[1.1.21.01.1084]</t>
  </si>
  <si>
    <t>[1.1.21.01.1085]</t>
  </si>
  <si>
    <t>275.622,20D</t>
  </si>
  <si>
    <t>100.920,10D</t>
  </si>
  <si>
    <t>[1.1.22.06.0002]</t>
  </si>
  <si>
    <t>185,60D</t>
  </si>
  <si>
    <t>1.796,65D</t>
  </si>
  <si>
    <t>397.399,05D</t>
  </si>
  <si>
    <t>1.587.940,03D</t>
  </si>
  <si>
    <t>344.566,26D</t>
  </si>
  <si>
    <t>1.870.632,00D</t>
  </si>
  <si>
    <t>4.522.441,31D</t>
  </si>
  <si>
    <t>98.288,81D</t>
  </si>
  <si>
    <t>37.745,60D</t>
  </si>
  <si>
    <t>3.138,45D</t>
  </si>
  <si>
    <t>[1.1.31.01.0019]</t>
  </si>
  <si>
    <t>[1.1.32.01.0009]</t>
  </si>
  <si>
    <t>364.995,54D</t>
  </si>
  <si>
    <t>15.417,26C</t>
  </si>
  <si>
    <t>[1.1.34]</t>
  </si>
  <si>
    <t>[1.1.34.01]</t>
  </si>
  <si>
    <t>[1.1.34.01.0006]</t>
  </si>
  <si>
    <t>[1.1.34.01.0007]</t>
  </si>
  <si>
    <t>[1.1.34.01.0008]</t>
  </si>
  <si>
    <t>[1.1.34.01.0009]</t>
  </si>
  <si>
    <t>[1.1.34.01.0010]</t>
  </si>
  <si>
    <t>97.115,13D</t>
  </si>
  <si>
    <t>[1.1.51.01.0006]</t>
  </si>
  <si>
    <t>[1.1.51.01.0008]</t>
  </si>
  <si>
    <t>5.436.758,87D</t>
  </si>
  <si>
    <t>2.051.121,52D</t>
  </si>
  <si>
    <t>[1.2.31.01.0020]</t>
  </si>
  <si>
    <t>[1.2.31.01.0021]</t>
  </si>
  <si>
    <t>6.016.200,18C</t>
  </si>
  <si>
    <t>14.084.602,36D</t>
  </si>
  <si>
    <t>5.813.175,44D</t>
  </si>
  <si>
    <t>718.728,13D</t>
  </si>
  <si>
    <t>8.050,00D</t>
  </si>
  <si>
    <t>259.784,67D</t>
  </si>
  <si>
    <t>2.282,49D</t>
  </si>
  <si>
    <t>15.108,38D</t>
  </si>
  <si>
    <t>72.032,53D</t>
  </si>
  <si>
    <t>25.270,00D</t>
  </si>
  <si>
    <t>345.503,50D</t>
  </si>
  <si>
    <t>243.588,32D</t>
  </si>
  <si>
    <t>797,00D</t>
  </si>
  <si>
    <t>846.786,11D</t>
  </si>
  <si>
    <t>449.068,70D</t>
  </si>
  <si>
    <t>182.065,14D</t>
  </si>
  <si>
    <t>69.781,06D</t>
  </si>
  <si>
    <t>9.604,94D</t>
  </si>
  <si>
    <t>187.617,56D</t>
  </si>
  <si>
    <t>29.441.768,56C</t>
  </si>
  <si>
    <t>6.711.170,57C</t>
  </si>
  <si>
    <t>17.859.322,64C</t>
  </si>
  <si>
    <t>145.360,85C</t>
  </si>
  <si>
    <t>3.202.809,30C</t>
  </si>
  <si>
    <t>27.900,20C</t>
  </si>
  <si>
    <t>789.851,11C</t>
  </si>
  <si>
    <t>368.187,94C</t>
  </si>
  <si>
    <t>337.165,95C</t>
  </si>
  <si>
    <t>[1.2.31.17.0009]</t>
  </si>
  <si>
    <t>[1.2.31.17.0010]</t>
  </si>
  <si>
    <t>[1.2.31.17.0011]</t>
  </si>
  <si>
    <t>[1.2.31.17.0012]</t>
  </si>
  <si>
    <t>[1.2.31.17.0013]</t>
  </si>
  <si>
    <t>[1.2.31.17.0014]</t>
  </si>
  <si>
    <t>20.812.607,01C</t>
  </si>
  <si>
    <t>[2.1.11.04.0214]</t>
  </si>
  <si>
    <t>9.595,44C</t>
  </si>
  <si>
    <t>13.263,59C</t>
  </si>
  <si>
    <t>[2.1.11.04.0304]</t>
  </si>
  <si>
    <t>[2.1.11.04.0305]</t>
  </si>
  <si>
    <t>[2.1.11.04.0306]</t>
  </si>
  <si>
    <t>[2.1.11.04.0307]</t>
  </si>
  <si>
    <t>[2.1.11.04.0308]</t>
  </si>
  <si>
    <t>29.565,80C</t>
  </si>
  <si>
    <t>722,42C</t>
  </si>
  <si>
    <t>2.201,83C</t>
  </si>
  <si>
    <t>492.177,55C</t>
  </si>
  <si>
    <t>[2.1.11.05.0207]</t>
  </si>
  <si>
    <t>[2.1.11.05.0287]</t>
  </si>
  <si>
    <t>137.959,88C</t>
  </si>
  <si>
    <t>125.789,68C</t>
  </si>
  <si>
    <t>13.894,50C</t>
  </si>
  <si>
    <t>93.503,80C</t>
  </si>
  <si>
    <t>41.935,82C</t>
  </si>
  <si>
    <t>13.500,00C</t>
  </si>
  <si>
    <t>[2.1.11.05.504]</t>
  </si>
  <si>
    <t>[2.1.11.05.505]</t>
  </si>
  <si>
    <t>[2.1.11.05.506]</t>
  </si>
  <si>
    <t>[2.1.11.05.507]</t>
  </si>
  <si>
    <t>[2.1.11.05.509]</t>
  </si>
  <si>
    <t>[2.1.11.05.510]</t>
  </si>
  <si>
    <t>[2.1.11.05.511]</t>
  </si>
  <si>
    <t>[2.1.11.05.512]</t>
  </si>
  <si>
    <t>109.298,75C</t>
  </si>
  <si>
    <t>[2.1.11.05.513]</t>
  </si>
  <si>
    <t>[2.1.11.05.514]</t>
  </si>
  <si>
    <t>[2.1.11.07.0039]</t>
  </si>
  <si>
    <t>[2.1.11.07.0040]</t>
  </si>
  <si>
    <t>1.980,00C</t>
  </si>
  <si>
    <t>4.700,90C</t>
  </si>
  <si>
    <t>[2.1.13.01.0018]</t>
  </si>
  <si>
    <t>18.920,07C</t>
  </si>
  <si>
    <t>[2.1.13.02.0017]</t>
  </si>
  <si>
    <t>879,32C</t>
  </si>
  <si>
    <t>50.680,26C</t>
  </si>
  <si>
    <t>4.035,88C</t>
  </si>
  <si>
    <t>13.137,42C</t>
  </si>
  <si>
    <t>12.751,49C</t>
  </si>
  <si>
    <t>169.107,74C</t>
  </si>
  <si>
    <t>74.874,75C</t>
  </si>
  <si>
    <t>123.981,29C</t>
  </si>
  <si>
    <t>68.307,31C</t>
  </si>
  <si>
    <t>357.607,00C</t>
  </si>
  <si>
    <t>31.813,44C</t>
  </si>
  <si>
    <t>[2.1.14.02.0065]</t>
  </si>
  <si>
    <t>281.305,00C</t>
  </si>
  <si>
    <t>5.896.347,07C</t>
  </si>
  <si>
    <t>187.985,66C</t>
  </si>
  <si>
    <t>774.582,94C</t>
  </si>
  <si>
    <t>229.312,84C</t>
  </si>
  <si>
    <t>2.582.891,59C</t>
  </si>
  <si>
    <t>439.113,51C</t>
  </si>
  <si>
    <t>138.252,07C</t>
  </si>
  <si>
    <t>108.152,13C</t>
  </si>
  <si>
    <t>834.415,00C</t>
  </si>
  <si>
    <t>75.701,49C</t>
  </si>
  <si>
    <t>[2.2.11.02.0089]</t>
  </si>
  <si>
    <t>937.680,72C</t>
  </si>
  <si>
    <t>10.752.358,65C</t>
  </si>
  <si>
    <t>32.139.419,39C</t>
  </si>
  <si>
    <t>1.314.295,23D</t>
  </si>
  <si>
    <t>3.239.421,94D</t>
  </si>
  <si>
    <t>[2.3.21.01.0006]</t>
  </si>
  <si>
    <t>1.925.126,71C</t>
  </si>
  <si>
    <t>11.771.839,05D</t>
  </si>
  <si>
    <t>224.341.533,27D</t>
  </si>
  <si>
    <t>6.283.183,71D</t>
  </si>
  <si>
    <t>[3.1.10]</t>
  </si>
  <si>
    <t>[3.1.10.01]</t>
  </si>
  <si>
    <t>[3.1.10.01.0001]</t>
  </si>
  <si>
    <t>[3.1.10.01.0002]</t>
  </si>
  <si>
    <t xml:space="preserve">         DESPESAS DIVERSAS COM VENDAS - [3240]</t>
  </si>
  <si>
    <t>[3.1.12.04]</t>
  </si>
  <si>
    <t xml:space="preserve">           ENERGIA - [3242]</t>
  </si>
  <si>
    <t>[3.1.12.04.0002]</t>
  </si>
  <si>
    <t xml:space="preserve">           MATERIAL DE CONSUMO - [3257]</t>
  </si>
  <si>
    <t>[3.1.12.04.0017]</t>
  </si>
  <si>
    <t xml:space="preserve">           COMISSÕES DE VENDAS - [3263]</t>
  </si>
  <si>
    <t>[3.1.12.04.0023]</t>
  </si>
  <si>
    <t xml:space="preserve">           AMOSTRA CABO GLUCOLEADER 2 SAIDAS E CABO OKMETER - [16899]</t>
  </si>
  <si>
    <t>[3.1.12.05.0012]</t>
  </si>
  <si>
    <t xml:space="preserve">         PERDAS DE ESTOQUE - [3300]</t>
  </si>
  <si>
    <t>[3.1.12.08]</t>
  </si>
  <si>
    <t xml:space="preserve">           PRODUTOS ACABADOS - IQUEGO - [3301]</t>
  </si>
  <si>
    <t>[3.1.12.08.0001]</t>
  </si>
  <si>
    <t>[3.2.11.01.0010]</t>
  </si>
  <si>
    <t>[3.2.11.01.0012]</t>
  </si>
  <si>
    <t>[3.2.11.01.017]</t>
  </si>
  <si>
    <t>[3.2.11.01.024]</t>
  </si>
  <si>
    <t>[3.2.11.01.035]</t>
  </si>
  <si>
    <t>[3.2.11.03.0011]</t>
  </si>
  <si>
    <t>[3.2.11.04.0045]</t>
  </si>
  <si>
    <t>[3.2.11.04.0048]</t>
  </si>
  <si>
    <t>[3.2.11.04.0052]</t>
  </si>
  <si>
    <t>[3.2.11.05.0016]</t>
  </si>
  <si>
    <t>[3.2.11.06]</t>
  </si>
  <si>
    <t>[3.2.11.06.0001]</t>
  </si>
  <si>
    <t>21.b</t>
  </si>
  <si>
    <t>[4.2.32.02.0003]</t>
  </si>
  <si>
    <t>[4.2.32.02.0006]</t>
  </si>
  <si>
    <t>[4.2.32.02.0010]</t>
  </si>
  <si>
    <t>21.c</t>
  </si>
  <si>
    <t>[5.1.12.01.0010]</t>
  </si>
  <si>
    <t>[5.1.12.01.0021]</t>
  </si>
  <si>
    <t>[5.1.12.01.0023]</t>
  </si>
  <si>
    <t>[5.1.12.01.0036]</t>
  </si>
  <si>
    <t>[5.1.12.01.0037]</t>
  </si>
  <si>
    <t>[5.1.12.01.0045]</t>
  </si>
  <si>
    <t>[5.1.12.01.0049]</t>
  </si>
  <si>
    <t>[5.1.12.01.0051]</t>
  </si>
  <si>
    <t>[5.1.12.01.0052]</t>
  </si>
  <si>
    <t>[5.1.12.01.0055]</t>
  </si>
  <si>
    <t>[5.1.12.01.0061]</t>
  </si>
  <si>
    <t>[5.1.12.01.0066]</t>
  </si>
  <si>
    <t>[5.1.12.01.0070]</t>
  </si>
  <si>
    <t>[5.1.12.01.0073]</t>
  </si>
  <si>
    <t>[5.1.12.01.0074]</t>
  </si>
  <si>
    <t>[5.1.12.01.0075]</t>
  </si>
  <si>
    <t>[5.1.12.01.0076]</t>
  </si>
  <si>
    <t>[5.1.12.01.0077]</t>
  </si>
  <si>
    <t>[5.1.12.01.0078]</t>
  </si>
  <si>
    <t>[5.1.12.01.0079]</t>
  </si>
  <si>
    <t>[5.1.12.01.0080]</t>
  </si>
  <si>
    <t>[5.1.12.01.0081]</t>
  </si>
  <si>
    <t>[5.1.12.01.0082]</t>
  </si>
  <si>
    <t>[5.1.12.01.0083]</t>
  </si>
  <si>
    <t>[5.1.12.01.0084]</t>
  </si>
  <si>
    <t>[5.1.12.01.0085]</t>
  </si>
  <si>
    <t>[5.1.12.01.0086]</t>
  </si>
  <si>
    <t>[5.1.12.01.0087]</t>
  </si>
  <si>
    <t>[5.1.12.01.0088]</t>
  </si>
  <si>
    <t>[5.1.12.01.0089]</t>
  </si>
  <si>
    <t>[5.1.12.01.0090]</t>
  </si>
  <si>
    <t>[5.1.12.01.0091]</t>
  </si>
  <si>
    <t>[5.1.12.01.0092]</t>
  </si>
  <si>
    <t>[6.1.12.01.0010]</t>
  </si>
  <si>
    <t>[6.1.12.01.0021]</t>
  </si>
  <si>
    <t>[6.1.12.01.0023]</t>
  </si>
  <si>
    <t>[6.1.12.01.0036]</t>
  </si>
  <si>
    <t>[6.1.12.01.0037]</t>
  </si>
  <si>
    <t>[6.1.12.01.0045]</t>
  </si>
  <si>
    <t>[6.1.12.01.0049]</t>
  </si>
  <si>
    <t>[6.1.12.01.0051]</t>
  </si>
  <si>
    <t>[6.1.12.01.0052]</t>
  </si>
  <si>
    <t>[6.1.12.01.0055]</t>
  </si>
  <si>
    <t>[6.1.12.01.0061]</t>
  </si>
  <si>
    <t>[6.1.12.01.0066]</t>
  </si>
  <si>
    <t>[6.1.12.01.0070]</t>
  </si>
  <si>
    <t>[6.1.12.01.0073]</t>
  </si>
  <si>
    <t>[6.1.12.01.0074]</t>
  </si>
  <si>
    <t>[6.1.12.01.0075]</t>
  </si>
  <si>
    <t>[6.1.12.01.0076]</t>
  </si>
  <si>
    <t>[6.1.12.01.0077]</t>
  </si>
  <si>
    <t>[6.1.12.01.0078]</t>
  </si>
  <si>
    <t>[6.1.12.01.0079]</t>
  </si>
  <si>
    <t>[6.1.12.01.0080]</t>
  </si>
  <si>
    <t>[6.1.12.01.0081]</t>
  </si>
  <si>
    <t>[6.1.12.01.0082]</t>
  </si>
  <si>
    <t>[6.1.12.01.0083]</t>
  </si>
  <si>
    <t>[6.1.12.01.0084]</t>
  </si>
  <si>
    <t>[6.1.12.01.0085]</t>
  </si>
  <si>
    <t>[6.1.12.01.0086]</t>
  </si>
  <si>
    <t>[6.1.12.01.0087]</t>
  </si>
  <si>
    <t>[6.1.12.01.0088]</t>
  </si>
  <si>
    <t>[6.1.12.01.0089]</t>
  </si>
  <si>
    <t>[6.1.12.01.0090]</t>
  </si>
  <si>
    <t>[6.1.12.01.0091]</t>
  </si>
  <si>
    <t>[6.1.12.01.0092]</t>
  </si>
  <si>
    <t>INDÚSTRIA QUÍMICA DO ESTADO DE GOIÁS S/A - IQUEGO</t>
  </si>
  <si>
    <t>CNPJ: 01.541.283/00001-41</t>
  </si>
  <si>
    <t>Caixa e Equivalentes de Caixa no Início do Período</t>
  </si>
  <si>
    <t>IQUEGO - INDÚSTRIA QUÍMICA DO ESTADO DE GOIÁS S/A PRODUTOS PARA SAÚDE</t>
  </si>
  <si>
    <t>Caixa e Equivalentes de Caixa no Final do Período</t>
  </si>
  <si>
    <t>CNPJ: 01.541.283/0001-41</t>
  </si>
  <si>
    <t>VARIAÇÃO</t>
  </si>
  <si>
    <t>ATIVO</t>
  </si>
  <si>
    <t>NOTA</t>
  </si>
  <si>
    <t>CIRCULANTE</t>
  </si>
  <si>
    <t>Caixa e Equivalentes de Caixa</t>
  </si>
  <si>
    <t>Clientes a Receber</t>
  </si>
  <si>
    <t>(-) Aumento em Clientes a Receber</t>
  </si>
  <si>
    <t>Créditos Diversos</t>
  </si>
  <si>
    <t>(+) Redução em Créditos Diversos</t>
  </si>
  <si>
    <t>Adiantamentos</t>
  </si>
  <si>
    <t>(-) Aumento em Adiantamentos</t>
  </si>
  <si>
    <t>Estoques</t>
  </si>
  <si>
    <t>(-) Aumento em Estoques</t>
  </si>
  <si>
    <t>Outros Créditos</t>
  </si>
  <si>
    <t>(+) Redução em Outros Créditos</t>
  </si>
  <si>
    <t>NÃO CIRCULANTE</t>
  </si>
  <si>
    <t>Realizável a Longo Prazo</t>
  </si>
  <si>
    <t>(+)Redução de Realizável Longo Prazo</t>
  </si>
  <si>
    <t>Investimentos</t>
  </si>
  <si>
    <t>Imobilizado</t>
  </si>
  <si>
    <t>TOTAL DO ATIVO</t>
  </si>
  <si>
    <t>PASSIVO     </t>
  </si>
  <si>
    <t>Fornecedores</t>
  </si>
  <si>
    <t>(-) Redução em Fornecedores e Outras Contas a Pagar</t>
  </si>
  <si>
    <t>Obrigações Sociais e Trabalhistas</t>
  </si>
  <si>
    <t>(-) Redução em Obrig Socias,Trabalhistas e Provisões</t>
  </si>
  <si>
    <t>Obrigações Fiscais e Tributárias</t>
  </si>
  <si>
    <t>(+) Aumento em Obrigações Tributárias</t>
  </si>
  <si>
    <t xml:space="preserve">Adto de Clientes e Convênios </t>
  </si>
  <si>
    <t>(+) Aumento em Adto de Clientes e Convênios</t>
  </si>
  <si>
    <t>Outras Contas a Pagar</t>
  </si>
  <si>
    <t xml:space="preserve">NÃO CIRCULANTE </t>
  </si>
  <si>
    <t>Contas a Pagar  a Longo Prazo</t>
  </si>
  <si>
    <t>(+) Exigível Longo Prazo</t>
  </si>
  <si>
    <t>Obrigações Tributárias</t>
  </si>
  <si>
    <t>Provisões de Risco</t>
  </si>
  <si>
    <t>Tributos Diferidos</t>
  </si>
  <si>
    <t>Ajustes de tributos diferidos</t>
  </si>
  <si>
    <t>PATRIMÔNIO LÍQUIDO</t>
  </si>
  <si>
    <t>Capital Social</t>
  </si>
  <si>
    <t>Lucro (Prejuizos) Acumulados</t>
  </si>
  <si>
    <t>TOTAL DO PASSIVO</t>
  </si>
  <si>
    <t xml:space="preserve">Jose Carlos dos Santos                                                                               Vera Lucia Nunes dos Santos                                               </t>
  </si>
  <si>
    <t xml:space="preserve">Diretor Presidente                                                                                      Contadora CRC-Go 260008/0                                                      </t>
  </si>
  <si>
    <t xml:space="preserve">                                                                                                                            CPF nº 556.009.211-87                                                                </t>
  </si>
  <si>
    <t xml:space="preserve">  CNPJ: 01.541.283/0001-41</t>
  </si>
  <si>
    <t>DEMONSTRAÇÃO DO RESULTADO</t>
  </si>
  <si>
    <t>CONFERÊNCIA</t>
  </si>
  <si>
    <t>ORIGINAL</t>
  </si>
  <si>
    <t>DIFERENÇA</t>
  </si>
  <si>
    <t xml:space="preserve">RECEITAS </t>
  </si>
  <si>
    <t>RECEITAS OPERACIONAIS</t>
  </si>
  <si>
    <t>Outras receitas</t>
  </si>
  <si>
    <t>Dedução Receita (-)</t>
  </si>
  <si>
    <t xml:space="preserve">CUSTOS </t>
  </si>
  <si>
    <t>Custos com fabricação de Produtos</t>
  </si>
  <si>
    <t>DESPESAS</t>
  </si>
  <si>
    <t>RESULTADO ANTES DAS RECEITAS E DESP.FINANC</t>
  </si>
  <si>
    <t>Receitas Financeiras</t>
  </si>
  <si>
    <t>(-) Despesas Financeiras</t>
  </si>
  <si>
    <t>RESULTADO ANTES DO IRPJ E  CSLL</t>
  </si>
  <si>
    <t>(-) PROVISÃO DE IRPJ E CSLL</t>
  </si>
  <si>
    <t>RESULTADO LIQUÍDO DO EXERCÍCIO</t>
  </si>
  <si>
    <t xml:space="preserve">         </t>
  </si>
  <si>
    <t>Denes Pereira Alves                     Rondinelly Hélio dos Santos                              Kid Freire</t>
  </si>
  <si>
    <t>Diretor Presidente                        Diretor Adm / Financeiro                                CRC-Go 013415/0</t>
  </si>
  <si>
    <t xml:space="preserve">  Contador</t>
  </si>
  <si>
    <t xml:space="preserve">                      CNPJ Nº 01.541.283/0001-41</t>
  </si>
  <si>
    <t>DEMONSTRAÇÃO DAS MUTAÇÕES DO PATRIMONIO LÍQUIDO</t>
  </si>
  <si>
    <t>DOS EXERCÍCIOS FINDOS EM 31 DE DEZEMBRO DE 2022 E 2021</t>
  </si>
  <si>
    <t xml:space="preserve"> Resultado Acumulados </t>
  </si>
  <si>
    <t>Outros Resultados Abrangentes</t>
  </si>
  <si>
    <t>Total</t>
  </si>
  <si>
    <t>SALDOS EM 31.12.2020</t>
  </si>
  <si>
    <t>Prejuízo Líquido do exercício</t>
  </si>
  <si>
    <t xml:space="preserve">(+)Ajustes de exercício anteriores </t>
  </si>
  <si>
    <t>Constituição de Reserva de Lucro p/Expansão</t>
  </si>
  <si>
    <t>cs</t>
  </si>
  <si>
    <t>Reclassificação de Reserva</t>
  </si>
  <si>
    <t>rc</t>
  </si>
  <si>
    <t xml:space="preserve">Aumento de Capital </t>
  </si>
  <si>
    <t>lpa</t>
  </si>
  <si>
    <t xml:space="preserve"> Integralização de capital</t>
  </si>
  <si>
    <t>Sub a int</t>
  </si>
  <si>
    <t>Res exerc amt</t>
  </si>
  <si>
    <t>SALDOS EM 31.12.2021</t>
  </si>
  <si>
    <t xml:space="preserve">Aumento de capital </t>
  </si>
  <si>
    <t>Integralização de capital</t>
  </si>
  <si>
    <t>SALDOS EM 31.12.2022</t>
  </si>
  <si>
    <t xml:space="preserve">                      </t>
  </si>
  <si>
    <t>VARIAÇÃO CAPITAL SOCIAL REALIZADO</t>
  </si>
  <si>
    <t>INDUSTRIA QUIMICA DO ESTADO DE GOIÁS S/A - IQUEGO</t>
  </si>
  <si>
    <t>CNPJ 01.541.283/0001-41</t>
  </si>
  <si>
    <t>DEMONSTRAÇÃO DOS FLUXOS DE CAIXA - MÉTODO INDIRETO</t>
  </si>
  <si>
    <t>No exercício findo em 31 de dezembro de 2022 e 2021 (Em R$)</t>
  </si>
  <si>
    <t>FLUXOS DE CAIXA DAS ATIVIDADES OPERACIONAIS</t>
  </si>
  <si>
    <t>Resultado líquido do exercício</t>
  </si>
  <si>
    <t>Ajustes por:</t>
  </si>
  <si>
    <t>Provisão Contingência</t>
  </si>
  <si>
    <t>Ajustes de Exercícios Anteriores</t>
  </si>
  <si>
    <t>Ajustes de avaliação Patrimonial</t>
  </si>
  <si>
    <t>Reultado líquido após os ajustes</t>
  </si>
  <si>
    <t>(Aumento)/Redução de ativos circulantes</t>
  </si>
  <si>
    <t>(-) Despesas Antecipadas</t>
  </si>
  <si>
    <t>Aumento/(Redução) do passivo circulante</t>
  </si>
  <si>
    <t>(-) Redução Emprestimo e Financiamento</t>
  </si>
  <si>
    <t>Caixa gerado pelas atividades operacionais</t>
  </si>
  <si>
    <t>(-) Juros pagos</t>
  </si>
  <si>
    <t>(-) IRPJ/CSLL pagos</t>
  </si>
  <si>
    <t>Caixa líquido proveniente das atividades operacionais</t>
  </si>
  <si>
    <t>FLUXOS DE CAIXA DAS ATIVIDADES DE INVESTIMENTO</t>
  </si>
  <si>
    <t>Deposito Judicial/Recursal</t>
  </si>
  <si>
    <t>Resgate de Depósito Judicial/Recursal</t>
  </si>
  <si>
    <t>Aplicações líquidas em ativos imobilizados e intangíveis</t>
  </si>
  <si>
    <t>FLUXOS DE CAIXA DAS ATIVIDADES DE FINANCIAMENTO</t>
  </si>
  <si>
    <t>Integralização de Capital</t>
  </si>
  <si>
    <t>Pagto. De Ctas a Pagar L.P.</t>
  </si>
  <si>
    <t>Pagamento por Impostos Parcelados</t>
  </si>
  <si>
    <t>Pagamento Processo Trabalhista</t>
  </si>
  <si>
    <t xml:space="preserve"> </t>
  </si>
  <si>
    <t>Caixa líquido proveniente das atividades de financiamento</t>
  </si>
  <si>
    <t>VARIAÇÃO LÍQUIDA DE CAIXA E EQUIVALENTE DE CAIXA</t>
  </si>
  <si>
    <t>As Notas Explicativas são parte integrante das Demonstrações Financeiras</t>
  </si>
  <si>
    <t>REPRESENTANTE LEGAL</t>
  </si>
  <si>
    <t>RESPONSÁVEL TÉCNICO</t>
  </si>
  <si>
    <t xml:space="preserve">Jose Carlos dos Santos                                                                                                   Vera Lucia Nunes dos Santos                                               </t>
  </si>
  <si>
    <t xml:space="preserve">Diretor Presidente                                                                                                           Contadora CRC-Go 260008/0                                                      </t>
  </si>
  <si>
    <t xml:space="preserve">                                                                                                                                                           CPF nº 556.009.211-87                                                                </t>
  </si>
  <si>
    <t>Nat</t>
  </si>
  <si>
    <t>ATIVO - [1]</t>
  </si>
  <si>
    <t>56.773.531,62D</t>
  </si>
  <si>
    <t>Ativo - [16444]</t>
  </si>
  <si>
    <t>20.887.204,13D</t>
  </si>
  <si>
    <t>BENS NUMERARIOS - [4]</t>
  </si>
  <si>
    <t>6.903.819,09D</t>
  </si>
  <si>
    <t>2.861.198,37D</t>
  </si>
  <si>
    <t>DEPOSITOS BANCARIOS - [9]</t>
  </si>
  <si>
    <t>509.731,36D</t>
  </si>
  <si>
    <t>BANCO DO BRASIL S/A - C/C 6.091-7 - [11]</t>
  </si>
  <si>
    <t>BANCO ITAU S/A - C/C 1.399-5 - [12]</t>
  </si>
  <si>
    <t>BANCO CEF S/A C/C 1661-5 - [8559]</t>
  </si>
  <si>
    <t>BANCO CEF S/A - C/C 2385-9 - [11530]</t>
  </si>
  <si>
    <t>BANCO DO BRASIL S/A C/C 7096-3 - [12888]</t>
  </si>
  <si>
    <t>BANCO CEF S/A - C/C 0264-4 - [14064]</t>
  </si>
  <si>
    <t>BANCO NO BRASIL - OP - [15870]</t>
  </si>
  <si>
    <t>BANCO ITAU S/A C/C 10744-2 - [16283]</t>
  </si>
  <si>
    <t>CONTA ÚNICA Nº 100004 - GOV. GOIÁS - FILIAL - [16997]</t>
  </si>
  <si>
    <t>CONTA ÚNICA Nº 100004 - GOV. GOIÁS - MATRIZ - [17004]</t>
  </si>
  <si>
    <t>256.777,19D</t>
  </si>
  <si>
    <t>APLICAÇÕES FINANCEIRAS - [30]</t>
  </si>
  <si>
    <t>5.473,17D</t>
  </si>
  <si>
    <t>BANCO ITAU S/A C/C 1399-5 - [5425]</t>
  </si>
  <si>
    <t>BANCO DO BRASIL C/P 6091-7 - [3898]</t>
  </si>
  <si>
    <t>BANCO CEF S/A C/P 1866-9  - [10606]</t>
  </si>
  <si>
    <t>BANCO ITAU S/A C/C 10744-2 - [16857]</t>
  </si>
  <si>
    <t>POUPANÇA - [13658]</t>
  </si>
  <si>
    <t>BANCO CEF S/A C/POUP 1866-9 CONV 787297/2013 - [13665]</t>
  </si>
  <si>
    <t>CREDITOS - [48]</t>
  </si>
  <si>
    <t>1.889.386,78D</t>
  </si>
  <si>
    <t>DUPLICATAS A RECEBER - [49]</t>
  </si>
  <si>
    <t>1.613.764,58D</t>
  </si>
  <si>
    <t>FUNDO DE SAUDE DE NOVA IGUAÇU - GO - [198]</t>
  </si>
  <si>
    <t>FUNDO DE SAUDE ALTO ALEGRE DOS PARECIS R - [4552]</t>
  </si>
  <si>
    <t>PREFEITURA MUNICIPAL DE VIANOPOLIS - [5460]</t>
  </si>
  <si>
    <t>INSTITUTO DE CIENCIAS FARMACEUTICAS - [8286]</t>
  </si>
  <si>
    <t>MINISTERIO DA SAUDE  - [8615]</t>
  </si>
  <si>
    <t>FUNDO DE SAUDE DE EDEIA GO - [9259]</t>
  </si>
  <si>
    <t>FUNDO DE SAUDE DE MARA ROSA - [10755]</t>
  </si>
  <si>
    <t>FUNDO DE SAUDE DE CALDAS NOVAS GO - [10874]</t>
  </si>
  <si>
    <t>FUNDO  DE SAUDE DE IPAMERI   GO - [11042]</t>
  </si>
  <si>
    <t>FUNDO DE SAUDE DE TURVANIA  GO  - [11698]</t>
  </si>
  <si>
    <t>FUNDO DE SAUDE DE NOVO PLANALTO DE GOIAS - GO - [11768]</t>
  </si>
  <si>
    <t>FUNDO DE SAUDE DE LEOPOLDO DE BULHOES -GO - [11824]</t>
  </si>
  <si>
    <t>FUNDO DE SAUDE DE GOIANAPOLIS - GO - [11992]</t>
  </si>
  <si>
    <t>PREFEITURA DE QUERENCIA MT - [12279]</t>
  </si>
  <si>
    <t>FUNDO DE SAÚDE DE MIRANTE DA SERRA RO - [12405]</t>
  </si>
  <si>
    <t>FUNDO DE SAUDE DE CALDAZINHA GO - [12447]</t>
  </si>
  <si>
    <t>FUNDO DE SAUDE DE URUTAI GO - [12454]</t>
  </si>
  <si>
    <t>FUNDO DE SAUDE DE SOBRAL  CE - [12538]</t>
  </si>
  <si>
    <t>FUNDO DE SAUDE DE PALMELO  GO  - [12545]</t>
  </si>
  <si>
    <t>FUNDO DE SAUDE DE ITAJA  GO  - [12552]</t>
  </si>
  <si>
    <t>FUNDO DE SAUDE DE MAIRIPOTABA  GO - [12818]</t>
  </si>
  <si>
    <t>FUNDO DE SAUDE DE TRES RANCHOS  GO  - [12832]</t>
  </si>
  <si>
    <t>FUNDO DE SAUDE DE ALOANDIA GO - [12923]</t>
  </si>
  <si>
    <t>FUNDO DE SAUDE DE ALTO HORIZONTE  GO - [12930]</t>
  </si>
  <si>
    <t>FUNDO DE SAUDE DE CASTELANDIA  GO  - [13350]</t>
  </si>
  <si>
    <t>FUNDO DE SAUDE ARAGUAPAZ  GO - [13693]</t>
  </si>
  <si>
    <t>FUNDO DE SAUDE DE THEOBROMA  RO  - [13721]</t>
  </si>
  <si>
    <t>FUNDO MUNICIPAL DE SAUDE DE PORTEIRAO - [13203]</t>
  </si>
  <si>
    <t>CORPO DE BOMBEIROS MILITAR DO EST DO CEARA CE - [13917]</t>
  </si>
  <si>
    <t>FUNDO DE SAUDE DE SANTANA DO ARAGUAIA PA - [14141]</t>
  </si>
  <si>
    <t>FUNDO DE SAUDE DE LABREA  AM - [14148]</t>
  </si>
  <si>
    <t>FUNDO DE SAUDE DE CAMAPUA  MS - [14162]</t>
  </si>
  <si>
    <t>FUNDO DE SAUDE PIRACURUCA  PI - [14358]</t>
  </si>
  <si>
    <t>FUNDO DE SAUDE DIANOPOLIS TO - [14372]</t>
  </si>
  <si>
    <t>FUNDO DE SAÚDE DE CONCEIÇÃO DO TOCANTINS  TO - [14617]</t>
  </si>
  <si>
    <t>FUNDO DE SAUDE DE COLORADO DO OESTE  RO  - [14659]</t>
  </si>
  <si>
    <t>PREFEITURA MUNICIPAL DE CABIXI RO - [14757]</t>
  </si>
  <si>
    <t>FUNDO DE SAUDE DE SANCRERLANDIA  GO - [15002]</t>
  </si>
  <si>
    <t>FUNDO SAUDE DE DOVERLANDIA  GO  - [15016]</t>
  </si>
  <si>
    <t>FUNDO DE SAUDE DE AQUIDAUANA  MS - [15128]</t>
  </si>
  <si>
    <t>PREFEITURA DE GUARULHOS  SP - [15443]</t>
  </si>
  <si>
    <t>FUNDO DE SAUDE DE RUBIATABA  GO - [15464]</t>
  </si>
  <si>
    <t>FUNDO MUNICIPAL DE SAUDE DE GOIANIA   GO - [15814]</t>
  </si>
  <si>
    <t>FUNDO DE SAUDE ALTA FLORESTA DO OESTE - [15849]</t>
  </si>
  <si>
    <t>CONSORCIO INTERGESTORES PARANÁ SAÚDE- PR - [16122]</t>
  </si>
  <si>
    <t>FUNDO MUNICIPAL DE SAUDE DE AGUA AZUL DO - [16360]</t>
  </si>
  <si>
    <t>FUNDO ESTADUAL DE SAUDE DE GOIÁS  - [16374]</t>
  </si>
  <si>
    <t>CONSORCIO INTERM. DE SAUDE DO MEDIO VALE ITAJAÍ SC - [16381]</t>
  </si>
  <si>
    <t>CONSORCIO INTERMUNICIPAL DO SUL DO ESTADO ALAGOAS  - [16416]</t>
  </si>
  <si>
    <t>FUNDO ESTADUAL DE SAUDE FUNDES CE - [16549]</t>
  </si>
  <si>
    <t>FUNDO DE SAUDE DE PORTO BELO  SC - [16556]</t>
  </si>
  <si>
    <t>MUNICIPIO DE TRIUNFO  PB - [16605]</t>
  </si>
  <si>
    <t>RIO GRANDE DO NORTE SECRETARIA SAUDE PUBLICA  RN - [16619]</t>
  </si>
  <si>
    <t>ASSOCIAÇÃO REGIONAL DO SUDOESTE ARSS  PR - [16668]</t>
  </si>
  <si>
    <t>FUNDO DE CACHOEIRO DE ITAPEMIRIM - [16780]</t>
  </si>
  <si>
    <t>FUNDO DE SAUDE DE BOM JARDIM  RJ - [16822]</t>
  </si>
  <si>
    <t>EMPRESA BRAS. SERV. HOSP. - EBSERH  MG - [17137]</t>
  </si>
  <si>
    <t>FUNDO DE SAUDE DE LAGARTO  SE - [17144]</t>
  </si>
  <si>
    <t>EMPRESA BRAS. SERV. HOSP. - EBSERH  BA - [17151]</t>
  </si>
  <si>
    <t>FUNDO MUNICIPAL DE SAUDE DE MONSENHOR TA - [16878]</t>
  </si>
  <si>
    <t>HOSPITAL UNIVERSITARIO DA GRANDE DOURADO - [16871]</t>
  </si>
  <si>
    <t>HOSPITAL DR. JOSÉ PEDRO BEZERRA  RN - [17249]</t>
  </si>
  <si>
    <t>HOSPITAL GERAL JUIZ DE FORA  MG - [17256]</t>
  </si>
  <si>
    <t>FUNDO DE SAUDE DE TRIUNFO  PB - [17417]</t>
  </si>
  <si>
    <t>(-) DUPLICATAS RECEBIDAS - [300]</t>
  </si>
  <si>
    <t>RECEBIMENTOS A CLASSIFICAR - [6378]</t>
  </si>
  <si>
    <t>OUTROS CREDITOS - [311]</t>
  </si>
  <si>
    <t>2.432.944,75D</t>
  </si>
  <si>
    <t>ANTECIPACÕES - [500]</t>
  </si>
  <si>
    <t>ADIANTAMENTOS 13º SALARIO - [502]</t>
  </si>
  <si>
    <t>ADIANTAMENTOS DE FERIAS - [503]</t>
  </si>
  <si>
    <t>IMPOSTOS A COMPENSAR - [550]</t>
  </si>
  <si>
    <t>1.269.755,92D</t>
  </si>
  <si>
    <t>2.331.952,69D</t>
  </si>
  <si>
    <t>CSLL PAGO A MAIOR OU INDEVIDO - [552]</t>
  </si>
  <si>
    <t>CSLL RETIDO NA FONTE - [553]</t>
  </si>
  <si>
    <t>IMPOSTO DE RENDA RETIDO NA FONTE - [554]</t>
  </si>
  <si>
    <t>COFINS - [562]</t>
  </si>
  <si>
    <t>PASEP - [564]</t>
  </si>
  <si>
    <t>CSRF 5952 PAGO A MAIOR OU INDEVIDO - [14022]</t>
  </si>
  <si>
    <t>OUTROS CREDITOS - [575]</t>
  </si>
  <si>
    <t>71,96D</t>
  </si>
  <si>
    <t>BANCO REAL S/A - [576]</t>
  </si>
  <si>
    <t>ELETROBRAS S/A - [577]</t>
  </si>
  <si>
    <t>GERASUL - [578]</t>
  </si>
  <si>
    <t>OPERAÇÕES COM A MATRIZ - [13231]</t>
  </si>
  <si>
    <t>CRÉDITOS COM MATRIZ - [14078]</t>
  </si>
  <si>
    <t>OPERAÇÕES COM A FILIAL - [13280]</t>
  </si>
  <si>
    <t>CRÉDITOS COM FILIAL - [13287]</t>
  </si>
  <si>
    <t>OPERAÇÕES COM PARCEIROS - [15632]</t>
  </si>
  <si>
    <t>ANTECIPAÇÃO A PARCEIROS HMD - [15639]</t>
  </si>
  <si>
    <t>ANTECIPAÇÃO A PARCEIROS = GREENPHARMA - [15961]</t>
  </si>
  <si>
    <t>PRODUTOS - [580]</t>
  </si>
  <si>
    <t>120.930,33D</t>
  </si>
  <si>
    <t>PRODUTOS ACABADOS - [581]</t>
  </si>
  <si>
    <t>(-) PROVISÃO PARA PERDAS EM ESTOQUE - [10599]</t>
  </si>
  <si>
    <t>ESTOQUE DE MERCADORIA - MEDIDOR GLICOSE - [12237]</t>
  </si>
  <si>
    <t>ESTOQUE DE MERCADORIA - TIRAS DE TESTE - [12244]</t>
  </si>
  <si>
    <t>ESTOQUE - IQ. ALCOOL GEL 70%  - 1 LITRO - [16017]</t>
  </si>
  <si>
    <t>ESTOQUE - IQ. ALCOOL GEL 70%  - 440G - [16024]</t>
  </si>
  <si>
    <t>ESTOQUE - IQ. ALCOOL GEL 70% -  5 L - [16031]</t>
  </si>
  <si>
    <t>ESTOQUE - IQ. ALCOOL LIQ 70%  - 1 LITRO - [16038]</t>
  </si>
  <si>
    <t>SOLUÇÃO CONTROLE DE GLICOSE - [16220]</t>
  </si>
  <si>
    <t>BATERIA DE LITIO CR 2032 - GLUCOLEADER - [16227]</t>
  </si>
  <si>
    <t>CABO GLUCOLEADER 2 SAIDAS E CABO USB OKMETER BRANC - [16584]</t>
  </si>
  <si>
    <t>MEDIDOR DE GLICOSE SANG OKMETER MATCH II GOD CX 1 - [16591]</t>
  </si>
  <si>
    <t>TIRA DE TESTE DE GLIC SANG OKMETER MATCH II CX 50 - [16598]</t>
  </si>
  <si>
    <t>SAHS HUNT 76 LIQUIDO (HIPOCLORIDO DE CALCIO) - [17578]</t>
  </si>
  <si>
    <t>MATERIAIS - [588]</t>
  </si>
  <si>
    <t>16.372,58D</t>
  </si>
  <si>
    <t>MATERIAS-PRIMAS - [589]</t>
  </si>
  <si>
    <t>ESTOQUE MATERIA PRIMA - [590]</t>
  </si>
  <si>
    <t>10.875,00D</t>
  </si>
  <si>
    <t>SAHS HUNT 76 LIQUIDO ( HIPOCLORREIDO DE CALCIO) - [17692]</t>
  </si>
  <si>
    <t>5.497,58D</t>
  </si>
  <si>
    <t>EMBALAGENS - [609]</t>
  </si>
  <si>
    <t>349.578,28D</t>
  </si>
  <si>
    <t>EMBALAGENS - [610]</t>
  </si>
  <si>
    <t>ESTOQUE DE EMBALAGENS - [611]</t>
  </si>
  <si>
    <t>(-) PROVISÃO DE PERDA DE ESTOQUE - [7580]</t>
  </si>
  <si>
    <t>MERCADORIAS P/ REVENDA  - [629]</t>
  </si>
  <si>
    <t>3.498.392,74D</t>
  </si>
  <si>
    <t>MERCADORIAS P/ REVENDA - [630]</t>
  </si>
  <si>
    <t>SOLUÇÃO CONTOLE DE GLICOSE - [17657]</t>
  </si>
  <si>
    <t>15.037,61D</t>
  </si>
  <si>
    <t>BATERIA DE LITIO CR 2032 - GLUCOLEADER - [17664]</t>
  </si>
  <si>
    <t>8.083,82D</t>
  </si>
  <si>
    <t>CABO GLUCOLEADER 2 SAIDAS E CABO USB OKMETER - [17671]</t>
  </si>
  <si>
    <t>329,84D</t>
  </si>
  <si>
    <t>MEDIDOR DE GLICOSE SANG OKMETER MATCH II GOD - [17678]</t>
  </si>
  <si>
    <t>384.752,36D</t>
  </si>
  <si>
    <t>TIRA DE TESTE DE GLICOSE OKMETER MATCH - [17685]</t>
  </si>
  <si>
    <t>3.090.189,11D</t>
  </si>
  <si>
    <t>COMPRAS PARA ENTREGA FUTURA - [654]</t>
  </si>
  <si>
    <t>[1.1.37]</t>
  </si>
  <si>
    <t>6.393.073,31D</t>
  </si>
  <si>
    <t>COMPRAS PARA ENTREGA FUTURA - [655]</t>
  </si>
  <si>
    <t>[1.1.37.01]</t>
  </si>
  <si>
    <t>ESTOQUE DE MERCADORIA - MEDIDOR GLICOSE - [3314]</t>
  </si>
  <si>
    <t>[1.1.37.01.0011]</t>
  </si>
  <si>
    <t>ESTOQUE DE MERCADORIA - TIRAS DE TESTE - [3321]</t>
  </si>
  <si>
    <t>[1.1.37.01.0012]</t>
  </si>
  <si>
    <t>ALMOXARIFADO DE CONSUMO - [3784]</t>
  </si>
  <si>
    <t>1.465.155,60D</t>
  </si>
  <si>
    <t>ALMOXARIFADO DE CONSUMO - [3791]</t>
  </si>
  <si>
    <t>ESTOQUE ALMOXARIFADO DE CONSUMO - [3798]</t>
  </si>
  <si>
    <t>EQUIPAMENTOS - [16346]</t>
  </si>
  <si>
    <t>DESP. DIFERIDAS / ANTECIPADAS - [681]</t>
  </si>
  <si>
    <t>1.860.171,39D</t>
  </si>
  <si>
    <t>DESPESAS DIFERIDA S/ ANTECIPADAS - [682]</t>
  </si>
  <si>
    <t>BLOQUEIOS JUDICIAIS - [683]</t>
  </si>
  <si>
    <t>1.859.292,07D</t>
  </si>
  <si>
    <t>PREMIOS DE SEGUROS - [688]</t>
  </si>
  <si>
    <t>879,32D</t>
  </si>
  <si>
    <t>VALE TRANSPORTE - [690]</t>
  </si>
  <si>
    <t>Creditos longo prazo - [16451]</t>
  </si>
  <si>
    <t>35.886.327,49D</t>
  </si>
  <si>
    <t>CREDITOS DE LONGO PRAZO - [702]</t>
  </si>
  <si>
    <t>6.256.695,30D</t>
  </si>
  <si>
    <t>7.492.499,30D</t>
  </si>
  <si>
    <t>VALORES MOBILIARIOS - [710]</t>
  </si>
  <si>
    <t>ELETROBRAS - [711]</t>
  </si>
  <si>
    <t>PETROBRAS - [712]</t>
  </si>
  <si>
    <t>OUTROS CREDITOS - [5012]</t>
  </si>
  <si>
    <t>7.487.880,39D</t>
  </si>
  <si>
    <t>DEPOSITOS JUDICIAIS - [5054]</t>
  </si>
  <si>
    <t>DEPOSITOS RECURSAIS - [2323]</t>
  </si>
  <si>
    <t>APLICAÇÕES C/ RECURSOS PROPRIOS - [716]</t>
  </si>
  <si>
    <t>52.634,40D</t>
  </si>
  <si>
    <t>APLICAÇÕES DE INCENTIVOS FISCAIS - [717]</t>
  </si>
  <si>
    <t>TELEGOIAS - [718]</t>
  </si>
  <si>
    <t>ELETROBRAS - [719]</t>
  </si>
  <si>
    <t>SRI-COM. SERV. REC. INFORMAÇÃO SA - [720]</t>
  </si>
  <si>
    <t>PATROCINIO CULTURAL - [721]</t>
  </si>
  <si>
    <t>TRACTEBEL (ENERGIA) S/A - [722]</t>
  </si>
  <si>
    <t>BANCOOB - [723]</t>
  </si>
  <si>
    <t>APLICAÇÕES INCENTIVADAS - [730]</t>
  </si>
  <si>
    <t>SUDAM - [731]</t>
  </si>
  <si>
    <t>FISET - [732]</t>
  </si>
  <si>
    <t>INCENTIVO A INFORMATICA - [733]</t>
  </si>
  <si>
    <t>IMOBILIZAÇÕES TÉCNICAS - [751]</t>
  </si>
  <si>
    <t>61.259.071,98D</t>
  </si>
  <si>
    <t>28.341.193,79D</t>
  </si>
  <si>
    <t>IMOVEIS DE USO - [752]</t>
  </si>
  <si>
    <t>31.320.759,48D</t>
  </si>
  <si>
    <t>TERRENOS - [753]</t>
  </si>
  <si>
    <t>12.378.857,80D</t>
  </si>
  <si>
    <t>PREDIO INDUSTRIAL - [754]</t>
  </si>
  <si>
    <t>SEDE ADMINISTRATRIVA I - [755]</t>
  </si>
  <si>
    <t>SEDE ADMINISTRATIVA II - [756]</t>
  </si>
  <si>
    <t>REFEITÓRIO - [757]</t>
  </si>
  <si>
    <t>MUROS ALAMBRADOS - [758]</t>
  </si>
  <si>
    <t>EDIFICAÇÕES EM ANDAMENTO - [759]</t>
  </si>
  <si>
    <t>OUTRAS CONSTRUÇÕES - [760]</t>
  </si>
  <si>
    <t>ALMORAXIFADO  - [761]</t>
  </si>
  <si>
    <t>LAB. CONTROLE DE QUALIDADE - [762]</t>
  </si>
  <si>
    <t>TERRENOS CUSTO ATRIBUIDO AAP - [17011]</t>
  </si>
  <si>
    <t>PREDIO INDUSTRIAL CUSTO ATRIBUIDO AAP - [17018]</t>
  </si>
  <si>
    <t>SEDE ADM CUSTO ATRIBUIDO AAP - [17025]</t>
  </si>
  <si>
    <t>SEDE ADMINISTRATIVA II CUSTO ATRIBUIDO AAP - [17060]</t>
  </si>
  <si>
    <t>REFEITORIO CUSTO ATRIBUIDO AAP - [17067]</t>
  </si>
  <si>
    <t>OUTRAS CONSTRUÇÕES CUSTO ATRIBUIDO AAP - [17074]</t>
  </si>
  <si>
    <t>ALMOXARIFADO CUSTO ATRIBUIDO AAP - [17081]</t>
  </si>
  <si>
    <t>EDIFICAÇÕES EM ANDAMENTO CUSTO ATRIBUIDO AAP - [17088]</t>
  </si>
  <si>
    <t>MUROS E ALAMBRADOS CUSTO ATRIBUIDO AAP - [17095]</t>
  </si>
  <si>
    <t>EDIFICIO FARMACIA POPULAR - [17579]</t>
  </si>
  <si>
    <t>494.205,00D</t>
  </si>
  <si>
    <t>PERDA POR IMPAIRMENT - [17699]</t>
  </si>
  <si>
    <t>MAQUINAS E FERRAMENTAS - [763]</t>
  </si>
  <si>
    <t>20.901.731,47D</t>
  </si>
  <si>
    <t>INDUSTRIA -  MAQ. FERR. - [764]</t>
  </si>
  <si>
    <t>LAB. CONTROLE DE QUALIDADE-  MAQ. FERR. - [765]</t>
  </si>
  <si>
    <t>ALMOXARIFADO -  MAQ. FERR. - [766]</t>
  </si>
  <si>
    <t>OFICINA-  MAQ. FERR. - [767]</t>
  </si>
  <si>
    <t>ADMINISTRAÇÃO I -  MAQ. FERR. - [768]</t>
  </si>
  <si>
    <t>LAVANDERIA-  MAQ. FERR. - [770]</t>
  </si>
  <si>
    <t>OUTROS-  MAQ. FERR. - [771]</t>
  </si>
  <si>
    <t>FARMACIA POPULAR-  MAQ. FERR. - [772]</t>
  </si>
  <si>
    <t>MOVEIS E UTENSILIOS - [773]</t>
  </si>
  <si>
    <t>687.191,35D</t>
  </si>
  <si>
    <t>INDUSTRIA - MOV. E UTENS. - [774]</t>
  </si>
  <si>
    <t>LAB. CONTROLE DE QUALIDADE- MOV. E UTENS. - [775]</t>
  </si>
  <si>
    <t>ALMOXARIFADO - MOV. E UTENS. - [776]</t>
  </si>
  <si>
    <t>ADMINISTRAÇÃO I - MOV. E UTENS. - [778]</t>
  </si>
  <si>
    <t>FARMACIA POPULAR - MOV. E UTENS. - [782]</t>
  </si>
  <si>
    <t>INSTALAÇÕES - [783]</t>
  </si>
  <si>
    <t>3.202.809,30D</t>
  </si>
  <si>
    <t>INDUSTRIA - INSTALAÇÃO - [784]</t>
  </si>
  <si>
    <t>LAB. CONTROLE DE QUALIDADE - INSTAL. - [785]</t>
  </si>
  <si>
    <t>ALMOXARIFADO- INSTALAÇÃO - [786]</t>
  </si>
  <si>
    <t>OFICINA- INSTALAÇÃO - [787]</t>
  </si>
  <si>
    <t>ADMINISTRAÇÃO I- INSTALAÇÃO - [788]</t>
  </si>
  <si>
    <t>INDUSTRIA-INSTALAÇÃO CUSTO ATRIBUIDO AAP - [17102]</t>
  </si>
  <si>
    <t>LAB.CONTROLE DE QUALIDADE INST CUSTO ATRIBUIDO AAP - [17109]</t>
  </si>
  <si>
    <t>ALMOXARIFADO-INSTALAÇÃO CUSTO ATRIBUIDO AAP - [17116]</t>
  </si>
  <si>
    <t>OFICINA-INSTALAÇÃO CUSTO ATRIBUIDO AAP - [17123]</t>
  </si>
  <si>
    <t>ADMINISTRAÇÃO I-INSTALAÇÃO CUSTO ATRIBUIDO AAP - [17130]</t>
  </si>
  <si>
    <t>BIBLIOTECA - [793]</t>
  </si>
  <si>
    <t>INDUSTRIA - BIBLIOT. - [794]</t>
  </si>
  <si>
    <t>LAB. CONTROLE DE QUALIDADE - BIBLIOT. - [795]</t>
  </si>
  <si>
    <t>ADMINISTRAÇÃO I - BIBLIOT. - [796]</t>
  </si>
  <si>
    <t>VEICULOS - [797]</t>
  </si>
  <si>
    <t>ADMINISTRAÇÃO I- VEÍCULOS - [799]</t>
  </si>
  <si>
    <t>EQUIPAMENTOS P/ PROCESSAMENTOS DE DADOS - [801]</t>
  </si>
  <si>
    <t>INDUSTRIA - EQUIP. PROC. DADOS - [802]</t>
  </si>
  <si>
    <t>LAB. CONTROLE DE QUALIDADE- EQUIP. PROC. DADOS - [803]</t>
  </si>
  <si>
    <t>ALMOXARIFADO - EQUIP. PROC. DADOS - [804]</t>
  </si>
  <si>
    <t>ADMINISTRAÇÃO- EQUIP. PROC. DADOS - [805]</t>
  </si>
  <si>
    <t>FARMACIA POPULAR- EQUIP. PROC. DADOS - [806]</t>
  </si>
  <si>
    <t>SISTEMAS P/ PROCESSAMENTOS DE DADOS - [808]</t>
  </si>
  <si>
    <t>INDUSTRIA - SIST. PROC. DADOS - [809]</t>
  </si>
  <si>
    <t>ALMOXARIFADO - SIST. PROC. DADOS - [811]</t>
  </si>
  <si>
    <t>ADMINISTRAÇÃO I - SIST. PROC. DADOS - [812]</t>
  </si>
  <si>
    <t>DIREITO USO LINHA TELEFONICA - [814]</t>
  </si>
  <si>
    <t>TELEGOIAS S/A - [815]</t>
  </si>
  <si>
    <t>FUNDO DE DEPRECIAÇÃO - [844]</t>
  </si>
  <si>
    <t>IMOVEIS DE USO - [845]</t>
  </si>
  <si>
    <t>MAQUINAS, APARELHOS E FERRAMENTAS - [846]</t>
  </si>
  <si>
    <t>MOVEIS E UTENSILIOS - [847]</t>
  </si>
  <si>
    <t>INSTALAÇÕES - [848]</t>
  </si>
  <si>
    <t>BIBLIOTECA - [849]</t>
  </si>
  <si>
    <t>VEICULOS - [850]</t>
  </si>
  <si>
    <t>EQUIP. P/ PROCESSAMENTOS DE DADOS - [851]</t>
  </si>
  <si>
    <t>SISTEMAS DE PROCESSAMENTOS DE DADOS - [852]</t>
  </si>
  <si>
    <t>PREDIO INDUSTRIAL CUSTO ATRIBUIDO AAP - [17438]</t>
  </si>
  <si>
    <t>SEDE ADMINISTRATIVA CUSTO ATRIBUIDO AAP - [17445]</t>
  </si>
  <si>
    <t>SEDE ADMINISTRATIVA II CUSTO ATRIBUIDO AAP - [17452]</t>
  </si>
  <si>
    <t>REFEITÓRIO CUSTO ATRIBUIDO AAP - [17459]</t>
  </si>
  <si>
    <t>OUTRAS CONSTRUÇÕES CUSTO ATRIBUIDO AAP - [17466]</t>
  </si>
  <si>
    <t>ALMOXARIFADO CUSTO ATRIBUIDO AAP - [17473]</t>
  </si>
  <si>
    <t>PASSIVO - [2000]</t>
  </si>
  <si>
    <t>91.091.292,63C</t>
  </si>
  <si>
    <t>56.773.531,62C</t>
  </si>
  <si>
    <t>Passivo - [16458]</t>
  </si>
  <si>
    <t>36.773.124,05C</t>
  </si>
  <si>
    <t>FORNECEDORES - [2003]</t>
  </si>
  <si>
    <t>22.361.297,76C</t>
  </si>
  <si>
    <t>22.911.739,98C</t>
  </si>
  <si>
    <t>FORNECEDORES DE MATERIA-PRIMA - [2004]</t>
  </si>
  <si>
    <t>FUNDAÇÃO REMEDIO POPULAR - FURP - [2013]</t>
  </si>
  <si>
    <t>JOINT BILL REP.COMERCIAIS LTDA - [2020]</t>
  </si>
  <si>
    <t>JKLAB QUIM. DIAG. E SEGURANÇA LTDA - [4184]</t>
  </si>
  <si>
    <t>LIO SERUM PRODUTOS LABORATORIAIS E HOSPITALARES - [12846]</t>
  </si>
  <si>
    <t>NORTEC QUIMICA S/A - [13861]</t>
  </si>
  <si>
    <t>FORNECEDORES DE EMBALAGENS - [2200]</t>
  </si>
  <si>
    <t>29.498,10C</t>
  </si>
  <si>
    <t>GRAFICA E EDITORA ALIANÇA LTDA - [2208]</t>
  </si>
  <si>
    <t>GRAFICA EDITORA FABERPRINT LTDA - [9511]</t>
  </si>
  <si>
    <t>INTERLABEL ETIQUETAS E RÓTULOS EIRELI EPP - [10711]</t>
  </si>
  <si>
    <t>FORNECEDORES DE MERCADORIAS - [2300]</t>
  </si>
  <si>
    <t>HMD BIOMEDICAL INTERNATIONAL INC - [12251]</t>
  </si>
  <si>
    <t>FORNECEDORES DE MATERIAL DE CONSUMO - [2400]</t>
  </si>
  <si>
    <t>300.841,14C</t>
  </si>
  <si>
    <t>DIRECTA COM.SERV. E SOLUÇÕES LTDA - [2415]</t>
  </si>
  <si>
    <t>OBJETIVA PROD. E SERVIÇOS P/ LABORATORIOS  - [2456]</t>
  </si>
  <si>
    <t>MAXLAB PROD. P/ DIAGNOSTICO E PESQUISAS - [2458]</t>
  </si>
  <si>
    <t>WHITE MARTINS GASES INDUST. LTDA - [3179]</t>
  </si>
  <si>
    <t>REI PLACAS CONFECÇÃO DE PLACAS LTDA - [8986]</t>
  </si>
  <si>
    <t>NFG. COMERCIAL LTDA ME - [10372]</t>
  </si>
  <si>
    <t>BR MIX COMERCIO E SERV. LTDA - [10540]</t>
  </si>
  <si>
    <t>DIGITAL PAPELARIA E INFORMATICA LTDA - [10561]</t>
  </si>
  <si>
    <t>FORNECEDORES DIVERSOS - [7587]</t>
  </si>
  <si>
    <t>MODERNA COMERCIAL DE PAPEIS LTDA - [7601]</t>
  </si>
  <si>
    <t>KADU COMERCIO E SERVIÇO LTDA  - [10705]</t>
  </si>
  <si>
    <t>CIANORTH COMERCIO E SERVIÇOS LTDA - ME - [6347]</t>
  </si>
  <si>
    <t>FRUGATTE E TROIA CONFECÇÕES LTDA-EPP - [6452]</t>
  </si>
  <si>
    <t>RDS COMERCIAL LTDA - [10664]</t>
  </si>
  <si>
    <t>JANETE VIEIRA DOS SANTOS - EPP - [11098]</t>
  </si>
  <si>
    <t>SOVEREIGN COM DE PROD LAB LTDA - [11418]</t>
  </si>
  <si>
    <t>SARAIVA DISTRIBUIDORA EIRELI-ME - [13273]</t>
  </si>
  <si>
    <t>BRANAGO COMERCIO DE MAQUINAS - EIRELI - ME - [13546]</t>
  </si>
  <si>
    <t>OFICINA MECANICA DE COMPRES. DE AR ARANTES LTDA - [13623]</t>
  </si>
  <si>
    <t>JR ÁGUAS EIRELI  - [15506]</t>
  </si>
  <si>
    <t>D.A. DA SILVA - PANIFICADORA PREDILETA - [16906]</t>
  </si>
  <si>
    <t>SILVA COMERCIO E TRANSPORTE EIRELI - ME - [16913]</t>
  </si>
  <si>
    <t>LIVRARIA E PAPELARIA MODELO LTDA - [17158]</t>
  </si>
  <si>
    <t>LMB COSTA EIRELI - [17396]</t>
  </si>
  <si>
    <t>ZAPEMIL DISTRIBUIDORA LTDA - [17403]</t>
  </si>
  <si>
    <t>FORNECEDORES DE SERVIÇOS - [2500]</t>
  </si>
  <si>
    <t>1.455.350,16C</t>
  </si>
  <si>
    <t>CIEE - CENTRO INTEGRAÇÃO EMPRESA ESCOLA - [2514]</t>
  </si>
  <si>
    <t>SANEAMENTO DE GOIAS S/A - [2548]</t>
  </si>
  <si>
    <t>INTEGRA AUTOMAÇÃO E CONTROLE - [2567]</t>
  </si>
  <si>
    <t>OPTIONLINE LTDA - [2587]</t>
  </si>
  <si>
    <t>MONTANDON SIQUEIRA &amp; ASSOCIADOS - [2589]</t>
  </si>
  <si>
    <t>ARQUIVO OFF PRESTACIONAL LTDA - [2591]</t>
  </si>
  <si>
    <t>SISTEMA MERCANTIL DE HIG. E CONSERVAÇÃO - MATABEM - [2605]</t>
  </si>
  <si>
    <t>OI/BRASIL TELECOM S.A - [2615]</t>
  </si>
  <si>
    <t>EMPRESA BRASILEIRA DE CORREIOS E TELEGRAFOS  - [2620]</t>
  </si>
  <si>
    <t>CELG - CIA ENERGETICA DE GOIAS - [2629]</t>
  </si>
  <si>
    <t>JAIME CAMARA E IRMAOS - [2647]</t>
  </si>
  <si>
    <t>PACK FILTER COM. REPRESENTAÇÕES LTDA - [2658]</t>
  </si>
  <si>
    <t>GLOBAL CARGAS TRANSP. NAC. INTERNACIONAL LTDA - [2666]</t>
  </si>
  <si>
    <t>ALTERDATA TECNOLOGIA EM INFORMATICA LTDA - [2676]</t>
  </si>
  <si>
    <t>ABRANTES MARTINS LTDA - EPP - [5790]</t>
  </si>
  <si>
    <t>TECNOFIRE TECNOLOGIA CONTRA INCÊNDIO LTDA - [4907]</t>
  </si>
  <si>
    <t>MECVAPOR COM. E SERV. HIDRAULICOS LTDA - [5888]</t>
  </si>
  <si>
    <t>OBJETIVA EDIÇÕES EMPRESARIAIS LTDA - [5754]</t>
  </si>
  <si>
    <t>GIBBOR BRASIL PUB. E PROP. LTDA - [5831]</t>
  </si>
  <si>
    <t>MAXCROM INSTRUMENTOS CIENTIFICOS LTDA - [5236]</t>
  </si>
  <si>
    <t>SALERMO CORREA ENGENHARIA E COMÉRCIO LTDA - [7117]</t>
  </si>
  <si>
    <t>GARRA FORTE ADM E SERV LTDA -EPP - [8762]</t>
  </si>
  <si>
    <t>MÁXIMA EMPREENDIMENTO E SERVIÇOS LTDA - [9210]</t>
  </si>
  <si>
    <t>DENIS BORGES BARBOSA ADVOGADOS - [9413]</t>
  </si>
  <si>
    <t>RV IMOLA TRANSPORTES E LOGISTIVA LTDA - [3721]</t>
  </si>
  <si>
    <t>METROHM PENSALAB INSTRUMENTAÇÃO ANALÍTICA LTDA - [4078]</t>
  </si>
  <si>
    <t>NP CAPACITAÇÃO E SOL. TEC. LTDA - [4099]</t>
  </si>
  <si>
    <t>BR LAUNDRY INDUSTRIA, COMERCIO E SERVIÇOS LTDA - [4379]</t>
  </si>
  <si>
    <t>VALSA-ASSIS.TEC.MAN E AUTOMACAO DE EQUIPAMENTOS IN - [10274]</t>
  </si>
  <si>
    <t>A GERADORA ALUGUEL DE MAQUINAS S.A - [10428]</t>
  </si>
  <si>
    <t>INSTITUTO ANALITICO DE EXCELENCIA FARM. LTDA - [10470]</t>
  </si>
  <si>
    <t>FORNECEDORES DIVERSOS - [7608]</t>
  </si>
  <si>
    <t>ACHEI AUTOMÓVEIS LTDA - [7615]</t>
  </si>
  <si>
    <t>FONSECA MARTINS COMERCIO DE GAS LTDA - [2802]</t>
  </si>
  <si>
    <t>FUNDAÇÃO DE APOIO A PESQUISA  - [10671]</t>
  </si>
  <si>
    <t>INFINITI COMERCIO E SERVIÇOS EIRELI-ME - [10930]</t>
  </si>
  <si>
    <t>TERMOSUL AR CONDICIONADO E REFRIGERAÇÃO LTDA EPP - [11189]</t>
  </si>
  <si>
    <t>DMETROPOLITANO COMUNICAÇÕES EIRELI - ME - [12209]</t>
  </si>
  <si>
    <t>HIDRO FORTE BOMBAS E MOTORES LTDA ME - [12909]</t>
  </si>
  <si>
    <t>CENTRO DE EDUCAÇÃO PROF. E INDUSTRIAL LTDA ME - [13644]</t>
  </si>
  <si>
    <t>LABVISION INSTRUMENTS COM. E SERVIÇOS LTDA ME - [13651]</t>
  </si>
  <si>
    <t>FLOWSERVICE SERVIÇOS ANALÍTICOS LTDA - [13840]</t>
  </si>
  <si>
    <t>LINECONTROL COMERCIO IMPORT. E EXPORTAÇÃO LTDA  - [13854]</t>
  </si>
  <si>
    <t>SX TECNOLOGIA E SERVIÇOS CORPORATIVOS EIRELI  - [13868]</t>
  </si>
  <si>
    <t>AUDIMEC AUDITORES INDEPENDENTES S/S EPP - [14127]</t>
  </si>
  <si>
    <t>AGÊNCIA BRASIL CENTRAL - [14666]</t>
  </si>
  <si>
    <t>BRAVAU AUDITORES INDEPENDENTES S/S EPP - [14827]</t>
  </si>
  <si>
    <t>LUCAS FERNANDES VIEIRA 8º TABELIONATO DE NOTAS - [15807]</t>
  </si>
  <si>
    <t>TICKET SOLUÇÕES HDFGT S.A - [15471]</t>
  </si>
  <si>
    <t>SUL AMERICA SEGUROS DE PESSOAS E PREVIDENCIA S.A - [15597]</t>
  </si>
  <si>
    <t>WEGH ASSESSORIA E LOGISTICA INTERNACIONAL LTDA - [15618]</t>
  </si>
  <si>
    <t>1.549,60C</t>
  </si>
  <si>
    <t>ALFOB -  ASSOCIAÇÃO DOS LAB OFICIAIS DO BRASIL - [15821]</t>
  </si>
  <si>
    <t>UP BRASIL ADMINISTRAÇÃO E SERVIÇOS LTDA  - [15828]</t>
  </si>
  <si>
    <t>DESPRAG DEDETIZADORA LTDA - EPP - [15863]</t>
  </si>
  <si>
    <t>ALEXANDRE OSNI Z. EIRELI/MPS BRASIL OUTSOURCING - [16045]</t>
  </si>
  <si>
    <t>AJ LOGISTICA EIRELI - [16178]</t>
  </si>
  <si>
    <t>WORK7 AUDITORES INDEPENDENTES SS - EPP - [16318]</t>
  </si>
  <si>
    <t>AUTO RACE SOLUÇÕES AUTOMOTIVAS EIRELI - [16752]</t>
  </si>
  <si>
    <t>RUSSEL BEDFORD BRASIL AUDITORES INDEPENDENTES S/S - [16759]</t>
  </si>
  <si>
    <t>AF EMPREENDIMENTOS EIRELI - [16850]</t>
  </si>
  <si>
    <t>CERTIFICADORA O.S LTDA  - [16990]</t>
  </si>
  <si>
    <t>ECUSTOMIZE CONSULTORIA EM SOFTWARE LTDA - [17431]</t>
  </si>
  <si>
    <t>DMS CALIBRAÇÕES E INSPEÇÕES INDUSTRIAL LTDA - [17480]</t>
  </si>
  <si>
    <t>DR ENGENHARIA  E INVEST. AMBIENTAIS LTDA - [17494]</t>
  </si>
  <si>
    <t>AC-AIMIRI CONSTRUTORA LTDA - [17502]</t>
  </si>
  <si>
    <t>BOINA AZUL SISTEMAS LTDA - [17515]</t>
  </si>
  <si>
    <t>AIRWAY TRANSPORTES - [17606]</t>
  </si>
  <si>
    <t>LOCALIZA VEICULOS ESPECIAIS S/A - [17613]</t>
  </si>
  <si>
    <t>GARANTIA PRESTAÇÃO DE SERVIÇOS LTDA - [17669]</t>
  </si>
  <si>
    <t>FORNECEDORES DO ATIVO PERMANENTE - [2685]</t>
  </si>
  <si>
    <t>24.951,95C</t>
  </si>
  <si>
    <t>ONDINAS INOVAÇÃO TECNOLÓGICA LTDA - [9875]</t>
  </si>
  <si>
    <t>TECNOBOMBAS - BOMBAS MOTORES SERVIÇOS LTDA - [11224]</t>
  </si>
  <si>
    <t>GLOBALI DISTRIBUIÇÃO E COMERCIO LTDA - [17425]</t>
  </si>
  <si>
    <t>ARVORETA MAQUINAS - [17572]</t>
  </si>
  <si>
    <t>OBRIGAÇÕES SOCIAIS E TRABALHISTAS - [2720]</t>
  </si>
  <si>
    <t>159.626,37C</t>
  </si>
  <si>
    <t>85.063,10C</t>
  </si>
  <si>
    <t>OBRIGAÇÕES SOCIAIS E TRABALHISTAS - [2721]</t>
  </si>
  <si>
    <t>4.705,90C</t>
  </si>
  <si>
    <t>13º SALARIO - [2722]</t>
  </si>
  <si>
    <t>FGTS A RECOLHER - [2725]</t>
  </si>
  <si>
    <t>SALÁRIOS A PAGAR - [2726]</t>
  </si>
  <si>
    <t>INSS A RECOLHER - [2727]</t>
  </si>
  <si>
    <t>IPASGO RETIDO - [2728]</t>
  </si>
  <si>
    <t>SENAI - [2743]</t>
  </si>
  <si>
    <t>SESI SERVIÇO SOCIAL DA INDUSTRIA - [2745]</t>
  </si>
  <si>
    <t>HONORARIOS A PAGAR - [2746]</t>
  </si>
  <si>
    <t>IRRF S/SALARIOS - [2747]</t>
  </si>
  <si>
    <t>RESCISÕES A PAGAR - [2749]</t>
  </si>
  <si>
    <t>CONSIGNAÇÕES A PAGAR - [2755]</t>
  </si>
  <si>
    <t>29.676,94C</t>
  </si>
  <si>
    <t>ASSOC. SERVIDORES DA IQUEGO - ASIQ - [2757]</t>
  </si>
  <si>
    <t>SINDICATO TRAB. IND. QUIM. FARM. EST. GOIAS - [2768]</t>
  </si>
  <si>
    <t>IPSM PREVIDENCIA - [2770]</t>
  </si>
  <si>
    <t>SEGURO DE VIDA EM GRUPO - [4649]</t>
  </si>
  <si>
    <t>OBRIG. SOCIAIS E TRABALHISTAS - PARCELAMENTO - [2775]</t>
  </si>
  <si>
    <t>FGTS PARC. 2011003531 - [9700]</t>
  </si>
  <si>
    <t>OBRIGAÇÕES TRITUTÁRIAS - [2780]</t>
  </si>
  <si>
    <t>913.935,89C</t>
  </si>
  <si>
    <t>1.157.885,85C</t>
  </si>
  <si>
    <t>OBRIGAÇÕES TRIBUTÁRIAS - [2781]</t>
  </si>
  <si>
    <t>50.889,32C</t>
  </si>
  <si>
    <t>COFINS A RECOLHER - [2782]</t>
  </si>
  <si>
    <t>IRRF A RECOLHER - [2784]</t>
  </si>
  <si>
    <t>PIS - FATURAMENTO - [2787]</t>
  </si>
  <si>
    <t>ISS A RECOLHER - [2790]</t>
  </si>
  <si>
    <t>INSS RETIDO A RECOLHER - [2791]</t>
  </si>
  <si>
    <t>I.P.T.U A RECOLHER - [2792]</t>
  </si>
  <si>
    <t>CSLL/PASEP/COFINS - LEI 10.833/03 - [2793]</t>
  </si>
  <si>
    <t>OBRIGAÇÕES TRIBUTARIAS - PARCELAMENTO - [2800]</t>
  </si>
  <si>
    <t>1.106.996,53C</t>
  </si>
  <si>
    <t>PARCEL SIMPLIF PREVID PGFN -626994640- - [15527]</t>
  </si>
  <si>
    <t>PARCEL SIMPLIF PREVID PGFN 627011012 - [15534]</t>
  </si>
  <si>
    <t>PARCEL SIMPLIF PREVID PGFN 627011446 - [15541]</t>
  </si>
  <si>
    <t>PARCELAMENTO MULTA CLT-PGFN - [16052]</t>
  </si>
  <si>
    <t>PARCELAMENTO PREVID RFB Nº 10120728259/2021 - [16402]</t>
  </si>
  <si>
    <t>PARCELAMENTO INSS-JUST.TRABALHO-RT001193/2015 - [16570]</t>
  </si>
  <si>
    <t>PARCEL MULTA DE OFICIO RFB 10120723762/2012-17 - [17235]</t>
  </si>
  <si>
    <t>CREDITOS DE TERCEIROS - [2810]</t>
  </si>
  <si>
    <t>8.829.616,76C</t>
  </si>
  <si>
    <t>ADIANTAMENTO DE CLIENTES - [2811]</t>
  </si>
  <si>
    <t>6.020.890,94C</t>
  </si>
  <si>
    <t>8.816.189,57C</t>
  </si>
  <si>
    <t>MINISTÉRIO DA SAUDE CONV. 061/06 - [2824]</t>
  </si>
  <si>
    <t>MINISTERIO DA SAUDE CONV 787297/2013 - [10122]</t>
  </si>
  <si>
    <t>CREDITOS DA MATRIZ - [14015]</t>
  </si>
  <si>
    <t>115,00C</t>
  </si>
  <si>
    <t>IRRF S/CONV 787297/2013 - [15688]</t>
  </si>
  <si>
    <t>VALORES EM DEPOSITO - [2850]</t>
  </si>
  <si>
    <t>DEPOSITOS  NÃO IDENTIFICADOS - [2853]</t>
  </si>
  <si>
    <t>CREDITOS COM COLIGADAS - [14036]</t>
  </si>
  <si>
    <t>CREDITOS DA FILIAL - [14043]</t>
  </si>
  <si>
    <t>OUTRAS EXIGIBILIDADES - [2860]</t>
  </si>
  <si>
    <t>188.783,22C</t>
  </si>
  <si>
    <t>OUTRAS EXIGIBILIDADES - [2861]</t>
  </si>
  <si>
    <t>SANEAMENTO DE GOIAS S/A - PARCELAMENTO - [2862]</t>
  </si>
  <si>
    <t>ADIANTAMENTO / PAGAMENTO PASEP - [2863]</t>
  </si>
  <si>
    <t>SESI PARCELAMENTO - [3912]</t>
  </si>
  <si>
    <t>AGÊNCIA BRASIL CENTRAL PARCELAMENTO  - [14673]</t>
  </si>
  <si>
    <t>PROVISÕES SOCIAIS E TRABALHISTAS - [2870]</t>
  </si>
  <si>
    <t>1.003.895,78C</t>
  </si>
  <si>
    <t>PROVISÕES SOCIAIS E TRABALHISTAS - [2871]</t>
  </si>
  <si>
    <t>PROVISÕES DE FERIAS - [2872]</t>
  </si>
  <si>
    <t>ENCARGOS S/ PROV FERIAS - [2873]</t>
  </si>
  <si>
    <t>PROV. P/ 13º SALARIO - [2874]</t>
  </si>
  <si>
    <t>ENCARGOS S/ PROV. 13º SALARIO - [2875]</t>
  </si>
  <si>
    <t>OUTRAS CONTAS - [8503]</t>
  </si>
  <si>
    <t>2.596.139,36C</t>
  </si>
  <si>
    <t>OUTRAS CONTAS A PAGAR - [8510]</t>
  </si>
  <si>
    <t>PROCESSOS TRABALHISTAS PARCELAMENTO - [15478]</t>
  </si>
  <si>
    <t>PLANO DE PAGAMENTO ESPECIAL TRABALHISTA - PEPT - [15877]</t>
  </si>
  <si>
    <t>PARCELAMENTOS - [16465]</t>
  </si>
  <si>
    <t>48.715.220,96C</t>
  </si>
  <si>
    <t>PARCELAMENTOS - [2882]</t>
  </si>
  <si>
    <t>3.901.355,39C</t>
  </si>
  <si>
    <t>PARCELAMENTOS A LONGO PRAZO - [2883]</t>
  </si>
  <si>
    <t>SESI PARCELAMENTO - [3919]</t>
  </si>
  <si>
    <t>PARCELAMENTOS DE TRIBUTOS - [2885]</t>
  </si>
  <si>
    <t>1.855.688,23C</t>
  </si>
  <si>
    <t>2.094.201,41C</t>
  </si>
  <si>
    <t>FGTS PARC.  2011003531  - [5055]</t>
  </si>
  <si>
    <t>PARCEL SIMPLIF PREVID PGFN 626994640 - [15548]</t>
  </si>
  <si>
    <t>PARCEL SIMPLIF PREVID PGFN 627011012 - [15555]</t>
  </si>
  <si>
    <t>PARCEL SIMPLIF PREVID PGFN 627011446 - [15562]</t>
  </si>
  <si>
    <t>PARCELAMENTO MULTA CLT - PGFN - [16255]</t>
  </si>
  <si>
    <t>PARCELAMENTO PREVID RFB Nº 10120728259/2021 - [16395]</t>
  </si>
  <si>
    <t>PARCELAMENTO INSS-JUST.TRABALHO-RT0011993/2015 - [16577]</t>
  </si>
  <si>
    <t>PARCEL MULTA DE OFICIO RFB 10120723762/2012-17 - [17242]</t>
  </si>
  <si>
    <t>CRÉDITOS DE TERCEIROS - [2900]</t>
  </si>
  <si>
    <t>ARRENDAMENTO MERCANTIL A EXECUTAR - EQUIPAMENTOS - [16339]</t>
  </si>
  <si>
    <t>PROVISÕES DE PROCESSOS - [8475]</t>
  </si>
  <si>
    <t>44.813.865,57C</t>
  </si>
  <si>
    <t>PROVISÕES DE RISCOS  - [8482]</t>
  </si>
  <si>
    <t>PROVISÃO DE RISCO TRABALHISTA - [8489]</t>
  </si>
  <si>
    <t>PROVISÃO DE PROC. CIVEIS - [8496]</t>
  </si>
  <si>
    <t>PROVISÃO DE PROC. TRIBUTÁRIOS - [13259]</t>
  </si>
  <si>
    <t>RESULTADO DE EXERCÍCIOS FUTUROS - [2911]</t>
  </si>
  <si>
    <t>RECEITAS DIFERIDAS - [2920]</t>
  </si>
  <si>
    <t>IR DIFERIDO VENDA IMOVEIS DE USO - [17032]</t>
  </si>
  <si>
    <t>CSLL DIFERIDO VENDA IMOVEIS DE USO - [17039]</t>
  </si>
  <si>
    <t>CAPITAL SOCIAL REALIZADO - [16472]</t>
  </si>
  <si>
    <t>1.862.269,07C</t>
  </si>
  <si>
    <t>28.714.813,39D</t>
  </si>
  <si>
    <t>CAPITAL SOCIAL REALIZADO - [2927]</t>
  </si>
  <si>
    <t>DOMICILIADO NO PAIS  - [2928]</t>
  </si>
  <si>
    <t>EMPRESAS ESTADUAIS - [2931]</t>
  </si>
  <si>
    <t>PESSOAS FISICAS - [5545]</t>
  </si>
  <si>
    <t>GOVERNO DO ESTADO DE GOIAS - [10232]</t>
  </si>
  <si>
    <t>RESERVAS DE CAPITAL - [2941]</t>
  </si>
  <si>
    <t>RESERVAS DE CAPITAL  - [2942]</t>
  </si>
  <si>
    <t>AJUSTE DE AVALIAÇÃO PATRIMONIAL  - [2946]</t>
  </si>
  <si>
    <t>APP- AJUSTE DE AVALIAÇÃO PATRIMONIAL - [17523]</t>
  </si>
  <si>
    <t>LUCROS OU PREJUIZOS - [2961]</t>
  </si>
  <si>
    <t>236.799.213,87D</t>
  </si>
  <si>
    <t>250.884.264,84D</t>
  </si>
  <si>
    <t>LUCROS - [2962]</t>
  </si>
  <si>
    <t>9.878.687,38D</t>
  </si>
  <si>
    <t>LUCROS DO EXERCICIO - [2963]</t>
  </si>
  <si>
    <t>1.893.151,67C</t>
  </si>
  <si>
    <t>AJUSTE DE EXERCICIO ANTERIORES - [16290]</t>
  </si>
  <si>
    <t>PREJUIZOS - [2970]</t>
  </si>
  <si>
    <t>226.440.562,84D</t>
  </si>
  <si>
    <t>241.005.577,46D</t>
  </si>
  <si>
    <t>PREJUIZOS ACUMULADOS - [2971]</t>
  </si>
  <si>
    <t>PREJUIZOS DO EXERCICIO - [2972]</t>
  </si>
  <si>
    <t>16.664.044,19D</t>
  </si>
  <si>
    <t>SUBUSCRICOES A INTEGRALIZAR - [3137]</t>
  </si>
  <si>
    <t>PODER PUBLICO - [3144]</t>
  </si>
  <si>
    <t>GOVERNO DO ESTADO DE GOIAS - [10239]</t>
  </si>
  <si>
    <t>CUSTOS E DESPESAS - [3000]</t>
  </si>
  <si>
    <t>CUSTOS E DESPESAS - [16479]</t>
  </si>
  <si>
    <t>CUSTO DA MERCADORIA VENDIDA - [17530]</t>
  </si>
  <si>
    <t>CUSTO DA MERCADORIA VENDIDA - [17537]</t>
  </si>
  <si>
    <t>CMV INICIAL - [17544]</t>
  </si>
  <si>
    <t>( ) CMV FINAL - [17551]</t>
  </si>
  <si>
    <t>CUSTOS INDUSTRIAIS - [3003]</t>
  </si>
  <si>
    <t>PESSOAL - [3004]</t>
  </si>
  <si>
    <t>ASSISTENCIA MEDICA E SOCIAL - [6189]</t>
  </si>
  <si>
    <t>GASTOS GERAIS DE FABRICAÇÃO - [3060]</t>
  </si>
  <si>
    <t>MANUTENÇÃO DE EQUIPAMENTOS INDUSTRIAIS  - [3064]</t>
  </si>
  <si>
    <t>ANALISE DE CONTROLE DE QUALIDADE  - [3072]</t>
  </si>
  <si>
    <t>DEPRECIAÇÃO - [3076]</t>
  </si>
  <si>
    <t>BONIFICAÇAO, DOAÇOES E BRINDES - [3095]</t>
  </si>
  <si>
    <t>(-)ESTOQUE FINAL - [7558]</t>
  </si>
  <si>
    <t>PROVISÃO DE PERDA COM ESTOQUE OBSOLETO - [7559]</t>
  </si>
  <si>
    <t>CUSTO COMERCIAL - [3200]</t>
  </si>
  <si>
    <t>DESPESAS DIVERSAS COM VENDAS - [3240]</t>
  </si>
  <si>
    <t>ENERGIA - [3242]</t>
  </si>
  <si>
    <t>MATERIAL DE CONSUMO - [3257]</t>
  </si>
  <si>
    <t>COMISSÕES DE VENDAS - [3263]</t>
  </si>
  <si>
    <t>DESPESAS COM VENDAS - [3273]</t>
  </si>
  <si>
    <t>AMOSTRA DE GLICOSIMETRO - [13168]</t>
  </si>
  <si>
    <t>DESPESAS COM IMPORTAÇÃO - [13210]</t>
  </si>
  <si>
    <t>AMOSTRA TIRA DE TESTE - [13581]</t>
  </si>
  <si>
    <t>AMOSTRA SOLUÇÃO CONTROLE GLICOSE - [16647]</t>
  </si>
  <si>
    <t>AMOSTRA BATERIA DE LITIO CR 2032 - GLUCOLEADER - [16745]</t>
  </si>
  <si>
    <t>AMOSTRA CABO GLUCOLEADER 2 SAIDAS E CABO OKMETER - [16899]</t>
  </si>
  <si>
    <t>PERDAS DE ESTOQUE - [3300]</t>
  </si>
  <si>
    <t>PRODUTOS ACABADOS - IQUEGO - [3301]</t>
  </si>
  <si>
    <t>DESPESAS - [16486]</t>
  </si>
  <si>
    <t>DESPESAS ADMINISTRATIVAS - [3322]</t>
  </si>
  <si>
    <t>PESSOAL - [3323]</t>
  </si>
  <si>
    <t>ANUENIO - [3326]</t>
  </si>
  <si>
    <t>ASSIDUIDADE - [3327]</t>
  </si>
  <si>
    <t>AUXILIO CRECHE - [3329]</t>
  </si>
  <si>
    <t>CURSOS E TREINAMENTOS - [3333]</t>
  </si>
  <si>
    <t>LICENÇA PREMIA - [3335]</t>
  </si>
  <si>
    <t>GRATIFICAÇÕES - [3336]</t>
  </si>
  <si>
    <t>HORAS-EXTRAS - [3339]</t>
  </si>
  <si>
    <t>PROGRAMA DE ALIMENTAÇÃO - [3341]</t>
  </si>
  <si>
    <t>PROGRAMA MENOR APRENDIZ - [3342]</t>
  </si>
  <si>
    <t>QUINQUENIO - [3344]</t>
  </si>
  <si>
    <t>SALARIOS - [3345]</t>
  </si>
  <si>
    <t>SEGURO DE VIDA EM GRUPO - [3346]</t>
  </si>
  <si>
    <t>VALE-TRANSPORTES - [3349]</t>
  </si>
  <si>
    <t>PAGTO A AUTONOMOS - RPA - [3351]</t>
  </si>
  <si>
    <t>FUNDO PREVIDENCIARIO (ESTADO E MUNICIPIO) - [3352]</t>
  </si>
  <si>
    <t>DESP C/ FERIAS + 1/3 - [8447]</t>
  </si>
  <si>
    <t>VERBAS ESTATUTÁRIOS - MUNICIPAL E ESTADUAL - [16199]</t>
  </si>
  <si>
    <t>ENCARGOS SOCIAIS - [3355]</t>
  </si>
  <si>
    <t>FGTS - [3356]</t>
  </si>
  <si>
    <t>INSS - [3357]</t>
  </si>
  <si>
    <t>SESI - [9721]</t>
  </si>
  <si>
    <t>SENAI - [9722]</t>
  </si>
  <si>
    <t>PROVISÕES - [3360]</t>
  </si>
  <si>
    <t>PROVISÕES DE FÉRIAS - [3361]</t>
  </si>
  <si>
    <t>PROVISÕES DE ENCARGOS SOCIAIS S/ FERIAS - [3362]</t>
  </si>
  <si>
    <t>PROVISÕES DE  13º SALARIO - [3363]</t>
  </si>
  <si>
    <t>PROVISÕES DE ENCARGOS SOCIAIS S/ 13º SALARIO - [3364]</t>
  </si>
  <si>
    <t>PROVISÃO DE RISCO TRABALHISTA - [8461]</t>
  </si>
  <si>
    <t>PROVISÃO DE RISCO PROC. CIVEIS - [8468]</t>
  </si>
  <si>
    <t>PROVISÃO DE RISCO CONVENIO 61/2006 MS - [13266]</t>
  </si>
  <si>
    <t>DESPESAS GERAIS COM ADMINISTRAÇÃO - [3370]</t>
  </si>
  <si>
    <t>AGUA - [3371]</t>
  </si>
  <si>
    <t>ENERGIA - [3372]</t>
  </si>
  <si>
    <t>TELEFONE - [3373]</t>
  </si>
  <si>
    <t>SERVIÇO DE LIMPEZA E MANUTENÇÃO - [3376]</t>
  </si>
  <si>
    <t>SERVIÇOS DE TERCEIROS  - PJ - [3379]</t>
  </si>
  <si>
    <t>CORREIOS E MALOTES - [3382]</t>
  </si>
  <si>
    <t>FRETES - [3384]</t>
  </si>
  <si>
    <t>MANUTENÇÃO DE SOFTWARE - [3385]</t>
  </si>
  <si>
    <t>DESPESAS COM VEICULOS - [3388]</t>
  </si>
  <si>
    <t>MATERIAL DE CONSUMO - [3389]</t>
  </si>
  <si>
    <t>DEPRECIAÇÃO - [3391]</t>
  </si>
  <si>
    <t>DESPESAS CARTORARIAS E LEGAIS - [3392]</t>
  </si>
  <si>
    <t>LOCAÇÃO DE EQUIPAMENTOS - [3394]</t>
  </si>
  <si>
    <t>LICENÇA DE SOFTWARE - [3399]</t>
  </si>
  <si>
    <t>LICENCIAMENTO DE VEICULOS - [3400]</t>
  </si>
  <si>
    <t>ASSINATURA DE PERIÓDICOS  - [3401]</t>
  </si>
  <si>
    <t>EDITAIS E PUBLICAÇÕES - [3402]</t>
  </si>
  <si>
    <t>COMBUSTIVEIS E LUBRIFICANTES - [3406]</t>
  </si>
  <si>
    <t>LANCHES E REFEIÇÕES - [3407]</t>
  </si>
  <si>
    <t>ASSINATURAS E PERIODICOS - [5776]</t>
  </si>
  <si>
    <t>DIARIAS, VIAGENS E REPRESENTAÇÕES - [6125]</t>
  </si>
  <si>
    <t>BAIXA DE ATIVOS - [7852]</t>
  </si>
  <si>
    <t>LOCAÇÃO DE VEICULOS  - [7622]</t>
  </si>
  <si>
    <t>CUSTAS JUDICIAIS - [7623]</t>
  </si>
  <si>
    <t>OUTRAS DESPESAS - [14946]</t>
  </si>
  <si>
    <t>DESPESAS FINANCEIRAS - [3490]</t>
  </si>
  <si>
    <t>DESPESAS BANCARIAS - [3492]</t>
  </si>
  <si>
    <t>JUROS, MULTAS E CORREÇÃO MONETÁRIA - [3496]</t>
  </si>
  <si>
    <t>DESPESAS DE IOF - [3502]</t>
  </si>
  <si>
    <t>CORREÇÃO MONETARIA DE DEBITOS TRIBUTARIOS - [10649]</t>
  </si>
  <si>
    <t>MULTAS CONTRATUAIS - [17333]</t>
  </si>
  <si>
    <t>DESPESAS INDEDUTÍVEIS - [3520]</t>
  </si>
  <si>
    <t>MULTAS FISCAIS (AUTUAÇÕES) - [3521]</t>
  </si>
  <si>
    <t>DESPESAS TRIBUTÁRIAS - [3530]</t>
  </si>
  <si>
    <t>COFINS S/ RECEITAS FINANCEIRAS - [3532]</t>
  </si>
  <si>
    <t>PASEP S/ RECEITAS FINANCEIRAS - [3533]</t>
  </si>
  <si>
    <t>IMPOSTOS E TAXAS ESTADUAIS - [3535]</t>
  </si>
  <si>
    <t>IMPOSTOS E TAXAS FEDERAIS - [3536]</t>
  </si>
  <si>
    <t>IMPOSTOS E TAXAS MUNICIPAIS - [3537]</t>
  </si>
  <si>
    <t>I.P.T.U. - [3544]</t>
  </si>
  <si>
    <t>RECEITAS  - [4000]</t>
  </si>
  <si>
    <t>RECEITAS - [16493]</t>
  </si>
  <si>
    <t>LINHA HUMANA - [4003]</t>
  </si>
  <si>
    <t>VENDAS LINHA PARALELA - [4010]</t>
  </si>
  <si>
    <t>PRODUTOS - [4011]</t>
  </si>
  <si>
    <t>PRODUTOS - GOD - [16766]</t>
  </si>
  <si>
    <t>VENDAS - [16500]</t>
  </si>
  <si>
    <t>RENDA DE VARIAÇÃO MONETARIA - [4140]</t>
  </si>
  <si>
    <t>RENDA DE VARIAÇÃO CAMBIAL - [4141]</t>
  </si>
  <si>
    <t>RENDA DE VARIAÇÃO CAMBIAL ATIVA - [4142]</t>
  </si>
  <si>
    <t>RENDA DE VARIAÇÃO MONETARIA - [4150]</t>
  </si>
  <si>
    <t>RENDA DE VARIAÇÃO MONETARIA ATIVA - [4151]</t>
  </si>
  <si>
    <t>RENDIMENTO DE APLICAÇÕES EM AÇÕES - [10641]</t>
  </si>
  <si>
    <t>RECEITAS DIVERSAS - [4161]</t>
  </si>
  <si>
    <t>RECEITAS DIVERSAS - [4165]</t>
  </si>
  <si>
    <t>DOAÇÕES RECEBIDAS - [4170]</t>
  </si>
  <si>
    <t>RECEITAS DE SUBVENÇÃO GOVERNAMENTAL - [11343]</t>
  </si>
  <si>
    <t>GOVERNO DO ESTADO DE GOIAS - [15919]</t>
  </si>
  <si>
    <t>RECEITAS FINANCEIRAS - [4180]</t>
  </si>
  <si>
    <t>DESCONTOS OBTIDOS - [4181]</t>
  </si>
  <si>
    <t>DESCONTOS OBTIDOS DE FORNECEDORES - [4182]</t>
  </si>
  <si>
    <t>JUROS SOBRE ATIVOS FINANCEIROS - [4185]</t>
  </si>
  <si>
    <t>JUROS S/ RECEBIMENTOS C/ ATRASO - [4188]</t>
  </si>
  <si>
    <t>RENDIMENTOS DE APLICAÇÕES FINANCEIRAS - [4190]</t>
  </si>
  <si>
    <t>MULTA CONTRATUAL - [4191]</t>
  </si>
  <si>
    <t>DIVIDENDOS RECEBIDOS - [4192]</t>
  </si>
  <si>
    <t>PIS SOBRE RECEITAS FINANCEIRAS - [15646]</t>
  </si>
  <si>
    <t>COFINS SOBRE RECEITAS FINANCEIRAS - [15653]</t>
  </si>
  <si>
    <t>RENDIMENTO CONTA UNICA GOVERNO DO ESTADO DE GOIAS - [17410]</t>
  </si>
  <si>
    <t>DEDUÇÕE - [16514]</t>
  </si>
  <si>
    <t>DEDUÇÃO S/ VENDAS - LINHA HUMANA - [4402]</t>
  </si>
  <si>
    <t>DEDUÇÃO S/ VENDAS - CONVENIO FEDERAL - [4403]</t>
  </si>
  <si>
    <t>DEVOLUÇÃO DE VENDAS - [4408]</t>
  </si>
  <si>
    <t>DEDUÇÃO S/ VENDAS - LINHA PARALELA - [4425]</t>
  </si>
  <si>
    <t>COFINS - [4426]</t>
  </si>
  <si>
    <t>PASEP - [4427]</t>
  </si>
  <si>
    <t>COMPENSADO - [5000]</t>
  </si>
  <si>
    <t>COMPENSADO - [16521]</t>
  </si>
  <si>
    <t>CONTRATOS DE LOCAÇÃO DE EQUIPAMENTOS - [5003]</t>
  </si>
  <si>
    <t>MAQUINAS E EQUIPAMENTOS - [5004]</t>
  </si>
  <si>
    <t>OPERAÇÕES COM A MATRIZ E FILIAL - [15884]</t>
  </si>
  <si>
    <t>COMODATOS CONTRATADOS - [5020]</t>
  </si>
  <si>
    <t>COMODATOS CONTRATADOS GLICOSIMETRO - [5021]</t>
  </si>
  <si>
    <t>FUNDAÇÃO BUTANTAN - [5031]</t>
  </si>
  <si>
    <t>FUNDO DE SAUDE DE PORTEIRÃO GO - [12328]</t>
  </si>
  <si>
    <t>PREFEITURA DE QUERENCIA MT - [12356]</t>
  </si>
  <si>
    <t>FUNDO DE SAUDE DE PALMELO  GO  - [12727]</t>
  </si>
  <si>
    <t>FUNDO DE SAUDE DE ITAJA  GO  - [12741]</t>
  </si>
  <si>
    <t>FUNDO DE SAUDE DE MAIRIPOTABA GO - [13042]</t>
  </si>
  <si>
    <t>FUNDO DE SAUDE DE ALOANDIA  GO - [13098]</t>
  </si>
  <si>
    <t>FUNDO DE SAUDE DE IPAMERI  GO  - [13126]</t>
  </si>
  <si>
    <t>FUNDO DE SAUDE DE TURVANIA  GO  - [13140]</t>
  </si>
  <si>
    <t>FUNDO DE SAUDE DE CAMAPUA  MS - [14197]</t>
  </si>
  <si>
    <t>FUNDO DE SAUDE DE EDEIA  GO - [14554]</t>
  </si>
  <si>
    <t>PREFEITURA DE GUARULHOS  SP - [15450]</t>
  </si>
  <si>
    <t>CONSORCIO INTERMUNICIPAL DO SUL EST. ALAGOAS - AL - [16430]</t>
  </si>
  <si>
    <t>ASSOCIAÇÃO REGIONAL DO SUDOESTE   PR - [16710]</t>
  </si>
  <si>
    <t>FUNDO DE SAUDE CACHOEIRO DE ITAPEMIRIM  ES - [16794]</t>
  </si>
  <si>
    <t>FUNDO ESTADUAL SAUDE FUNDES  CE - [16836]</t>
  </si>
  <si>
    <t>HOSPITAL UNIVERSITARIO DA GRANDE DOURADOS  MS - [16885]</t>
  </si>
  <si>
    <t>FUNDO SAUDE DE ALTA FLORESTA DO OESTE  RO - [16920]</t>
  </si>
  <si>
    <t>FUNDO SAUDE DE CONCEIÇÃO DO TOCANTINS  TO - [16934]</t>
  </si>
  <si>
    <t>FUNDO SAUDE DE PIRACURUCA  PI - [16948]</t>
  </si>
  <si>
    <t>FUNDO SAUDE DE ALTO ALEGRE DOS PARECIS  RO - [16962]</t>
  </si>
  <si>
    <t>FUNDO SAUDE DE CALDAZINHA  GO  - [16976]</t>
  </si>
  <si>
    <t>FUNDO SAUDE DE SANTANA DO ARAGUAIA PA - [17165]</t>
  </si>
  <si>
    <t>EMPRESA BRAS. DE SERV. HOSP. EBSERH MG - [17179]</t>
  </si>
  <si>
    <t>FUNDO DE SAUDE DE DOVERLANDIA GO - [17193]</t>
  </si>
  <si>
    <t>FUNDO DE SAUDE DE LAGARTO  SE - [17207]</t>
  </si>
  <si>
    <t>FUNDO DE SAUDE NOVO PLANALTO  GO - [17221]</t>
  </si>
  <si>
    <t>FUNDO DE SAUDE DE DIANOPOLIS  TO - [17263]</t>
  </si>
  <si>
    <t>HOSPITAL GERAL DE JUIZ DE FORA  MG - [17277]</t>
  </si>
  <si>
    <t>EMPRESA BRAS. SERV. HOSP. - EBSERH  BA - [17291]</t>
  </si>
  <si>
    <t>FUNDO DE SAUDE DE AGUA AZUL DO NORTE  PA - [17298]</t>
  </si>
  <si>
    <t>FUNDO DE SAUDE DE COLORADO DO OESTE  RO - [17305]</t>
  </si>
  <si>
    <t>FUNDO SAÚDE DE AQUIDAUANA  MS - [17340]</t>
  </si>
  <si>
    <t>PREFEITURA DE CABIXI  RO - [17354]</t>
  </si>
  <si>
    <t>FUNDO DE SAUDE DE THEOBROMA  RO - [17368]</t>
  </si>
  <si>
    <t>CONSORCIO DE SAUDE MEDIO VALE ITAJAI CISAMVI  SC - [17382]</t>
  </si>
  <si>
    <t>COMPENSADO - [6000]</t>
  </si>
  <si>
    <t>COMPENSADO - [16528]</t>
  </si>
  <si>
    <t>LOCAÇÃO EQUIPAMENTOS CONTRATADA - [6003]</t>
  </si>
  <si>
    <t>MAQUINAS E EQUIPAMENTOS - [6004]</t>
  </si>
  <si>
    <t>OPERAÇÕES COM A MATRIZ E FILIAL - [15898]</t>
  </si>
  <si>
    <t>COMODATOS CONTRATADOS - [6020]</t>
  </si>
  <si>
    <t>COMODATOS CONTRATADOS GLICOSIMETRO - [6021]</t>
  </si>
  <si>
    <t>FUNDAÇÃO BUTANTAN - [6031]</t>
  </si>
  <si>
    <t>FUNDO DE SAUDE DE PORTEIRÃO GO - [12335]</t>
  </si>
  <si>
    <t>PREFEITURA DE QUERENCIA MT - [12363]</t>
  </si>
  <si>
    <t>FUNDO DE SAUDE DE PALMELO  GO  - [12734]</t>
  </si>
  <si>
    <t>FUNDO DE SAUDE DE ITAJA  GO  - [12748]</t>
  </si>
  <si>
    <t>FUNDO DE SAUDE DE MAIRIPOTABA GO - [13049]</t>
  </si>
  <si>
    <t>FUNDO DE SAUDE DE ALOANDIA  - [13105]</t>
  </si>
  <si>
    <t>FUNDO DE SAUDE DE IPAMERI  GO  - [13133]</t>
  </si>
  <si>
    <t>FUNDO DE SAUDE DE TURVANIA  GO  - [13147]</t>
  </si>
  <si>
    <t>FUNDO DE SAÚDE DE CAMAPUA MS - [14204]</t>
  </si>
  <si>
    <t>FUNDO DE SAUDE DE EDEIA  GO - [14561]</t>
  </si>
  <si>
    <t>PREFEITURA GUARULHOS SP - [15457]</t>
  </si>
  <si>
    <t>CONSORCIO INTERMUNICIPAL DO SUL EST. ALAGOAS - AL - [16437]</t>
  </si>
  <si>
    <t>ASSOCIAÇÃO REGIONAL DO SUDOESTE  PR - [16717]</t>
  </si>
  <si>
    <t>FUNDO SAUDE DE CACHOEIRO DE ITAPEMIRIM  ES - [16801]</t>
  </si>
  <si>
    <t>FUNDO ESTADUAL SAUDE FUNDES  CE - [16843]</t>
  </si>
  <si>
    <t>HOSPITAL UNIVERSITÁRIO DA GRANDE DOURADOS  MS - [16892]</t>
  </si>
  <si>
    <t>FUNDO SAUDE DE ALTA FLORESTA DO OESTE  RO - [16927]</t>
  </si>
  <si>
    <t>FUNDO SAUDE DE CONCEIÇÃO DO TOCANTINS  TO - [16941]</t>
  </si>
  <si>
    <t>FUNDO SAUDE DE PIRACURUCA  PI - [16955]</t>
  </si>
  <si>
    <t>FUNDO SAUDE DE ALTO ALEGRE DOS PARECIS  RO - [16969]</t>
  </si>
  <si>
    <t>FUNDO SAUDE DE CALDAZINHA  GO  - [16983]</t>
  </si>
  <si>
    <t>FUNDO SAUDE DE SANTANA DO ARAGUAIA PA - [17172]</t>
  </si>
  <si>
    <t>EMPRESA BRAS. DE SERV. HOSP. EBSERH MG - [17186]</t>
  </si>
  <si>
    <t>FUNDO DE SAUDE DE DOVERLANDIA  GO - [17200]</t>
  </si>
  <si>
    <t>FUNDO DE SAUDE DE LAGARTO - [17214]</t>
  </si>
  <si>
    <t>FUNDO SAUDE DE NOVO PLANALTO  GO - [17228]</t>
  </si>
  <si>
    <t>FUNDO DE SAUDE DE DIANOPOLIS  TO - [17270]</t>
  </si>
  <si>
    <t>HOSPITAL GERAL DE JUIZ DE FORA  MG - [17284]</t>
  </si>
  <si>
    <t>EMPRESA BRAS. SERV. HOSP. - EBSERH  BA - [17312]</t>
  </si>
  <si>
    <t>FUNDO DE SAUDE DE AGUA AZUL DO NORTE  PA - [17319]</t>
  </si>
  <si>
    <t>FUNDO DE SAUDE DE COLORADO DO OESTE  RO - [17326]</t>
  </si>
  <si>
    <t>FUNDO DE SAUDE DE AQUIDAUNA  MS - [17347]</t>
  </si>
  <si>
    <t>PREFEITURA DE CABIXI  RO - [17361]</t>
  </si>
  <si>
    <t>FUNDO DE SAUDE DE THEOBROMA  RO - [17375]</t>
  </si>
  <si>
    <t>CONSORCIO DE SAUDE MEDIO VALE ITAJAÍ CISAMVI  SC - [17389]</t>
  </si>
  <si>
    <t>APURAÇÃO DE RESULTADO  - [11936]</t>
  </si>
  <si>
    <t>[8]</t>
  </si>
  <si>
    <t>APURAÇÃO - [16542]</t>
  </si>
  <si>
    <t>[8.1]</t>
  </si>
  <si>
    <t>APURAÇÃO DE RESULTADO - [11943]</t>
  </si>
  <si>
    <t>[8.1.11]</t>
  </si>
  <si>
    <t>APURAÇÃO DE RESULTADO  - [11950]</t>
  </si>
  <si>
    <t>[8.1.11.01]</t>
  </si>
  <si>
    <t>APURAÇÃO DE RESULTADO  - [11957]</t>
  </si>
  <si>
    <t>[8.1.11.01.0001]</t>
  </si>
  <si>
    <t>DFC</t>
  </si>
  <si>
    <t>Vari. Imob</t>
  </si>
  <si>
    <t>VAR. PL</t>
  </si>
  <si>
    <t>Ajus. Exc. Ant</t>
  </si>
  <si>
    <t>Av. Patrim.</t>
  </si>
  <si>
    <t>Depreciação Custos</t>
  </si>
  <si>
    <t>Resultado da Baixa de Bens</t>
  </si>
  <si>
    <t>Aquisição de Imobilizado</t>
  </si>
  <si>
    <t>Déb. PL contra Realizável LP/Banco</t>
  </si>
  <si>
    <t>+</t>
  </si>
  <si>
    <t>Resultado (Prejuízo do Exercício)</t>
  </si>
  <si>
    <t>SOMASES</t>
  </si>
  <si>
    <t>Saldo Abertura</t>
  </si>
  <si>
    <t>Saldo Final</t>
  </si>
  <si>
    <t>SALDOS EM 01.01.2021</t>
  </si>
  <si>
    <t>PREFEITURA MUNICIPAL DE CABIXI    RO - [14757]</t>
  </si>
  <si>
    <t>ESTOQUE DE MERCADORIA - MEDIDOR GLICOSE - [3419]</t>
  </si>
  <si>
    <t>ESTOQUE DE MERCADORIA - TIRAS DE TESTE - [3426]</t>
  </si>
  <si>
    <t>[1.1.34.01.0011]</t>
  </si>
  <si>
    <t>[1.1.34.01.0012]</t>
  </si>
  <si>
    <t>Lucro (Prejuizos) do Exercício</t>
  </si>
  <si>
    <t>resultado</t>
  </si>
  <si>
    <t>Ajustes de avaliacoa patrimonial</t>
  </si>
  <si>
    <t>Prejuizo do exerciico</t>
  </si>
  <si>
    <t>Prejuizo acumulado</t>
  </si>
  <si>
    <t>Ajuste de prejuizo acumulado</t>
  </si>
  <si>
    <t>Ajuste de reversão da reavaliacao patrimonial PL</t>
  </si>
  <si>
    <t>ajuste</t>
  </si>
  <si>
    <t>Resultado do exercicio</t>
  </si>
  <si>
    <t xml:space="preserve">     Ativo - [16444]</t>
  </si>
  <si>
    <t xml:space="preserve">       BENS NUMERARIOS - [4]</t>
  </si>
  <si>
    <t>A</t>
  </si>
  <si>
    <t xml:space="preserve">           BANCO CEF S/A - C/C 811-6 - [2378]</t>
  </si>
  <si>
    <t xml:space="preserve">           BANCO CEF S/A C/C 1866-9 - [10367]</t>
  </si>
  <si>
    <t xml:space="preserve">           BANCO CEF S/A - C/C 0264-4 - [14064]</t>
  </si>
  <si>
    <t xml:space="preserve">           CONTA ÚNICA Nº 100004 - GOV. GOIÁS - FILIAL - [16997]</t>
  </si>
  <si>
    <t xml:space="preserve">           CONTA ÚNICA Nº 100004 - GOV. GOIÁS - MATRIZ - [17004]</t>
  </si>
  <si>
    <t xml:space="preserve">           APLICAÇÕES FINANCEIRAS - [30]</t>
  </si>
  <si>
    <t xml:space="preserve">           BANCO CEF S/A C/P 811-6 - [9945]</t>
  </si>
  <si>
    <t xml:space="preserve">          CREDITOS - [48]</t>
  </si>
  <si>
    <t xml:space="preserve">          (-) PROVISÃO PARA CRÉTOS DE LIQUIDAÇÃO DUVIDOSA</t>
  </si>
  <si>
    <t xml:space="preserve">           SECRET.ESTADO DA SAUDE DO AMAPA - [1197]</t>
  </si>
  <si>
    <t xml:space="preserve">           FUNDO ESTADUAL DE SAUDE SERGIPE - [1351]</t>
  </si>
  <si>
    <t xml:space="preserve">           FUNDO DE SAUDE DE PALMELO  GO  - [12545]</t>
  </si>
  <si>
    <t xml:space="preserve">           SECRETARIA DE ESTADO DA SAUDE GOIAS - [13924]</t>
  </si>
  <si>
    <t xml:space="preserve">           PREFEITURA DE GUARULHOS  SP - [15443]</t>
  </si>
  <si>
    <t xml:space="preserve">           EMPRESA BRASILEIRA DE SER. HOSP. EBSERH GO  - [16682]</t>
  </si>
  <si>
    <t xml:space="preserve">           FUNDO DE SAUDE DE LAGARTO  SE - [17144]</t>
  </si>
  <si>
    <t xml:space="preserve">           FUNDO MUNICIPAL DE SAUDE DE MONSENHOR TA - [16878]</t>
  </si>
  <si>
    <t xml:space="preserve">           CONSELHO REGIONAL DE FARMACIA DO ESTADO  - [17424]</t>
  </si>
  <si>
    <t xml:space="preserve">           FUNDO MUNICIPAL DE SAUDE DE CEREJEIRAS   - [17790]</t>
  </si>
  <si>
    <t xml:space="preserve">           FUNDO MUNICIPAL DE SAUDE DE IPAMERI   GO - [17720]</t>
  </si>
  <si>
    <t xml:space="preserve">           FUNDO MUNICIPAL DE SAUDE DE ITAJA        - [17748]</t>
  </si>
  <si>
    <t xml:space="preserve">           JOAO BATISTA DE SOUZA FILHO - [17993]</t>
  </si>
  <si>
    <t xml:space="preserve">           FUNDO MUNICIPAL DE SAUDE DE ENTRE RIOS D - [18217]</t>
  </si>
  <si>
    <t xml:space="preserve">           MUNICIPIO DE VERA CRUZ - [18252]</t>
  </si>
  <si>
    <t xml:space="preserve">           FUNDO MUNICIPAL DE SAUDE DE TAGUATINGA S - [18259]</t>
  </si>
  <si>
    <t xml:space="preserve">           MUNICIPIO DE PAULISTANIA - [18266]</t>
  </si>
  <si>
    <t xml:space="preserve">           MUNICIPIO DE ECHAPORA - [18294]</t>
  </si>
  <si>
    <t xml:space="preserve">           OUTROS CREDITOS - [311]</t>
  </si>
  <si>
    <t xml:space="preserve">           ANTECIPACÕES - [500]</t>
  </si>
  <si>
    <t xml:space="preserve">           IMPOSTOS A COMPENSAR - [550]</t>
  </si>
  <si>
    <t xml:space="preserve">           CSLL PAGO A MAIOR OU INDEVIDO - [552]</t>
  </si>
  <si>
    <t xml:space="preserve">           IR A RECUPERAR DAS NOTAS DE VENDAS  - [16724]</t>
  </si>
  <si>
    <t xml:space="preserve">           OUTROS CREDITOS - [575]</t>
  </si>
  <si>
    <t xml:space="preserve">          PRODUTOS - [580]</t>
  </si>
  <si>
    <t xml:space="preserve">          PRODUTOS ACABADOS - [581]</t>
  </si>
  <si>
    <t xml:space="preserve">           (-) PERDA DE ESTOQUE - [586]</t>
  </si>
  <si>
    <t xml:space="preserve">           SAHS HUNT 76 LIQUIDO (HIPOCLORIDO DE CALCIO) - [17578]</t>
  </si>
  <si>
    <t xml:space="preserve">          MATERIAIS - [588]</t>
  </si>
  <si>
    <t xml:space="preserve">          MATERIAS-PRIMAS - [589]</t>
  </si>
  <si>
    <t xml:space="preserve">           SAHS HUNT 76 LIQUIDO ( HIPOCLORREIDO DE CALCIO) - [17692]</t>
  </si>
  <si>
    <t xml:space="preserve">         EMBALAGENS - [609]</t>
  </si>
  <si>
    <t xml:space="preserve">          ESTOQUE DE EMBALAGENS - [611]</t>
  </si>
  <si>
    <t xml:space="preserve">          (-) PROVISÃO DE PERDA DE ESTOQUE - [7580]</t>
  </si>
  <si>
    <t xml:space="preserve">           MERCADORIAS P/ REVENDA  - [629]</t>
  </si>
  <si>
    <t xml:space="preserve">           MERCADORIAS P/ REVENDA - [630]</t>
  </si>
  <si>
    <t xml:space="preserve">           SOLUÇÃO CONTOLE DE GLICOSE - [17657]</t>
  </si>
  <si>
    <t xml:space="preserve">           BATERIA DE LITIO CR 2032 - GLUCOLEADER - [17664]</t>
  </si>
  <si>
    <t xml:space="preserve">           CABO GLUCOLEADER 2 SAIDAS E CABO USB OKMETER - [17671]</t>
  </si>
  <si>
    <t xml:space="preserve">           MEDIDOR DE GLICOSE SANG OKMETER MATCH II GOD - [17678]</t>
  </si>
  <si>
    <t xml:space="preserve">           TIRA DE TESTE DE GLICOSE OKMETER MATCH - [17685]</t>
  </si>
  <si>
    <t xml:space="preserve">           ESTOQUE DE MERCADORIA - MEDIDOR GLICOSE - [3419]</t>
  </si>
  <si>
    <t xml:space="preserve">           ESTOQUE DE MERCADORIA - TIRAS DE TESTE - [3426]</t>
  </si>
  <si>
    <t xml:space="preserve">           (-)PERDA DE MERCADORIAS P/ REVENDA  - [17797]</t>
  </si>
  <si>
    <t xml:space="preserve">           ESTOQUE EM PODER DE TERCEIROS - [649]</t>
  </si>
  <si>
    <t xml:space="preserve">           ESTOQUE EM PODER DE TERCEIROS - [650]</t>
  </si>
  <si>
    <t xml:space="preserve">           GOLDEN CBD+ NANOTECH - CANABIDIOL - [917]</t>
  </si>
  <si>
    <t xml:space="preserve">           ALMOXARIFADO DE CONSUMO - [3784]</t>
  </si>
  <si>
    <t xml:space="preserve">           ALMOXARIFADO DE CONSUMO - [3791]</t>
  </si>
  <si>
    <t xml:space="preserve">          ESTOQUE DE ARRENDAMENTO MERCANTIL - [3524]</t>
  </si>
  <si>
    <t xml:space="preserve">          ESTOQUE DE ARRENDAMENTO MERCANTIL - [3580]</t>
  </si>
  <si>
    <t xml:space="preserve">          ESTOQUE DE ARRENDAMENTO MERCANTIL HMD - [3587]</t>
  </si>
  <si>
    <t xml:space="preserve">           DESP. DIFERIDAS / ANTECIPADAS - [681]</t>
  </si>
  <si>
    <t xml:space="preserve">           DESPESAS DIFERIDA S/ ANTECIPADAS - [682]</t>
  </si>
  <si>
    <t xml:space="preserve">           PREMIOS DE SEGUROS - [688]</t>
  </si>
  <si>
    <t xml:space="preserve">         Creditos longo prazo - [16451]</t>
  </si>
  <si>
    <t xml:space="preserve">         CREDITOS DE LONGO PRAZO - [702]</t>
  </si>
  <si>
    <t xml:space="preserve">          ELETROBRAS - [711]</t>
  </si>
  <si>
    <t xml:space="preserve">          PETROBRAS - [712]</t>
  </si>
  <si>
    <t xml:space="preserve">         TELEFONICA BRASIL ON - [713]</t>
  </si>
  <si>
    <t xml:space="preserve">         ANGIE - ITAÚ [722]</t>
  </si>
  <si>
    <t xml:space="preserve">          AÇÕES CLARO - ITAÚ [737]</t>
  </si>
  <si>
    <t xml:space="preserve">          BANCOOB  [723]</t>
  </si>
  <si>
    <t xml:space="preserve">         TELEGOIAS - TIM  [718]</t>
  </si>
  <si>
    <t xml:space="preserve">           OUTROS CREDITOS - [5012]</t>
  </si>
  <si>
    <t xml:space="preserve">           APLICAÇÕES C/ RECURSOS PROPRIOS - [716]</t>
  </si>
  <si>
    <t xml:space="preserve">           APLICAÇÕES DE INCENTIVOS FISCAIS - [717]</t>
  </si>
  <si>
    <t xml:space="preserve">            APLICAÇÕES INCENTIVADAS - [730]</t>
  </si>
  <si>
    <t xml:space="preserve">           SRI - COM. SERV.REC.INFORMAÇÃO SA-  [720]</t>
  </si>
  <si>
    <t xml:space="preserve">          PATROCIONIO CULTURAL - [721]</t>
  </si>
  <si>
    <t xml:space="preserve">          BENS DESTINADOS A COMODATO - [17734]</t>
  </si>
  <si>
    <t>10B</t>
  </si>
  <si>
    <t xml:space="preserve">          BENS DESTINADOS A COMODATO - [17895]</t>
  </si>
  <si>
    <t xml:space="preserve">           BENS DESTINADOS A COMODATO - [17902]</t>
  </si>
  <si>
    <t xml:space="preserve">         IMOBILIZAÇÕES TÉCNICAS - [751]</t>
  </si>
  <si>
    <t xml:space="preserve">           EDIFICIO FARMACIA POPULAR - [17579]</t>
  </si>
  <si>
    <t xml:space="preserve">           (-) PERDA POR IMPAIRMENT - [17699]</t>
  </si>
  <si>
    <t xml:space="preserve">          MAQUINAS E FERRAMENTAS - [763]</t>
  </si>
  <si>
    <t xml:space="preserve">           FOGÃO INDUSTRIAL. 30 - [17607]</t>
  </si>
  <si>
    <t xml:space="preserve">           (-) PERDA POR IMPAIRMENT - [5265]</t>
  </si>
  <si>
    <t xml:space="preserve">           MOVEIS E UTENSILIOS - [773]</t>
  </si>
  <si>
    <t xml:space="preserve">           OUTROS - MOV. E UTENS. - [781]</t>
  </si>
  <si>
    <t xml:space="preserve">          (-) PERDA POR IMPAIRMENT. - [6504]</t>
  </si>
  <si>
    <t xml:space="preserve">          MOVEIS UTENSILIOS - INSTALAÇÕES - [783]</t>
  </si>
  <si>
    <t xml:space="preserve">           BIBLIOTECA - [793]</t>
  </si>
  <si>
    <t xml:space="preserve">           (-) PERDA POR IMPAIRMNT</t>
  </si>
  <si>
    <t xml:space="preserve">          ADMINISTRAÇÃO I- VEÍCULOS - [799]</t>
  </si>
  <si>
    <t xml:space="preserve">         (-)PERDA POR IMPAIRMENT [821]</t>
  </si>
  <si>
    <t xml:space="preserve">           COMPUTADORES DELL - [17628]</t>
  </si>
  <si>
    <t xml:space="preserve">           (-) PERDA POR IMPAIRMENT  [17656]</t>
  </si>
  <si>
    <t xml:space="preserve">           DIREITO USO LINHA TELEFONICA - [814]</t>
  </si>
  <si>
    <t xml:space="preserve">           (-) PERDA POR IMPAIRMENT - [822]</t>
  </si>
  <si>
    <t xml:space="preserve">           FUNDO DE DEPRECIAÇÃO - [844]</t>
  </si>
  <si>
    <t xml:space="preserve">           BENS DESTINADOS A COMODATO - [17501]</t>
  </si>
  <si>
    <t xml:space="preserve">           PASSIVO - [2000]</t>
  </si>
  <si>
    <t xml:space="preserve">           Passivo - [16458]</t>
  </si>
  <si>
    <t xml:space="preserve">            FORNECEDORES - [2003]</t>
  </si>
  <si>
    <t>P</t>
  </si>
  <si>
    <t xml:space="preserve">           FORNECEDORES DE MATERIA-PRIMA - [2004]</t>
  </si>
  <si>
    <t xml:space="preserve">           LPG LANZA PHARMA GMBH - [5817]</t>
  </si>
  <si>
    <t xml:space="preserve">           LUSA INDUSTRIA GRAFICA LTDA - [17972]</t>
  </si>
  <si>
    <t xml:space="preserve">           GENESIS PRESTADORA DE SERVIÇOS LTDA - [18014]</t>
  </si>
  <si>
    <t xml:space="preserve">           FORNECEDORES DE EMBALAGENS - [2200]</t>
  </si>
  <si>
    <t xml:space="preserve">           MSC MEDITERRANEO DO BRASIL LTDA </t>
  </si>
  <si>
    <t xml:space="preserve">           ONIX FERRAGISTA LTDA - [16654]</t>
  </si>
  <si>
    <t xml:space="preserve">           GOLDEN CBD+ NANOTECH LTDA - [16731]</t>
  </si>
  <si>
    <t xml:space="preserve">          FORNECEDORES DE MATERIAL DE CONSUMO - [2400]</t>
  </si>
  <si>
    <t xml:space="preserve">           A SUPREMA COMERCIAL LTDA - [2472]</t>
  </si>
  <si>
    <t xml:space="preserve">           D.A. DA SILVA - PANIFICADORA PREDILETA - [16906]</t>
  </si>
  <si>
    <t xml:space="preserve">           ZAPEMIL DISTRIBUIDORA LTDA - [17403]</t>
  </si>
  <si>
    <t xml:space="preserve">           GOIASTEC COMERCIO E SERVICOS LTDA - [17508]</t>
  </si>
  <si>
    <t xml:space="preserve">           MASTER DIGITAL COPIADORA LTDA ME - [3594]</t>
  </si>
  <si>
    <t xml:space="preserve">           FORNECEDORES DE SERVIÇOS - [2500]</t>
  </si>
  <si>
    <t xml:space="preserve">           GS1 BRASIL ASS BRAS AUTOMAÇÃO  - [2630]</t>
  </si>
  <si>
    <t xml:space="preserve">           ABRANTES MARTINS LTDA - EPP - [5790]</t>
  </si>
  <si>
    <t xml:space="preserve">           SALERMO CORREA ENGENHARIA E COMÉRCIO LTDA - [7117]</t>
  </si>
  <si>
    <t xml:space="preserve">           AGUIA COMPANHIA DE EXTRACAO DE AGREGADOS E AGUA MI - [18056]</t>
  </si>
  <si>
    <t xml:space="preserve">           Le Card Adminis. de Cartões - [18210]</t>
  </si>
  <si>
    <t xml:space="preserve">           OI S.A. - [18000]</t>
  </si>
  <si>
    <t xml:space="preserve">           ECUSTOMIZE CONSULTORIA EM SOFTWARE LTDA - [17431]</t>
  </si>
  <si>
    <t xml:space="preserve">           AC-AIMIRI CONSTRUTORA LTDA - [17502]</t>
  </si>
  <si>
    <t xml:space="preserve">           AIRWAY TRANSPORTES - [17606]</t>
  </si>
  <si>
    <t xml:space="preserve">           LOCALIZA VEICULOS ESPECIAIS S/A - [17613]</t>
  </si>
  <si>
    <t xml:space="preserve">           GARANTIA PRESTAÇÃO DE SERVIÇOS LTDA - [17669]</t>
  </si>
  <si>
    <t xml:space="preserve">           CARTORIO FERNANDO DIAS - [17586]</t>
  </si>
  <si>
    <t xml:space="preserve">           COMPLIANCE AUDITORES INDEPENTES EIRELI - [17558]</t>
  </si>
  <si>
    <t xml:space="preserve">           NP TECNOLOGIA E GESTAO DE DADOS LTDA - [17676]</t>
  </si>
  <si>
    <t xml:space="preserve">           AF EMPREENDIMENTOS EIRELL - [17593]</t>
  </si>
  <si>
    <t xml:space="preserve">           MERCANTIL COMERCIO DE FERRAMENTAS E UTILIDADES  - [17600]</t>
  </si>
  <si>
    <t xml:space="preserve">           J.L. DO B. GUIMARAES  - [17621]</t>
  </si>
  <si>
    <t xml:space="preserve">           CONSELHO NACIONAL DE SECRETARIAS MUNICIP - [3440]</t>
  </si>
  <si>
    <t xml:space="preserve">           RRF GUIMARAES AGENCIA DE VIAGENS LTDA - [3447]</t>
  </si>
  <si>
    <t xml:space="preserve">           EXCELENCIA EDUCAÇÃO E ENSINO LTDA - [3454]</t>
  </si>
  <si>
    <t xml:space="preserve">           SOLUTI SOLICOES EM NEGOCIOS INTELIGENTES - [3461]</t>
  </si>
  <si>
    <t xml:space="preserve">           SERTEL SERVIÇOS TELEFONICOS E EQUIPAMENTOS LTDA - [3468]</t>
  </si>
  <si>
    <t xml:space="preserve">           ALL CONNECT PRODUTOS E SERVIÇOS LTDA - [3475]</t>
  </si>
  <si>
    <t xml:space="preserve">           JVS PARTICIPAÇOES EIRELI - [3489]</t>
  </si>
  <si>
    <t xml:space="preserve">           FC ALIMENTOS EIRELI - [3608]</t>
  </si>
  <si>
    <t xml:space="preserve">           ARVORETA MAQUINAS LTDA - [17627]</t>
  </si>
  <si>
    <t xml:space="preserve">           SODEXO PASS DO  BRASIL SERVIÇOS E COMERCIO - [17846]</t>
  </si>
  <si>
    <t xml:space="preserve">           GOIAS TELECOMUNICAÇÃO SA GOIASTELECOM - [17860]</t>
  </si>
  <si>
    <t xml:space="preserve">           AVISO URGENTE TECNOLOGIA E INFORMACAO LTDA - [17986]</t>
  </si>
  <si>
    <t xml:space="preserve">           PRIME CONSULTORIA E ASSESSORIA EMPRESARIAL LTDA - [18007]</t>
  </si>
  <si>
    <t xml:space="preserve">           DMS CALIBRAÇÕES E INSPEÇÕES INDUSTRIAL LTDA - [18021]</t>
  </si>
  <si>
    <t xml:space="preserve">           R&amp;C IMPERIO CONSULTORIA E SOLUCOES TECNOLGICAS LTD - [18042]</t>
  </si>
  <si>
    <t xml:space="preserve">           STANQTEST - AVALIACOES LTDA - [18049]</t>
  </si>
  <si>
    <t xml:space="preserve">           J A DIAS COMERCIO E REPRESENTAÇÕES - [18112]</t>
  </si>
  <si>
    <t xml:space="preserve">           BPE LOCAÇÕES E SERVIÇOS EIRELI -ME - [18126]</t>
  </si>
  <si>
    <t xml:space="preserve">           PROSTANDS EVENTOS LTDA - [18140]</t>
  </si>
  <si>
    <t xml:space="preserve">            IOC CAPACITAÇÃO LTDA - [18245]</t>
  </si>
  <si>
    <t xml:space="preserve">           FORNECEDORES DE REAGENTES - [2680]</t>
  </si>
  <si>
    <t xml:space="preserve">           ONIX FERRAGISTA LTDA - [16633]</t>
  </si>
  <si>
    <t xml:space="preserve">           FORNECEDORES DO ATIVO PERMANENTE - [2685]</t>
  </si>
  <si>
    <t xml:space="preserve">           ARVORETA MAQUINAS - [17572]</t>
  </si>
  <si>
    <t xml:space="preserve">           SUPORTE CLIMATIZAÇÃO - [3482]</t>
  </si>
  <si>
    <t xml:space="preserve">           HM CONSTRUTORA  E ENGENHARIA EIRELI - [17642]</t>
  </si>
  <si>
    <t xml:space="preserve">           DUARTE E ALMEIDA PROJETOS COMBATE A INCENDIO - [17635]</t>
  </si>
  <si>
    <t xml:space="preserve">           OBRIGAÇÕES SOCIAIS E TRABALHISTAS - [2720]</t>
  </si>
  <si>
    <t xml:space="preserve">           OBRIGAÇÕES SOCIAIS E TRABALHISTAS - [2721]</t>
  </si>
  <si>
    <t xml:space="preserve">           ACORDO TRABALHISTA - [2748]</t>
  </si>
  <si>
    <t xml:space="preserve">           RESCISÕES A PAGAR - [2749]</t>
  </si>
  <si>
    <t xml:space="preserve">           SEGURO DE VIDA EM GRUPO - [4649]</t>
  </si>
  <si>
    <t xml:space="preserve">           FUNPREV - FUNDO PREVIDENCIÁRIO ESTADO/ MUNICIPIO - [6497]</t>
  </si>
  <si>
    <t xml:space="preserve">          OBRIG. SOCIAIS E TRABALHISTAS - PARCELAMENTO - [2775]</t>
  </si>
  <si>
    <t xml:space="preserve">          OBRIGAÇÕES TRITUTÁRIAS - [2780]</t>
  </si>
  <si>
    <t xml:space="preserve">          OBRIGAÇÕES TRIBUTÁRIAS - [2781]</t>
  </si>
  <si>
    <t xml:space="preserve">          OBRIGAÇÕES TRIBUTARIAS - PARCELAMENTO - [2800]</t>
  </si>
  <si>
    <t xml:space="preserve">           PARCEL MULTA DE OFICIO RFB 10120723762/2012-17 - [17235]</t>
  </si>
  <si>
    <t xml:space="preserve">          CREDITOS DE TERCEIROS - [2810]</t>
  </si>
  <si>
    <t xml:space="preserve">          ADIANTAMENTO DE CLIENTES - [2811]</t>
  </si>
  <si>
    <t xml:space="preserve">          OUTRAS EXIGIBILIDADES - [2860]</t>
  </si>
  <si>
    <t xml:space="preserve">          OUTRAS EXIGIBILIDADES - [2861]</t>
  </si>
  <si>
    <t xml:space="preserve">           PAGAMENTO PASEP - [2863]</t>
  </si>
  <si>
    <t xml:space="preserve">          PROVISÕES SOCIAIS E TRABALHISTAS - [2870]</t>
  </si>
  <si>
    <t xml:space="preserve">          PROVISÕES SOCIAIS E TRABALHISTAS - [2871]</t>
  </si>
  <si>
    <t xml:space="preserve">           OUTRAS CONTAS - [8503]</t>
  </si>
  <si>
    <t xml:space="preserve">           OUTRAS CONTAS A PAGAR - [8510]</t>
  </si>
  <si>
    <t xml:space="preserve">           ACORDO PROCESSOS CIVEIS - [16185]</t>
  </si>
  <si>
    <t xml:space="preserve">           RESSARCIMENTO FUNCIONARIO - CELG - [18301]</t>
  </si>
  <si>
    <t xml:space="preserve">           PASSIVO A LONGO PRAZO - [16465]</t>
  </si>
  <si>
    <t xml:space="preserve">           PARCELAMENTOS - [2882]</t>
  </si>
  <si>
    <t xml:space="preserve">           PARCELAMENTOS A LONGO PRAZO - [2883]</t>
  </si>
  <si>
    <t xml:space="preserve">           ACORDO CIVEL LONGO PRAZO - [17046]</t>
  </si>
  <si>
    <t xml:space="preserve">           ACORDO TRABALHISTA - LONGO PRAZO [17053]</t>
  </si>
  <si>
    <t xml:space="preserve">           PARCELAMENTOS DE TRIBUTOS - [2885]</t>
  </si>
  <si>
    <t xml:space="preserve">           PARCEL MULTA DE OFICIO RFB 10120723762/2012-17 - [17242]</t>
  </si>
  <si>
    <t xml:space="preserve">           PROVISÕES DE PROCESSOS - [8475]</t>
  </si>
  <si>
    <t xml:space="preserve">           PROVISÕES DE RISCOS  - [8482]</t>
  </si>
  <si>
    <t xml:space="preserve">           PATRIMÔNIO LIQUIDO - [16472]</t>
  </si>
  <si>
    <t xml:space="preserve">           CAPITAL SOCIAL REALIZADO - [2927]</t>
  </si>
  <si>
    <t xml:space="preserve">           DOMICILIADO NO PAIS  - [2928]</t>
  </si>
  <si>
    <t xml:space="preserve">           LUCROS OU PREJUIZOS - [2961]</t>
  </si>
  <si>
    <t xml:space="preserve">           LUCROS - [2962]</t>
  </si>
  <si>
    <t xml:space="preserve">           LUCRO DO EXERCICIO - [2963]</t>
  </si>
  <si>
    <t xml:space="preserve">         CUSTOS E DESPESAS - [3000]</t>
  </si>
  <si>
    <t xml:space="preserve">         CUSTOS E DESPESAS - [16479]</t>
  </si>
  <si>
    <t>D22</t>
  </si>
  <si>
    <t xml:space="preserve">          CUSTO DA MERCADORIA VENDIDA - [17530]</t>
  </si>
  <si>
    <t xml:space="preserve">          CUSTO DA MERCADORIA VENDIDA - [17537]</t>
  </si>
  <si>
    <t xml:space="preserve">          CMV INICIAL - [17544]</t>
  </si>
  <si>
    <t xml:space="preserve">          ( ) CMV FINAL - [17551]</t>
  </si>
  <si>
    <t xml:space="preserve">        PESSOAL - [3004]</t>
  </si>
  <si>
    <t xml:space="preserve">        VALE TRANSPORTES - [3031] </t>
  </si>
  <si>
    <t xml:space="preserve">        ASSISTENCIA MEDICA E SOCIAL - [6189]</t>
  </si>
  <si>
    <t xml:space="preserve">        ABONO NATALINO DIRETORIA - [6280]</t>
  </si>
  <si>
    <t>-</t>
  </si>
  <si>
    <t xml:space="preserve">          MANUTENÇÃO DE EQUIPAMENTOS INDUSTRIAIS -[3064]</t>
  </si>
  <si>
    <t xml:space="preserve">          CUSTOS GERAIS DA PRODUÇÃO - [3071]</t>
  </si>
  <si>
    <t xml:space="preserve">           ANÁLISE DE CONTROLE DE QUALIDADE - [ 3072]</t>
  </si>
  <si>
    <t xml:space="preserve">           DIARIAS, VIAGENS E REPRESENTAÇÕES - [5292]</t>
  </si>
  <si>
    <t xml:space="preserve">           PREVISÃO DE PERDA COM ESTOQUE OBSOLETO - [7559]</t>
  </si>
  <si>
    <t xml:space="preserve">           DESPESAS CATORIAIS E LEGAIS - [5077]</t>
  </si>
  <si>
    <t xml:space="preserve">        PESSOAL - [3201]</t>
  </si>
  <si>
    <t xml:space="preserve">       CURSOS E TREINAMENTOS - [3211]</t>
  </si>
  <si>
    <t xml:space="preserve">         ENERGIA - [3240]</t>
  </si>
  <si>
    <t xml:space="preserve">         SERVIÇO DE TELEFONIA - [3247]</t>
  </si>
  <si>
    <t xml:space="preserve">         SERVIÇO DE TERCEIROS - PJ - 3251]</t>
  </si>
  <si>
    <t xml:space="preserve">         MANUTENÇÃO EM SOFTWARE - [3254]</t>
  </si>
  <si>
    <t xml:space="preserve">         MATERIAL DE CONSUMO - [3257]</t>
  </si>
  <si>
    <t xml:space="preserve">        DOAÇÕES DE MERCADORIAS - [3262]</t>
  </si>
  <si>
    <t xml:space="preserve">        COMISSÕES DE VENDAS - [3263]</t>
  </si>
  <si>
    <t xml:space="preserve">           DESPESAS COM VENDAS - [3273]</t>
  </si>
  <si>
    <t xml:space="preserve">           FRETES E CARRETOS - [3.1.12.05.0003]</t>
  </si>
  <si>
    <t xml:space="preserve">           AMOSTRA BATERUA DE LITIO CR 2032 - GLUCOLEADER - [16745]</t>
  </si>
  <si>
    <t xml:space="preserve">           AMOSTRA CABO GLUCOLEADER 2 SAIDAS E CABO OKMETER - [126899]</t>
  </si>
  <si>
    <t xml:space="preserve">          DESPESAS C/ PROPAGANDAS E PUBLICIDADES - [3.1.12.06]</t>
  </si>
  <si>
    <t xml:space="preserve">          FEIRAS E EXPOSIÇÕES - 3286]</t>
  </si>
  <si>
    <t xml:space="preserve">           PERDAS DE ESTOQUE - [3300]</t>
  </si>
  <si>
    <t xml:space="preserve">           DESPESAS - [16486]</t>
  </si>
  <si>
    <t xml:space="preserve">           DESPESAS ADMINISTRATIVAS - [3322]</t>
  </si>
  <si>
    <t xml:space="preserve">           PESSOAL - [3323]</t>
  </si>
  <si>
    <t>D23</t>
  </si>
  <si>
    <t xml:space="preserve">           CURSOS E TREINAMENTOS - [3333]</t>
  </si>
  <si>
    <t xml:space="preserve">           LICENÇA PREMIA - [3335]</t>
  </si>
  <si>
    <t xml:space="preserve">           HORAS-EXTRAS - [3339] </t>
  </si>
  <si>
    <t xml:space="preserve">           SEGURO DE VIDA EM GRUPO - [3346]</t>
  </si>
  <si>
    <t xml:space="preserve">           DESP C/ FÉRIAS + 1/3 - [8447]</t>
  </si>
  <si>
    <t xml:space="preserve">           PROVISÕES - [3360]</t>
  </si>
  <si>
    <t xml:space="preserve">           PROVISÃO DE RISCO CONVENIO 61/2006 MS - [13266]</t>
  </si>
  <si>
    <t xml:space="preserve">           HONORARIOS CONTABEIS - [3377]</t>
  </si>
  <si>
    <t xml:space="preserve">           DECORAÇÕES DE JARDINS - [3383]</t>
  </si>
  <si>
    <t xml:space="preserve">           MANUTENÇÃO EM EQUIPAMENTOS - [3387]</t>
  </si>
  <si>
    <t xml:space="preserve">           DESPESA COM VEÍCULOS - [3388]</t>
  </si>
  <si>
    <t xml:space="preserve">           DESPESAS CARTORIAIS E LEGAIS - [3392]</t>
  </si>
  <si>
    <t xml:space="preserve">           LOCAÇÃO DE EQUIPAMENTOS - [3394] </t>
  </si>
  <si>
    <t xml:space="preserve">           LICENCIAMENTO DE VEICULOS</t>
  </si>
  <si>
    <t xml:space="preserve">           ASSINATURA DE PERIODICOS - [3401]</t>
  </si>
  <si>
    <t xml:space="preserve">           MANUTENÇÃO DE IMOVEIS - [4978]</t>
  </si>
  <si>
    <t xml:space="preserve">           ASSINATURAS E PERIODICOS</t>
  </si>
  <si>
    <t xml:space="preserve">           BAIXA DE ATIVOS - [7852]</t>
  </si>
  <si>
    <t xml:space="preserve">           LOCAÇÃO DE VEICULOS - [7622]</t>
  </si>
  <si>
    <t xml:space="preserve">           DESPESA INTERNET - [3414]</t>
  </si>
  <si>
    <t xml:space="preserve">           MATERIAL ELETRICO - [16661]</t>
  </si>
  <si>
    <t xml:space="preserve">           SERVIÇO DE DIGITALIZAÇÃO - [16689]</t>
  </si>
  <si>
    <t xml:space="preserve">           DESPESAS COM PCLD - [16787]</t>
  </si>
  <si>
    <t xml:space="preserve">           DESPESAS FINANCEIRAS - [3490]</t>
  </si>
  <si>
    <t>25B</t>
  </si>
  <si>
    <t xml:space="preserve">           MULTAS CONTRATUAIS - [ 17333]</t>
  </si>
  <si>
    <t xml:space="preserve">         DESPESAS INDEDUTÍVEIS - [3520]</t>
  </si>
  <si>
    <t xml:space="preserve">          MULTAS FISCAIS (AUTUAÇÕES) - [3521]</t>
  </si>
  <si>
    <t xml:space="preserve">          OUTRAS DESPESAS - [3523]</t>
  </si>
  <si>
    <t xml:space="preserve">         COFINS S/ RECEITAS FINANCEIRAS  - [3532]</t>
  </si>
  <si>
    <t xml:space="preserve">         PASEP S/ RECEITAS FINANCEIRAS - [3533]</t>
  </si>
  <si>
    <t xml:space="preserve">         IMPOSTOS E TAXAS ESTADUAIS - [3535]</t>
  </si>
  <si>
    <t xml:space="preserve">         IMPOSTOS E TAXAS FEDERAIS - [3536]</t>
  </si>
  <si>
    <t xml:space="preserve">         IRRF - [3538]</t>
  </si>
  <si>
    <t xml:space="preserve">         MULTAS FISCAIS </t>
  </si>
  <si>
    <t xml:space="preserve">         I.P.T.U - [3544]</t>
  </si>
  <si>
    <t xml:space="preserve">         IMPOSTOS E TAXAS MUNICIPAIS - [3537]</t>
  </si>
  <si>
    <t xml:space="preserve">         FARMÁCIA POPULAR - [3550]</t>
  </si>
  <si>
    <t xml:space="preserve">         PESSOAL  - [3451]</t>
  </si>
  <si>
    <t xml:space="preserve">         FÉRIAS - [3562]</t>
  </si>
  <si>
    <t xml:space="preserve">         RECEITAS  - [4000]</t>
  </si>
  <si>
    <t xml:space="preserve">         RECEITAS - [16493]</t>
  </si>
  <si>
    <t>21 A</t>
  </si>
  <si>
    <t xml:space="preserve">         LINHA HUMANA - [4003]</t>
  </si>
  <si>
    <t xml:space="preserve">         PRODUTOS - [4011]</t>
  </si>
  <si>
    <t xml:space="preserve">         PRODUTOS GOD - [16766]</t>
  </si>
  <si>
    <t xml:space="preserve">         VENDAS - [16500]</t>
  </si>
  <si>
    <t xml:space="preserve">         VENDA DE ATIVOS IMOBILIZADOS - [4115]</t>
  </si>
  <si>
    <t xml:space="preserve">         VENDA DE IMOBILIZADOS TÉCNICOS - [4116]</t>
  </si>
  <si>
    <t xml:space="preserve">          MAQUINAS E APARELHOS - [4119]</t>
  </si>
  <si>
    <t>21 B</t>
  </si>
  <si>
    <t xml:space="preserve">        VENDAS - [16500]</t>
  </si>
  <si>
    <t xml:space="preserve">        RENDA DE VARIAÇÃO MONETARIA - [4140]</t>
  </si>
  <si>
    <t xml:space="preserve">        RENDA DE VARIAÇÃO CAMBIAL - [4141]</t>
  </si>
  <si>
    <t xml:space="preserve">        RENDA DE VARIAÇÃO CAMBIAL ATIVA - [4142]</t>
  </si>
  <si>
    <t xml:space="preserve">          RENDA DE VARIAÇÃO MONETARIA - [4150]</t>
  </si>
  <si>
    <t xml:space="preserve">          RENDA DE VARIAÇÃO MONETARIA ATIVA - [4151]</t>
  </si>
  <si>
    <t xml:space="preserve">          RECEITAS DIVERSAS - [4161]</t>
  </si>
  <si>
    <t xml:space="preserve">          RECEITAS DIVERSAS - [4165]</t>
  </si>
  <si>
    <t xml:space="preserve">          DOAÇÕES RECEBIDAS - [4170]</t>
  </si>
  <si>
    <t xml:space="preserve">           JUROS S/ RECEBIMENTOS - [4174]</t>
  </si>
  <si>
    <t xml:space="preserve">           RECEITAS DE SUBVENÇÃO GOVERNAMENTAL - [11343]</t>
  </si>
  <si>
    <t xml:space="preserve">           RECEITAS FINANCEIRAS - [4180]</t>
  </si>
  <si>
    <t>D25</t>
  </si>
  <si>
    <t xml:space="preserve">           DESCONTOS OBTIDOS - [4181]</t>
  </si>
  <si>
    <t xml:space="preserve">           JUROS SOBRE ATIVOS FINANCEIROS - [4185]</t>
  </si>
  <si>
    <t xml:space="preserve">           JUROS S/ RECEBIMENTOS C/ ATRASO - [4188]</t>
  </si>
  <si>
    <t xml:space="preserve">           MULTA CONTRATUAL - [4191]</t>
  </si>
  <si>
    <t xml:space="preserve">           RENDIMENTO CONTA ÚNICA GOVERNO DO ESTADO DE GOIAS - [17410]</t>
  </si>
  <si>
    <t xml:space="preserve">           RECEITAS DE SERVIÇOS</t>
  </si>
  <si>
    <t xml:space="preserve">           RECUPERAÇÕES</t>
  </si>
  <si>
    <t xml:space="preserve">           RECUPERAÇÕES TRIBUTOSD FEDERAIS </t>
  </si>
  <si>
    <t xml:space="preserve">          DEDUÇÕE - [16514]</t>
  </si>
  <si>
    <t>D-21c</t>
  </si>
  <si>
    <t xml:space="preserve">          DEDUÇÃO S/ VENDAS - LINHA HUMANA - [4402]</t>
  </si>
  <si>
    <t xml:space="preserve">          DEDUÇÃO S/ VENDAS - CONVENIO FEDERAL - [4403]</t>
  </si>
  <si>
    <t xml:space="preserve">          DEVOLUÇÃO DE VENDAS - [4408]</t>
  </si>
  <si>
    <t>Impostos a Compensar</t>
  </si>
  <si>
    <t>Bens de Comodato</t>
  </si>
  <si>
    <t>Reavaliação</t>
  </si>
  <si>
    <t>RECEITAS</t>
  </si>
  <si>
    <t>R</t>
  </si>
  <si>
    <t>(-) Dedução da Receita</t>
  </si>
  <si>
    <t xml:space="preserve">DESPESAS </t>
  </si>
  <si>
    <t xml:space="preserve">Despesas Operacionais e Administrativas </t>
  </si>
  <si>
    <t>Despesas Tributárias</t>
  </si>
  <si>
    <t>As Notas Explicativas são partes integrantes das Demonstrações Financeiras.</t>
  </si>
  <si>
    <t>SALDOS EM 31.12.2023</t>
  </si>
  <si>
    <t>2023</t>
  </si>
  <si>
    <t>N</t>
  </si>
  <si>
    <t xml:space="preserve">   [1]ATIVO</t>
  </si>
  <si>
    <t xml:space="preserve">     [16444]Ativo</t>
  </si>
  <si>
    <t xml:space="preserve">       [4]BENS NUMERARIOS</t>
  </si>
  <si>
    <t xml:space="preserve">         [9]DEPOSITOS BANCARIOS</t>
  </si>
  <si>
    <t xml:space="preserve">           [11]BANCO DO BRASIL S/A - C/C 6.091-7</t>
  </si>
  <si>
    <t xml:space="preserve">           [12]BANCO ITAU S/A - C/C 1.399-5</t>
  </si>
  <si>
    <t xml:space="preserve">           [2378]BANCO CEF S/A - C/C 811-6</t>
  </si>
  <si>
    <t xml:space="preserve">           [8559]BANCO CEF S/A C/C 1661-5</t>
  </si>
  <si>
    <t xml:space="preserve">           [10367]BANCO CEF S/A C/C 1866-9</t>
  </si>
  <si>
    <t xml:space="preserve">           [11530]BANCO CEF S/A - C/C 2385-9</t>
  </si>
  <si>
    <t xml:space="preserve">           [12888]BANCO DO BRASIL S/A C/C 7096-3</t>
  </si>
  <si>
    <t xml:space="preserve">           [14064]BANCO CEF S/A - C/C 0264-4</t>
  </si>
  <si>
    <t xml:space="preserve">           [16283]BANCO ITAU S/A C/C 10744-2</t>
  </si>
  <si>
    <t xml:space="preserve">           [16997]CONTA ÚNICA Nº 100004 - GOV. GOIÁS - FILIAL</t>
  </si>
  <si>
    <t xml:space="preserve">           [17004]CONTA ÚNICA Nº 100004 - GOV. GOIÁS - MATRIZ</t>
  </si>
  <si>
    <t xml:space="preserve">         [30]APLICAÇÕES FINANCEIRAS</t>
  </si>
  <si>
    <t xml:space="preserve">           [5425]BANCO ITAU S/A C/C 1399-5</t>
  </si>
  <si>
    <t xml:space="preserve">           [9945]BANCO CEF S/A C/P 811-6</t>
  </si>
  <si>
    <t xml:space="preserve">           [3898]BANCO DO BRASIL C/P 6091-7</t>
  </si>
  <si>
    <t xml:space="preserve">           [10606]BANCO CEF S/A C/P 1866-9 </t>
  </si>
  <si>
    <t xml:space="preserve">         [13658]POUPANÇA</t>
  </si>
  <si>
    <t xml:space="preserve">           [13665]BANCO CEF S/A C/POUP 1866-9 CONV 787297/2013</t>
  </si>
  <si>
    <t xml:space="preserve">       [48]CREDITOS</t>
  </si>
  <si>
    <t xml:space="preserve">         [49]DUPLICATAS A RECEBER</t>
  </si>
  <si>
    <t xml:space="preserve">           [18308](-) PROVISÃO PARA CRÉDITOS DE LIQUIDAÇÃO DUVIDOSA</t>
  </si>
  <si>
    <t xml:space="preserve">           [1197]SECRET.ESTADO DA SAUDE DO AMAPA</t>
  </si>
  <si>
    <t xml:space="preserve">           [1351]FUNDO ESTADUAL DE SAUDE SERGIPE</t>
  </si>
  <si>
    <t xml:space="preserve">           [5460]PREFEITURA MUNICIPAL DE VIANOPOLIS</t>
  </si>
  <si>
    <t xml:space="preserve">           [8286]INSTITUTO DE CIENCIAS FARMACEUTICAS</t>
  </si>
  <si>
    <t xml:space="preserve">           [9259]FUNDO DE SAUDE DE EDEIA GO</t>
  </si>
  <si>
    <t xml:space="preserve">           [10755]FUNDO DE SAUDE DE MARA ROSA</t>
  </si>
  <si>
    <t xml:space="preserve">           [10874]FUNDO DE SAUDE DE CALDAS NOVAS GO</t>
  </si>
  <si>
    <t xml:space="preserve">           [11698]FUNDO DE SAUDE DE TURVANIA  GO </t>
  </si>
  <si>
    <t xml:space="preserve">           [11768]FUNDO DE SAUDE DE NOVO PLANALTO DE GOIAS - GO</t>
  </si>
  <si>
    <t xml:space="preserve">           [11824]FUNDO DE SAUDE DE LEOPOLDO DE BULHOES -GO</t>
  </si>
  <si>
    <t xml:space="preserve">           [11992]FUNDO DE SAUDE DE GOIANAPOLIS - GO</t>
  </si>
  <si>
    <t xml:space="preserve">           [12279]PREFEITURA DE QUERENCIA MT</t>
  </si>
  <si>
    <t xml:space="preserve">           [12405]FUNDO DE SAÚDE DE MIRANTE DA SERRA RO</t>
  </si>
  <si>
    <t xml:space="preserve">           [12447]FUNDO DE SAUDE DE CALDAZINHA GO</t>
  </si>
  <si>
    <t xml:space="preserve">           [12454]FUNDO DE SAUDE DE URUTAI GO</t>
  </si>
  <si>
    <t xml:space="preserve">           [12538]FUNDO DE SAUDE DE SOBRAL  CE</t>
  </si>
  <si>
    <t xml:space="preserve">           [12545]FUNDO DE SAUDE DE PALMELO  GO </t>
  </si>
  <si>
    <t xml:space="preserve">           [12552]FUNDO DE SAUDE DE ITAJA  GO </t>
  </si>
  <si>
    <t xml:space="preserve">           [12818]FUNDO DE SAUDE DE MAIRIPOTABA  GO</t>
  </si>
  <si>
    <t xml:space="preserve">           [12923]FUNDO DE SAUDE DE ALOANDIA GO</t>
  </si>
  <si>
    <t xml:space="preserve">           [13693]FUNDO DE SAUDE ARAGUAPAZ  GO</t>
  </si>
  <si>
    <t xml:space="preserve">           [13203]FUNDO MUNICIPAL DE SAUDE DE PORTEIRAO</t>
  </si>
  <si>
    <t xml:space="preserve">           [13924]SECRETARIA DE ESTADO DA SAUDE GOIAS</t>
  </si>
  <si>
    <t xml:space="preserve">           [14141]FUNDO DE SAUDE DE SANTANA DO ARAGUAIA PA</t>
  </si>
  <si>
    <t xml:space="preserve">           [14148]FUNDO DE SAUDE DE LABREA  AM</t>
  </si>
  <si>
    <t xml:space="preserve">           [14162]FUNDO DE SAUDE DE CAMAPUA  MS</t>
  </si>
  <si>
    <t xml:space="preserve">           [14358]FUNDO DE SAUDE PIRACURUCA  PI</t>
  </si>
  <si>
    <t xml:space="preserve">           [14372]FUNDO DE SAUDE DIANOPOLIS TO</t>
  </si>
  <si>
    <t xml:space="preserve">           [14379]FUNDO DE SAUDE PARINTINS AM</t>
  </si>
  <si>
    <t xml:space="preserve">           [14617]FUNDO DE SAÚDE DE CONCEIÇÃO DO TOCANTINS  TO</t>
  </si>
  <si>
    <t xml:space="preserve">           [14659]FUNDO DE SAUDE DE COLORADO DO OESTE  RO </t>
  </si>
  <si>
    <t xml:space="preserve">           [14757]PREFEITURA MUNICIPAL DE CABIXI    RO</t>
  </si>
  <si>
    <t xml:space="preserve">           [15002]FUNDO DE SAUDE DE SANCRERLANDIA  GO</t>
  </si>
  <si>
    <t xml:space="preserve">           [15016]FUNDO SAUDE DE DOVERLANDIA  GO </t>
  </si>
  <si>
    <t xml:space="preserve">           [15128]FUNDO DE SAUDE DE AQUIDAUANA  MS</t>
  </si>
  <si>
    <t xml:space="preserve">           [15443]PREFEITURA DE GUARULHOS  SP</t>
  </si>
  <si>
    <t xml:space="preserve">           [15849]FUNDO DE SAUDE ALTA FLORESTA DO OESTE</t>
  </si>
  <si>
    <t xml:space="preserve">           [16360]FUNDO MUNICIPAL DE SAUDE DE AGUA AZUL DO</t>
  </si>
  <si>
    <t xml:space="preserve">           [16374]FUNDO ESTADUAL DE SAUDE DE GOIÁS </t>
  </si>
  <si>
    <t xml:space="preserve">           [16381]CONSORCIO INTERM. DE SAUDE DO MEDIO VALE ITAJAÍ SC</t>
  </si>
  <si>
    <t xml:space="preserve">           [16416]CONSORCIO INTERMUNICIPAL DO SUL DO ESTADO ALAGOAS </t>
  </si>
  <si>
    <t xml:space="preserve">           [16549]FUNDO ESTADUAL DE SAUDE FUNDES CE</t>
  </si>
  <si>
    <t xml:space="preserve">           [16556]FUNDO DE SAUDE DE PORTO BELO  SC</t>
  </si>
  <si>
    <t xml:space="preserve">           [16612]MUNICIPIO DE MAQUINE  RS</t>
  </si>
  <si>
    <t xml:space="preserve">           [16682]EMPRESA BRASILEIRA DE SER. HOSP. EBSERH GO </t>
  </si>
  <si>
    <t xml:space="preserve">           [16822]FUNDO DE SAUDE DE BOM JARDIM  RJ</t>
  </si>
  <si>
    <t xml:space="preserve">           [17144]FUNDO DE SAUDE DE LAGARTO  SE</t>
  </si>
  <si>
    <t xml:space="preserve">           [16878]FUNDO MUNICIPAL DE SAUDE DE MONSENHOR TA</t>
  </si>
  <si>
    <t xml:space="preserve">           [17424]CONSELHO REGIONAL DE FARMACIA DO ESTADO </t>
  </si>
  <si>
    <t xml:space="preserve">           [17790]FUNDO MUNICIPAL DE SAUDE DE CEREJEIRAS  </t>
  </si>
  <si>
    <t xml:space="preserve">           [17720]FUNDO MUNICIPAL DE SAUDE DE IPAMERI   GO</t>
  </si>
  <si>
    <t xml:space="preserve">           [17748]FUNDO MUNICIPAL DE SAUDE DE ITAJA       </t>
  </si>
  <si>
    <t xml:space="preserve">           [17993]JOAO BATISTA DE SOUZA FILHO</t>
  </si>
  <si>
    <t xml:space="preserve">           [18217]FUNDO MUNICIPAL DE SAUDE DE ENTRE RIOS D</t>
  </si>
  <si>
    <t xml:space="preserve">           [18252]MUNICIPIO DE VERA CRUZ</t>
  </si>
  <si>
    <t xml:space="preserve">           [18259]FUNDO MUNICIPAL DE SAUDE DE TAGUATINGA S</t>
  </si>
  <si>
    <t xml:space="preserve">           [18266]MUNICIPIO DE PAULISTANIA</t>
  </si>
  <si>
    <t xml:space="preserve">           [18294]MUNICIPIO DE ECHAPORA</t>
  </si>
  <si>
    <t xml:space="preserve">         [300](-) DUPLICATAS RECEBIDAS</t>
  </si>
  <si>
    <t xml:space="preserve">           [6378]RECEBIMENTOS A CLASSIFICAR</t>
  </si>
  <si>
    <t xml:space="preserve">       [311]OUTROS CREDITOS</t>
  </si>
  <si>
    <t xml:space="preserve">         [500]ANTECIPACÕES</t>
  </si>
  <si>
    <t xml:space="preserve">           [502]ADIANTAMENTOS 13º SALARIO</t>
  </si>
  <si>
    <t xml:space="preserve">           [503]ADIANTAMENTOS DE FERIAS</t>
  </si>
  <si>
    <t xml:space="preserve">         [550]IMPOSTOS A COMPENSAR</t>
  </si>
  <si>
    <t xml:space="preserve">           [552]CSLL PAGO A MAIOR OU INDEVIDO</t>
  </si>
  <si>
    <t xml:space="preserve">           [553]CSLL RETIDO NA FONTE</t>
  </si>
  <si>
    <t xml:space="preserve">           [554]IMPOSTO DE RENDA RETIDO NA FONTE</t>
  </si>
  <si>
    <t xml:space="preserve">           [562]COFINS</t>
  </si>
  <si>
    <t xml:space="preserve">           [564]PASEP</t>
  </si>
  <si>
    <t xml:space="preserve">           [14022]CSRF 5952 PAGO A MAIOR OU INDEVIDO</t>
  </si>
  <si>
    <t xml:space="preserve">           [16724]IR A RECUPERAR DAS NOTAS DE VENDAS </t>
  </si>
  <si>
    <t xml:space="preserve">         [575]OUTROS CREDITOS</t>
  </si>
  <si>
    <t xml:space="preserve">           [576]BANCO REAL S/A</t>
  </si>
  <si>
    <t xml:space="preserve">           [577]ELETROBRAS S/A</t>
  </si>
  <si>
    <t xml:space="preserve">           [578]GERASUL</t>
  </si>
  <si>
    <t xml:space="preserve">         [13280]OPERAÇÕES COM A FILIAL</t>
  </si>
  <si>
    <t xml:space="preserve">       [580]PRODUTOS</t>
  </si>
  <si>
    <t xml:space="preserve">         [581]PRODUTOS ACABADOS</t>
  </si>
  <si>
    <t xml:space="preserve">           [586](-) PERDA DE ESTOQUE</t>
  </si>
  <si>
    <t xml:space="preserve">           [10599](-) PROVISÃO PARA PERDAS EM ESTOQUE</t>
  </si>
  <si>
    <t xml:space="preserve">           [16017]ESTOQUE - IQ. ALCOOL GEL 70%  - 1 LITRO</t>
  </si>
  <si>
    <t xml:space="preserve">           [16024]ESTOQUE - IQ. ALCOOL GEL 70%  - 440G</t>
  </si>
  <si>
    <t xml:space="preserve">           [16031]ESTOQUE - IQ. ALCOOL GEL 70% -  5 L</t>
  </si>
  <si>
    <t xml:space="preserve">           [16038]ESTOQUE - IQ. ALCOOL LIQ 70%  - 1 LITRO</t>
  </si>
  <si>
    <t xml:space="preserve">           [17578]SAHS HUNT 76 LIQUIDO (HIPOCLORIDO DE CALCIO)</t>
  </si>
  <si>
    <t xml:space="preserve">       [588]MATERIAIS</t>
  </si>
  <si>
    <t xml:space="preserve">         [589]MATERIAS-PRIMAS</t>
  </si>
  <si>
    <t xml:space="preserve">           [590]ESTOQUE MATERIA PRIMA</t>
  </si>
  <si>
    <t xml:space="preserve">           [17692]SAHS HUNT 76 LIQUIDO ( HIPOCLORREIDO DE CALCIO)</t>
  </si>
  <si>
    <t xml:space="preserve">       [609]EMBALAGENS</t>
  </si>
  <si>
    <t xml:space="preserve">         [610]EMBALAGENS</t>
  </si>
  <si>
    <t xml:space="preserve">           [611]ESTOQUE DE EMBALAGENS</t>
  </si>
  <si>
    <t xml:space="preserve">           [7580](-) PROVISÃO DE PERDA DE ESTOQUE</t>
  </si>
  <si>
    <t xml:space="preserve">       [629]MERCADORIAS P/ REVENDA </t>
  </si>
  <si>
    <t xml:space="preserve">         [630]MERCADORIAS P/ REVENDA</t>
  </si>
  <si>
    <t xml:space="preserve">           [17657]SOLUÇÃO CONTOLE DE GLICOSE</t>
  </si>
  <si>
    <t xml:space="preserve">           [17664]BATERIA DE LITIO CR 2032 - GLUCOLEADER</t>
  </si>
  <si>
    <t xml:space="preserve">           [17671]CABO GLUCOLEADER 2 SAIDAS E CABO USB OKMETER</t>
  </si>
  <si>
    <t xml:space="preserve">           [17678]MEDIDOR DE GLICOSE SANG OKMETER MATCH II GOD</t>
  </si>
  <si>
    <t xml:space="preserve">           [17685]TIRA DE TESTE DE GLICOSE OKMETER MATCH</t>
  </si>
  <si>
    <t xml:space="preserve">           [3419]ESTOQUE DE MERCADORIA - MEDIDOR GLICOSE</t>
  </si>
  <si>
    <t xml:space="preserve">           [3426]ESTOQUE DE MERCADORIA - TIRAS DE TESTE</t>
  </si>
  <si>
    <t xml:space="preserve">           [17797](-)PERDA DE MERCADORIAS P/ REVENDA </t>
  </si>
  <si>
    <t xml:space="preserve">       [649]ESTOQUE EM PODER DE TERCEIROS</t>
  </si>
  <si>
    <t xml:space="preserve">         [650]ESTOQUE EM PODER DE TERCEIROS</t>
  </si>
  <si>
    <t xml:space="preserve">           [917]GOLDEN CBD+ NANOTECH - CANABIDIOL</t>
  </si>
  <si>
    <t xml:space="preserve">       [3784]ALMOXARIFADO DE CONSUMO</t>
  </si>
  <si>
    <t xml:space="preserve">         [3791]ALMOXARIFADO DE CONSUMO</t>
  </si>
  <si>
    <t xml:space="preserve">           [3798]ESTOQUE ALMOXARIFADO DE CONSUMO</t>
  </si>
  <si>
    <t xml:space="preserve">           [16346]EQUIPAMENTOS</t>
  </si>
  <si>
    <t xml:space="preserve">       [3524]ESTOQUE DE ARRENDAMENTO MERCANTIL</t>
  </si>
  <si>
    <t xml:space="preserve">         [3580]ESTOQUE DE ARRENDAMENTO MERCANTIL</t>
  </si>
  <si>
    <t xml:space="preserve">           [3587]ESTOQUE DE ARRENDAMENTO MERCANTIL HMD</t>
  </si>
  <si>
    <t xml:space="preserve">       [681]DESP. DIFERIDAS / ANTECIPADAS</t>
  </si>
  <si>
    <t xml:space="preserve">         [682]DESPESAS DIFERIDA S/ ANTECIPADAS</t>
  </si>
  <si>
    <t xml:space="preserve">           [683]BLOQUEIOS JUDICIAIS</t>
  </si>
  <si>
    <t xml:space="preserve">           [688]PREMIOS DE SEGUROS</t>
  </si>
  <si>
    <t xml:space="preserve">     [16451]Creditos longo prazo</t>
  </si>
  <si>
    <t xml:space="preserve">       [702]CREDITOS DE LONGO PRAZO</t>
  </si>
  <si>
    <t xml:space="preserve">         [710]VALORES MOBILIARIOS</t>
  </si>
  <si>
    <t xml:space="preserve">           [711]ELETROBRAS</t>
  </si>
  <si>
    <t xml:space="preserve">           [712]PETROBRAS</t>
  </si>
  <si>
    <t xml:space="preserve">           [713]TELEFONICA BRASIL ON </t>
  </si>
  <si>
    <t xml:space="preserve">           [722]ANGIE - ITAÚ</t>
  </si>
  <si>
    <t xml:space="preserve">           [737]AÇOES CLARO </t>
  </si>
  <si>
    <t xml:space="preserve">           [723]BANCOOB</t>
  </si>
  <si>
    <t xml:space="preserve">           [744]AÇOES TIM</t>
  </si>
  <si>
    <t xml:space="preserve">           [718]TELEGOIAS </t>
  </si>
  <si>
    <t xml:space="preserve">         [5012]OUTROS CREDITOS</t>
  </si>
  <si>
    <t xml:space="preserve">           [5054]DEPOSITOS JUDICIAIS</t>
  </si>
  <si>
    <t xml:space="preserve">           [2323]DEPOSITOS RECURSAIS</t>
  </si>
  <si>
    <t xml:space="preserve">       [716]APLICAÇÕES C/ RECURSOS PROPRIOS</t>
  </si>
  <si>
    <t xml:space="preserve">         [717]APLICAÇÕES DE INCENTIVOS FISCAIS</t>
  </si>
  <si>
    <t xml:space="preserve">           [719]ELETROBRAS</t>
  </si>
  <si>
    <t xml:space="preserve">         [730]APLICAÇÕES INCENTIVADAS</t>
  </si>
  <si>
    <t xml:space="preserve">           [731]SUDAM</t>
  </si>
  <si>
    <t xml:space="preserve">           [732]FISET</t>
  </si>
  <si>
    <t xml:space="preserve">           [733]INCENTIVO A INFORMATICA</t>
  </si>
  <si>
    <t xml:space="preserve">           [720]SRI-COM. SERV. REC. INFORMAÇÃO SA</t>
  </si>
  <si>
    <t xml:space="preserve">           [721]PATROCINIO CULTURAL</t>
  </si>
  <si>
    <t xml:space="preserve">       [17734]BENS DESTINADOS A COMODATO</t>
  </si>
  <si>
    <t xml:space="preserve">         [17895]BENS DESTINADOS A COMODATO</t>
  </si>
  <si>
    <t xml:space="preserve">           [17902]BENS DESTINADOS A COMODATO</t>
  </si>
  <si>
    <t xml:space="preserve">       [751]IMOBILIZAÇÕES TÉCNICAS</t>
  </si>
  <si>
    <t xml:space="preserve">         [752]IMOVEIS DE USO</t>
  </si>
  <si>
    <t xml:space="preserve">           [753]TERRENOS</t>
  </si>
  <si>
    <t xml:space="preserve">           [754]PREDIO INDUSTRIAL</t>
  </si>
  <si>
    <t xml:space="preserve">           [755]SEDE ADMINISTRATRIVA I</t>
  </si>
  <si>
    <t xml:space="preserve">           [756]SEDE ADMINISTRATIVA II</t>
  </si>
  <si>
    <t xml:space="preserve">           [757]REFEITÓRIO</t>
  </si>
  <si>
    <t xml:space="preserve">           [758]MUROS ALAMBRADOS</t>
  </si>
  <si>
    <t xml:space="preserve">           [759]EDIFICAÇÕES EM ANDAMENTO</t>
  </si>
  <si>
    <t xml:space="preserve">           [760]OUTRAS CONSTRUÇÕES</t>
  </si>
  <si>
    <t xml:space="preserve">           [761]ALMORAXIFADO </t>
  </si>
  <si>
    <t xml:space="preserve">           [762]LAB. CONTROLE DE QUALIDADE</t>
  </si>
  <si>
    <t xml:space="preserve">           [17579]EDIFICIO FARMACIA POPULAR</t>
  </si>
  <si>
    <t xml:space="preserve">           [17699](-) PERDA POR IMPAIRMENT</t>
  </si>
  <si>
    <t xml:space="preserve">         [763]MAQUINAS E FERRAMENTAS</t>
  </si>
  <si>
    <t xml:space="preserve">           [764]INDUSTRIA -  MAQ. FERR.</t>
  </si>
  <si>
    <t xml:space="preserve">           [765]LAB. CONTROLE DE QUALIDADE-  MAQ. FERR.</t>
  </si>
  <si>
    <t xml:space="preserve">           [766]ALMOXARIFADO -  MAQ. FERR.</t>
  </si>
  <si>
    <t xml:space="preserve">           [767]OFICINA-  MAQ. FERR.</t>
  </si>
  <si>
    <t xml:space="preserve">           [768]ADMINISTRAÇÃO I -  MAQ. FERR.</t>
  </si>
  <si>
    <t xml:space="preserve">           [770]LAVANDERIA-  MAQ. FERR.</t>
  </si>
  <si>
    <t xml:space="preserve">           [771]OUTROS-  MAQ. FERR.</t>
  </si>
  <si>
    <t xml:space="preserve">           [17607]FOGÃO INDUSTRIAL. 30</t>
  </si>
  <si>
    <t xml:space="preserve">           [5265](-) PERDA POR IMPAIRMENT</t>
  </si>
  <si>
    <t xml:space="preserve">         [773]MOVEIS E UTENSILIOS</t>
  </si>
  <si>
    <t xml:space="preserve">           [774]INDUSTRIA - MOV. E UTENS.</t>
  </si>
  <si>
    <t xml:space="preserve">           [775]LAB. CONTROLE DE QUALIDADE- MOV. E UTENS.</t>
  </si>
  <si>
    <t xml:space="preserve">           [776]ALMOXARIFADO - MOV. E UTENS.</t>
  </si>
  <si>
    <t xml:space="preserve">           [778]ADMINISTRAÇÃO I - MOV. E UTENS.</t>
  </si>
  <si>
    <t xml:space="preserve">           [781]OUTROS - MOV. E UTENS.</t>
  </si>
  <si>
    <t xml:space="preserve">           [782]FARMACIA POPULAR - MOV. E UTENS.</t>
  </si>
  <si>
    <t xml:space="preserve">           [6504](-) PERDA POR IMPAIRMENT</t>
  </si>
  <si>
    <t xml:space="preserve">         [783]MOVEIS UTENSILIOS -INSTALAÇÕES</t>
  </si>
  <si>
    <t xml:space="preserve">           [784]INDUSTRIA - INSTALAÇÃO</t>
  </si>
  <si>
    <t xml:space="preserve">           [785]LAB. CONTROLE DE QUALIDADE - INSTAL.</t>
  </si>
  <si>
    <t xml:space="preserve">           [786]ALMOXARIFADO- INSTALAÇÃO</t>
  </si>
  <si>
    <t xml:space="preserve">           [787]OFICINA- INSTALAÇÃO</t>
  </si>
  <si>
    <t xml:space="preserve">           [788]ADMINISTRAÇÃO I- INSTALAÇÃO</t>
  </si>
  <si>
    <t xml:space="preserve">         [793]BIBLIOTECA</t>
  </si>
  <si>
    <t xml:space="preserve">           [794]INDUSTRIA - BIBLIOT.</t>
  </si>
  <si>
    <t xml:space="preserve">           [795]LAB. CONTROLE DE QUALIDADE - BIBLIOT.</t>
  </si>
  <si>
    <t xml:space="preserve">           [796]ADMINISTRAÇÃO I - BIBLIOT.</t>
  </si>
  <si>
    <t xml:space="preserve">           [824](-) PERDA POR IMPAIRMENT </t>
  </si>
  <si>
    <t xml:space="preserve">         [797]VEICULOS</t>
  </si>
  <si>
    <t xml:space="preserve">           [799]ADMINISTRAÇÃO I- VEÍCULOS</t>
  </si>
  <si>
    <t xml:space="preserve">           [821](-) PERDA POR IMPAIRMENT</t>
  </si>
  <si>
    <t xml:space="preserve">         [801]EQUIPAMENTOS P/ PROCESSAMENTOS DE DADOS</t>
  </si>
  <si>
    <t xml:space="preserve">           [802]INDUSTRIA - EQUIP. PROC. DADOS</t>
  </si>
  <si>
    <t xml:space="preserve">           [803]LAB. CONTROLE DE QUALIDADE- EQUIP. PROC. DADOS</t>
  </si>
  <si>
    <t xml:space="preserve">           [804]ALMOXARIFADO - EQUIP. PROC. DADOS</t>
  </si>
  <si>
    <t xml:space="preserve">           [805]ADMINISTRAÇÃO- EQUIP. PROC. DADOS</t>
  </si>
  <si>
    <t xml:space="preserve">           [17628]COMPUTADORES DELL</t>
  </si>
  <si>
    <t xml:space="preserve">           [17656](-) PERDA POR IMPAIRMENT </t>
  </si>
  <si>
    <t xml:space="preserve">         [808]SISTEMAS P/ PROCESSAMENTOS DE DADOS</t>
  </si>
  <si>
    <t xml:space="preserve">           [809]INDUSTRIA - SIST. PROC. DADOS</t>
  </si>
  <si>
    <t xml:space="preserve">           [811]ALMOXARIFADO - SIST. PROC. DADOS</t>
  </si>
  <si>
    <t xml:space="preserve">           [812]ADMINISTRAÇÃO I - SIST. PROC. DADOS</t>
  </si>
  <si>
    <t xml:space="preserve">         [814]DIREITO USO LINHA TELEFONICA</t>
  </si>
  <si>
    <t xml:space="preserve">           [815]TELEGOIAS S/A</t>
  </si>
  <si>
    <t xml:space="preserve">         [844]FUNDO DE DEPRECIAÇÃO</t>
  </si>
  <si>
    <t xml:space="preserve">           [845]IMOVEIS DE USO</t>
  </si>
  <si>
    <t xml:space="preserve">           [846]MAQUINAS, APARELHOS E FERRAMENTAS</t>
  </si>
  <si>
    <t xml:space="preserve">           [847]MOVEIS E UTENSILIOS</t>
  </si>
  <si>
    <t xml:space="preserve">           [848]INSTALAÇÕES</t>
  </si>
  <si>
    <t xml:space="preserve">           [849]BIBLIOTECA</t>
  </si>
  <si>
    <t xml:space="preserve">           [850]VEICULOS</t>
  </si>
  <si>
    <t xml:space="preserve">           [851]EQUIP. P/ PROCESSAMENTOS DE DADOS</t>
  </si>
  <si>
    <t xml:space="preserve">           [852]SISTEMAS DE PROCESSAMENTOS DE DADOS</t>
  </si>
  <si>
    <t xml:space="preserve">           [17501]BENS DESTINADOS A COMODATO</t>
  </si>
  <si>
    <t xml:space="preserve">   [2000]PASSIVO</t>
  </si>
  <si>
    <t xml:space="preserve">     [16458]Passivo</t>
  </si>
  <si>
    <t xml:space="preserve">       [2003]FORNECEDORES</t>
  </si>
  <si>
    <t xml:space="preserve">         [2004]FORNECEDORES DE MATERIA-PRIMA</t>
  </si>
  <si>
    <t xml:space="preserve">           [2013]FUNDAÇÃO REMEDIO POPULAR - FURP</t>
  </si>
  <si>
    <t xml:space="preserve">           [2020]JOINT BILL REP.COMERCIAIS LTDA</t>
  </si>
  <si>
    <t xml:space="preserve">           [5817]LPG LANZA PHARMA GMBH</t>
  </si>
  <si>
    <t xml:space="preserve">           [4184]JKLAB QUIM. DIAG. E SEGURANÇA LTDA</t>
  </si>
  <si>
    <t xml:space="preserve">           [12846]LIO SERUM PRODUTOS LABORATORIAIS E HOSPITALARES</t>
  </si>
  <si>
    <t xml:space="preserve">           [13861]NORTEC QUIMICA S/A</t>
  </si>
  <si>
    <t xml:space="preserve">           [17972]LUSA INDUSTRIA GRAFICA LTDA</t>
  </si>
  <si>
    <t xml:space="preserve">           [18014]GENESIS PRESTADORA DE SERVIÇOS LTDA</t>
  </si>
  <si>
    <t xml:space="preserve">         [2200]FORNECEDORES DE EMBALAGENS</t>
  </si>
  <si>
    <t xml:space="preserve">           [9511]GRAFICA EDITORA FABERPRINT LTDA</t>
  </si>
  <si>
    <t xml:space="preserve">           [10711]INTERLABEL ETIQUETAS E RÓTULOS EIRELI EPP</t>
  </si>
  <si>
    <t xml:space="preserve">         [2300]FORNECEDORES DE MERCADORIAS</t>
  </si>
  <si>
    <t xml:space="preserve">           [2313]MSC MEDITERRANEO DO BRASIL LTDA</t>
  </si>
  <si>
    <t xml:space="preserve">           [12251]HMD BIOMEDICAL INTERNATIONAL INC</t>
  </si>
  <si>
    <t xml:space="preserve">           [16654]ONIX FERRAGISTA LTDA</t>
  </si>
  <si>
    <t xml:space="preserve">           [16731]GOLDEN CBD+ NANOTECH LTDA</t>
  </si>
  <si>
    <t xml:space="preserve">         [2400]FORNECEDORES DE MATERIAL DE CONSUMO</t>
  </si>
  <si>
    <t xml:space="preserve">           [2415]DIRECTA COM.SERV. E SOLUÇÕES LTDA</t>
  </si>
  <si>
    <t xml:space="preserve">           [2456]OBJETIVA PROD. E SERVIÇOS P/ LABORATORIOS </t>
  </si>
  <si>
    <t xml:space="preserve">           [2458]MAXLAB PROD. P/ DIAGNOSTICO E PESQUISAS</t>
  </si>
  <si>
    <t xml:space="preserve">           [2472]A SUPREMA COMERCIAL LTDA</t>
  </si>
  <si>
    <t xml:space="preserve">           [3179]WHITE MARTINS GASES INDUST. LTDA</t>
  </si>
  <si>
    <t xml:space="preserve">           [10372]NFG. COMERCIAL LTDA ME</t>
  </si>
  <si>
    <t xml:space="preserve">           [10561]DIGITAL PAPELARIA E INFORMATICA LTDA</t>
  </si>
  <si>
    <t xml:space="preserve">           [7587]FORNECEDORES DIVERSOS</t>
  </si>
  <si>
    <t xml:space="preserve">           [7601]MODERNA COMERCIAL DE PAPEIS LTDA</t>
  </si>
  <si>
    <t xml:space="preserve">           [10705]KADU COMERCIO E SERVIÇO LTDA </t>
  </si>
  <si>
    <t xml:space="preserve">           [6347]CIANORTH COMERCIO E SERVIÇOS LTDA - ME</t>
  </si>
  <si>
    <t xml:space="preserve">           [6452]FRUGATTE E TROIA CONFECÇÕES LTDA-EPP</t>
  </si>
  <si>
    <t xml:space="preserve">           [10664]RDS COMERCIAL LTDA</t>
  </si>
  <si>
    <t xml:space="preserve">           [11098]JANETE VIEIRA DOS SANTOS - EPP</t>
  </si>
  <si>
    <t xml:space="preserve">           [11418]SOVEREIGN COM DE PROD LAB LTDA</t>
  </si>
  <si>
    <t xml:space="preserve">           [13273]SARAIVA DISTRIBUIDORA EIRELI-ME</t>
  </si>
  <si>
    <t xml:space="preserve">           [13546]BRANAGO COMERCIO DE MAQUINAS - EIRELI - ME</t>
  </si>
  <si>
    <t xml:space="preserve">           [13623]OFICINA MECANICA DE COMPRES. DE AR ARANTES LTDA</t>
  </si>
  <si>
    <t xml:space="preserve">           [16906]D.A. DA SILVA - PANIFICADORA PREDILETA</t>
  </si>
  <si>
    <t xml:space="preserve">           [17403]ZAPEMIL DISTRIBUIDORA LTDA</t>
  </si>
  <si>
    <t xml:space="preserve">           [17508]GOIASTEC COMERCIO E SERVICOS LTDA</t>
  </si>
  <si>
    <t xml:space="preserve">           [3594]MASTER DIGITAL COPIADORA LTDA ME</t>
  </si>
  <si>
    <t xml:space="preserve">         [2500]FORNECEDORES DE SERVIÇOS</t>
  </si>
  <si>
    <t xml:space="preserve">           [2514]CIEE - CENTRO INTEGRAÇÃO EMPRESA ESCOLA</t>
  </si>
  <si>
    <t xml:space="preserve">           [2548]SANEAMENTO DE GOIAS S/A</t>
  </si>
  <si>
    <t xml:space="preserve">           [2567]INTEGRA AUTOMAÇÃO E CONTROLE</t>
  </si>
  <si>
    <t xml:space="preserve">           [2569]SESI SERVIÇO SOCIAL DA INDUSTRIA </t>
  </si>
  <si>
    <t xml:space="preserve">           [2587]OPTIONLINE LTDA</t>
  </si>
  <si>
    <t xml:space="preserve">           [2589]MONTANDON SIQUEIRA &amp; ASSOCIADOS</t>
  </si>
  <si>
    <t xml:space="preserve">           [2591]ARQUIVO OFF PRESTACIONAL LTDA</t>
  </si>
  <si>
    <t xml:space="preserve">           [2605]SISTEMA MERCANTIL DE HIG. E CONSERVAÇÃO - MATABEM</t>
  </si>
  <si>
    <t xml:space="preserve">           [2615]OI/BRASIL TELECOM S.A</t>
  </si>
  <si>
    <t xml:space="preserve">           [2620]EMPRESA BRASILEIRA DE CORREIOS E TELEGRAFOS </t>
  </si>
  <si>
    <t xml:space="preserve">           [2629]CELG - CIA ENERGETICA DE GOIAS</t>
  </si>
  <si>
    <t xml:space="preserve">           [2630]GS1 BRASIL ASS BRAS AUTOMAÇÃO </t>
  </si>
  <si>
    <t xml:space="preserve">           [2647]JAIME CAMARA E IRMAOS</t>
  </si>
  <si>
    <t xml:space="preserve">           [2658]PACK FILTER COM. REPRESENTAÇÕES LTDA</t>
  </si>
  <si>
    <t xml:space="preserve">           [2666]GLOBAL CARGAS TRANSP. NAC. INTERNACIONAL LTDA</t>
  </si>
  <si>
    <t xml:space="preserve">           [2676]ALTERDATA TECNOLOGIA EM INFORMATICA LTDA</t>
  </si>
  <si>
    <t xml:space="preserve">           [5790]ABRANTES MARTINS LTDA - EPP</t>
  </si>
  <si>
    <t xml:space="preserve">           [5888]MECVAPOR COM. E SERV. HIDRAULICOS LTDA</t>
  </si>
  <si>
    <t xml:space="preserve">           [5754]OBJETIVA EDIÇÕES EMPRESARIAIS LTDA</t>
  </si>
  <si>
    <t xml:space="preserve">           [5831]GIBBOR BRASIL PUB. E PROP. LTDA</t>
  </si>
  <si>
    <t xml:space="preserve">           [5236]MAXCROM INSTRUMENTOS CIENTIFICOS LTDA</t>
  </si>
  <si>
    <t xml:space="preserve">           [7117]SALERMO CORREA ENGENHARIA E COMÉRCIO LTDA</t>
  </si>
  <si>
    <t xml:space="preserve">           [8762]GARRA FORTE ADM E SERV LTDA -EPP</t>
  </si>
  <si>
    <t xml:space="preserve">           [9210]MÁXIMA EMPREENDIMENTO E SERVIÇOS LTDA</t>
  </si>
  <si>
    <t xml:space="preserve">           [9413]DENIS BORGES BARBOSA ADVOGADOS</t>
  </si>
  <si>
    <t xml:space="preserve">           [3721]RV IMOLA TRANSPORTES E LOGISTIVA LTDA</t>
  </si>
  <si>
    <t xml:space="preserve">           [4078]METROHM PENSALAB INSTRUMENTAÇÃO ANALÍTICA LTDA</t>
  </si>
  <si>
    <t xml:space="preserve">           [4099]NP CAPACITAÇÃO E SOL. TEC. LTDA</t>
  </si>
  <si>
    <t xml:space="preserve">           [4379]BR LAUNDRY INDUSTRIA, COMERCIO E SERVIÇOS LTDA</t>
  </si>
  <si>
    <t xml:space="preserve">           [10274]VALSA-ASSIS.TEC.MAN E AUTOMACAO DE EQUIPAMENTOS IN</t>
  </si>
  <si>
    <t xml:space="preserve">           [10428]A GERADORA ALUGUEL DE MAQUINAS S.A</t>
  </si>
  <si>
    <t xml:space="preserve">           [10470]INSTITUTO ANALITICO DE EXCELENCIA FARM. LTDA</t>
  </si>
  <si>
    <t xml:space="preserve">           [7608]FORNECEDORES DIVERSOS</t>
  </si>
  <si>
    <t xml:space="preserve">           [7615]ACHEI AUTOMÓVEIS LTDA</t>
  </si>
  <si>
    <t xml:space="preserve">           [10670]GISELE BADAUY LAURIA SILVA</t>
  </si>
  <si>
    <t xml:space="preserve">           [2802]FONSECA MARTINS COMERCIO DE GAS LTDA</t>
  </si>
  <si>
    <t xml:space="preserve">           [10930]INFINITI COMERCIO E SERVIÇOS EIRELI-ME</t>
  </si>
  <si>
    <t xml:space="preserve">           [11189]TERMOSUL AR CONDICIONADO E REFRIGERAÇÃO LTDA EPP</t>
  </si>
  <si>
    <t xml:space="preserve">           [12209]DMETROPOLITANO COMUNICAÇÕES EIRELI - ME</t>
  </si>
  <si>
    <t xml:space="preserve">           [12909]HIDRO FORTE BOMBAS E MOTORES LTDA ME</t>
  </si>
  <si>
    <t xml:space="preserve">           [13651]LABVISION INSTRUMENTS COM. E SERVIÇOS LTDA ME</t>
  </si>
  <si>
    <t xml:space="preserve">           [13840]FLOWSERVICE SERVIÇOS ANALÍTICOS LTDA</t>
  </si>
  <si>
    <t xml:space="preserve">           [13854]LINECONTROL COMERCIO IMPORT. E EXPORTAÇÃO LTDA </t>
  </si>
  <si>
    <t xml:space="preserve">           [14127]AUDIMEC AUDITORES INDEPENDENTES S/S EPP</t>
  </si>
  <si>
    <t xml:space="preserve">           [14827]BRAVAU AUDITORES INDEPENDENTES S/S EPP</t>
  </si>
  <si>
    <t xml:space="preserve">           [18056]AGUIA COMPANHIA DE EXTRACAO DE AGREGADOS E AGUA MI</t>
  </si>
  <si>
    <t xml:space="preserve">           [18210]Le Card Adminis. de Cartões</t>
  </si>
  <si>
    <t xml:space="preserve">           [18000]OI S.A.</t>
  </si>
  <si>
    <t xml:space="preserve">           [15471]TICKET SOLUÇÕES HDFGT S.A</t>
  </si>
  <si>
    <t xml:space="preserve">           [15597]SUL AMERICA SEGUROS DE PESSOAS E PREVIDENCIA S.A</t>
  </si>
  <si>
    <t xml:space="preserve">           [15618]WEGH ASSESSORIA E LOGISTICA INTERNACIONAL LTDA</t>
  </si>
  <si>
    <t xml:space="preserve">           [15821]ALFOB -  ASSOCIAÇÃO DOS LAB OFICIAIS DO BRASIL</t>
  </si>
  <si>
    <t xml:space="preserve">           [15828]UP BRASIL ADMINISTRAÇÃO E SERVIÇOS LTDA </t>
  </si>
  <si>
    <t xml:space="preserve">           [15863]DESPRAG DEDETIZADORA LTDA - EPP</t>
  </si>
  <si>
    <t xml:space="preserve">           [16045]ALEXANDRE OSNI Z. EIRELI/MPS BRASIL OUTSOURCING</t>
  </si>
  <si>
    <t xml:space="preserve">           [16178]AJ LOGISTICA EIRELI</t>
  </si>
  <si>
    <t xml:space="preserve">           [16318]WORK7 AUDITORES INDEPENDENTES SS - EPP</t>
  </si>
  <si>
    <t xml:space="preserve">           [17431]ECUSTOMIZE CONSULTORIA EM SOFTWARE LTDA</t>
  </si>
  <si>
    <t xml:space="preserve">           [17502]AC-AIMIRI CONSTRUTORA LTDA</t>
  </si>
  <si>
    <t xml:space="preserve">           [17606]AIRWAY TRANSPORTES</t>
  </si>
  <si>
    <t xml:space="preserve">           [17613]LOCALIZA VEICULOS ESPECIAIS S/A</t>
  </si>
  <si>
    <t xml:space="preserve">           [17669]GARANTIA PRESTAÇÃO DE SERVIÇOS LTDA</t>
  </si>
  <si>
    <t xml:space="preserve">           [17586]CARTORIO FERNANDO DIAS</t>
  </si>
  <si>
    <t xml:space="preserve">           [17558]COMPLIANCE AUDITORES INDEPENTES EIRELI</t>
  </si>
  <si>
    <t xml:space="preserve">           [17676]NP TECNOLOGIA E GESTAO DE DADOS LTDA</t>
  </si>
  <si>
    <t xml:space="preserve">           [17593]AF EMPREENDIMENTOS EIRELL</t>
  </si>
  <si>
    <t xml:space="preserve">           [17600]MERCANTIL COMERCIO DE FERRAMENTAS E UTILIDADES </t>
  </si>
  <si>
    <t xml:space="preserve">           [17621]J.L. DO B. GUIMARAES </t>
  </si>
  <si>
    <t xml:space="preserve">           [3440]CONSELHO NACIONAL DE SECRETARIAS MUNICIP</t>
  </si>
  <si>
    <t xml:space="preserve">           [3447]RRF GUIMARAES AGENCIA DE VIAGENS LTDA</t>
  </si>
  <si>
    <t xml:space="preserve">           [3454]EXCELENCIA EDUCAÇÃO E ENSINO LTDA</t>
  </si>
  <si>
    <t xml:space="preserve">           [3461]SOLUTI SOLICOES EM NEGOCIOS INTELIGENTES</t>
  </si>
  <si>
    <t xml:space="preserve">           [3468]SERTEL SERVIÇOS TELEFONICOS E EQUIPAMENTOS LTDA</t>
  </si>
  <si>
    <t xml:space="preserve">           [3475]ALL CONNECT PRODUTOS E SERVIÇOS LTDA</t>
  </si>
  <si>
    <t xml:space="preserve">           [3489]JVS PARTICIPAÇOES EIRELI</t>
  </si>
  <si>
    <t xml:space="preserve">           [3608]FC ALIMENTOS EIRELI</t>
  </si>
  <si>
    <t xml:space="preserve">           [17627]ARVORETA MAQUINAS LTDA</t>
  </si>
  <si>
    <t xml:space="preserve">           [17846]SODEXO PASS DO  BRASIL SERVIÇOS E COMERCIO</t>
  </si>
  <si>
    <t xml:space="preserve">           [17860]GOIAS TELECOMUNICAÇÃO SA GOIASTELECOM</t>
  </si>
  <si>
    <t xml:space="preserve">           [17986]AVISO URGENTE TECNOLOGIA E INFORMACAO LTDA</t>
  </si>
  <si>
    <t xml:space="preserve">           [18007]PRIME CONSULTORIA E ASSESSORIA EMPRESARIAL LTDA</t>
  </si>
  <si>
    <t xml:space="preserve">           [18021]DMS CALIBRAÇÕES E INSPEÇÕES INDUSTRIAL LTDA</t>
  </si>
  <si>
    <t xml:space="preserve">           [18042]R&amp;C IMPERIO CONSULTORIA E SOLUCOES TECNOLGICAS LTD</t>
  </si>
  <si>
    <t xml:space="preserve">           [18049]STANQTEST - AVALIACOES LTDA</t>
  </si>
  <si>
    <t xml:space="preserve">           [18112]J A DIAS COMERCIO E REPRESENTAÇÕES</t>
  </si>
  <si>
    <t xml:space="preserve">           [18126]BPE LOCAÇÕES E SERVIÇOS EIRELI -ME</t>
  </si>
  <si>
    <t xml:space="preserve">           [18140]PROSTANDS EVENTOS LTDA</t>
  </si>
  <si>
    <t xml:space="preserve">           [18245] IOC CAPACITAÇÃO LTDA</t>
  </si>
  <si>
    <t xml:space="preserve">         [2680]FORNECEDORES DE REAGENTES</t>
  </si>
  <si>
    <t xml:space="preserve">           [16633]ONIX FERRAGISTA LTDA</t>
  </si>
  <si>
    <t xml:space="preserve">         [2685]FORNECEDORES DO ATIVO PERMANENTE</t>
  </si>
  <si>
    <t xml:space="preserve">           [9875]ONDINAS INOVAÇÃO TECNOLÓGICA LTDA</t>
  </si>
  <si>
    <t xml:space="preserve">           [11224]TECNOBOMBAS - BOMBAS MOTORES SERVIÇOS LTDA</t>
  </si>
  <si>
    <t xml:space="preserve">           [17572]ARVORETA MAQUINAS</t>
  </si>
  <si>
    <t xml:space="preserve">           [3482]SUPORTE CLIMATIZAÇÃO</t>
  </si>
  <si>
    <t xml:space="preserve">           [17642]HM CONSTRUTORA  E ENGENHARIA EIRELI</t>
  </si>
  <si>
    <t xml:space="preserve">           [17635]DUARTE E ALMEIDA PROJETOS COMBATE A INCENDIO</t>
  </si>
  <si>
    <t xml:space="preserve">       [2720]OBRIGAÇÕES SOCIAIS E TRABALHISTAS</t>
  </si>
  <si>
    <t xml:space="preserve">         [2721]OBRIGAÇÕES SOCIAIS E TRABALHISTAS</t>
  </si>
  <si>
    <t xml:space="preserve">           [2725]FGTS A RECOLHER</t>
  </si>
  <si>
    <t xml:space="preserve">           [2726]SALÁRIOS A PAGAR</t>
  </si>
  <si>
    <t xml:space="preserve">           [2727]INSS A RECOLHER</t>
  </si>
  <si>
    <t xml:space="preserve">           [2728]IPASGO RETIDO</t>
  </si>
  <si>
    <t xml:space="preserve">           [2743]SENAI</t>
  </si>
  <si>
    <t xml:space="preserve">           [2745]SESI SERVIÇO SOCIAL DA INDUSTRIA</t>
  </si>
  <si>
    <t xml:space="preserve">           [2746]HONORARIOS A PAGAR</t>
  </si>
  <si>
    <t xml:space="preserve">           [2747]IRRF S/SALARIOS</t>
  </si>
  <si>
    <t xml:space="preserve">           [2748]ACORDO TRABALHISTA</t>
  </si>
  <si>
    <t xml:space="preserve">           [2749]RESCISÕES A PAGAR</t>
  </si>
  <si>
    <t xml:space="preserve">         [2755]CONSIGNAÇÕES A PAGAR</t>
  </si>
  <si>
    <t xml:space="preserve">           [2757]ASSOC. SERVIDORES DA IQUEGO - ASIQ</t>
  </si>
  <si>
    <t xml:space="preserve">           [2768]SINDICATO TRAB. IND. QUIM. FARM. EST. GOIAS</t>
  </si>
  <si>
    <t xml:space="preserve">           [2770]IPSM PREVIDENCIA</t>
  </si>
  <si>
    <t xml:space="preserve">           [4649]SEGURO DE VIDA EM GRUPO</t>
  </si>
  <si>
    <t xml:space="preserve">           [6497]FUNPREV - FUNDO PREVIDENCIÁRIO ESTADO/ MUNICIPIO</t>
  </si>
  <si>
    <t xml:space="preserve">         [2775]OBRIG. SOCIAIS E TRABALHISTAS - PARCELAMENTO</t>
  </si>
  <si>
    <t xml:space="preserve">           [9700]FGTS PARC. 2011003531</t>
  </si>
  <si>
    <t xml:space="preserve">       [2780]OBRIGAÇÕES TRITUTÁRIAS</t>
  </si>
  <si>
    <t xml:space="preserve">         [2781]OBRIGAÇÕES TRIBUTÁRIAS</t>
  </si>
  <si>
    <t xml:space="preserve">           [2782]COFINS A RECOLHER</t>
  </si>
  <si>
    <t xml:space="preserve">           [2784]IRRF A RECOLHER</t>
  </si>
  <si>
    <t xml:space="preserve">           [2790]ISS A RECOLHER</t>
  </si>
  <si>
    <t xml:space="preserve">           [2791]INSS RETIDO A RECOLHER</t>
  </si>
  <si>
    <t xml:space="preserve">           [2792]I.P.T.U A RECOLHER</t>
  </si>
  <si>
    <t xml:space="preserve">           [2793]CSLL/PASEP/COFINS - LEI 10.833/03</t>
  </si>
  <si>
    <t xml:space="preserve">         [2800]OBRIGAÇÕES TRIBUTARIAS - PARCELAMENTO</t>
  </si>
  <si>
    <t xml:space="preserve">           [15527]PARCEL SIMPLIF PREVID PGFN -626994640-</t>
  </si>
  <si>
    <t xml:space="preserve">           [15534]PARCEL SIMPLIF PREVID PGFN 627011012</t>
  </si>
  <si>
    <t xml:space="preserve">           [15541]PARCEL SIMPLIF PREVID PGFN 627011446</t>
  </si>
  <si>
    <t xml:space="preserve">           [16052]PARCELAMENTO MULTA CLT-PGFN</t>
  </si>
  <si>
    <t xml:space="preserve">           [16402]PARCELAMENTO PREVID RFB Nº 10120728259/2021</t>
  </si>
  <si>
    <t xml:space="preserve">           [16570]PARCELAMENTO INSS-JUST.TRABALHO-RT001193/2015</t>
  </si>
  <si>
    <t xml:space="preserve">           [17235]PARCEL MULTA DE OFICIO RFB 10120723762/2012-17</t>
  </si>
  <si>
    <t xml:space="preserve">       [2810]CREDITOS DE TERCEIROS</t>
  </si>
  <si>
    <t xml:space="preserve">         [2811]ADIANTAMENTO DE CLIENTES</t>
  </si>
  <si>
    <t xml:space="preserve">           [2824]MINISTÉRIO DA SAUDE CONV. 061/06</t>
  </si>
  <si>
    <t xml:space="preserve">           [10122]MINISTERIO DA SAUDE CONV 787297/2013</t>
  </si>
  <si>
    <t xml:space="preserve">           [15688]IRRF S/CONV 787297/2013</t>
  </si>
  <si>
    <t xml:space="preserve">         [2850]VALORES EM DEPOSITO</t>
  </si>
  <si>
    <t xml:space="preserve">           [2853]DEPOSITOS  NÃO IDENTIFICADOS</t>
  </si>
  <si>
    <t xml:space="preserve">       [2860]OUTRAS EXIGIBILIDADES</t>
  </si>
  <si>
    <t xml:space="preserve">         [2861]OUTRAS EXIGIBILIDADES</t>
  </si>
  <si>
    <t xml:space="preserve">           [2863]PAGAMENTO PASEP</t>
  </si>
  <si>
    <t xml:space="preserve">           [3912]SESI PARCELAMENTO</t>
  </si>
  <si>
    <t xml:space="preserve">       [2870]PROVISÕES SOCIAIS E TRABALHISTAS</t>
  </si>
  <si>
    <t xml:space="preserve">         [2871]PROVISÕES SOCIAIS E TRABALHISTAS</t>
  </si>
  <si>
    <t xml:space="preserve">           [2872]PROVISÕES DE FERIAS</t>
  </si>
  <si>
    <t xml:space="preserve">           [2873]ENCARGOS S/ PROV FERIAS</t>
  </si>
  <si>
    <t xml:space="preserve">           [2874]PROV. P/ 13º SALARIO</t>
  </si>
  <si>
    <t xml:space="preserve">       [8503]OUTRAS CONTAS</t>
  </si>
  <si>
    <t xml:space="preserve">         [8510]OUTRAS CONTAS A PAGAR</t>
  </si>
  <si>
    <t xml:space="preserve">           [15478]PROCESSOS TRABALHISTAS PARCELAMENTO</t>
  </si>
  <si>
    <t xml:space="preserve">           [15877]PLANO DE PAGAMENTO ESPECIAL TRABALHISTA - PEPT</t>
  </si>
  <si>
    <t xml:space="preserve">           [16185]ACORDO PROCESSOS CIVEIS</t>
  </si>
  <si>
    <t xml:space="preserve">           [18301]RESSARCIMENTO FUNCIONARIO - CELG</t>
  </si>
  <si>
    <t xml:space="preserve">     [16465]PASSIVO A LONGO PRAZO</t>
  </si>
  <si>
    <t xml:space="preserve">       [2882]PARCELAMENTOS</t>
  </si>
  <si>
    <t xml:space="preserve">         [2883]PARCELAMENTOS A LONGO PRAZO</t>
  </si>
  <si>
    <t xml:space="preserve">           [3919]SESI PARCELAMENTO</t>
  </si>
  <si>
    <t xml:space="preserve">           [17046]ACORDO CIVEL LONGO PRAZO</t>
  </si>
  <si>
    <t xml:space="preserve">           [17053]ACORDO TRABALHISTA - LONGO PRAZO</t>
  </si>
  <si>
    <t xml:space="preserve">         [2885]PARCELAMENTOS DE TRIBUTOS</t>
  </si>
  <si>
    <t xml:space="preserve">           [5055]FGTS PARC.  2011003531 </t>
  </si>
  <si>
    <t xml:space="preserve">           [16255]PARCELAMENTO MULTA CLT - PGFN</t>
  </si>
  <si>
    <t xml:space="preserve">           [16395]PARCELAMENTO PREVID RFB Nº 10120728259/2021</t>
  </si>
  <si>
    <t xml:space="preserve">           [16577]PARCELAMENTO INSS-JUST.TRABALHO-RT0011993/2015</t>
  </si>
  <si>
    <t xml:space="preserve">           [17242]PARCEL MULTA DE OFICIO RFB 10120723762/2012-17</t>
  </si>
  <si>
    <t xml:space="preserve">         [2900]CRÉDITOS DE TERCEIROS</t>
  </si>
  <si>
    <t xml:space="preserve">           [16339]ARRENDAMENTO MERCANTIL A EXECUTAR - EQUIPAMENTOS</t>
  </si>
  <si>
    <t xml:space="preserve">       [8475]PROVISÕES DE PROCESSOS</t>
  </si>
  <si>
    <t xml:space="preserve">         [8482]PROVISÕES DE RISCOS </t>
  </si>
  <si>
    <t xml:space="preserve">           [8489]PROVISÃO DE RISCO TRABALHISTA</t>
  </si>
  <si>
    <t xml:space="preserve">           [8496]PROVISÃO DE PROC. CIVEIS</t>
  </si>
  <si>
    <t xml:space="preserve">           [13259]PROVISÃO DE PROC. TRIBUTÁRIOS</t>
  </si>
  <si>
    <t xml:space="preserve">     [16472]PATRIMÔNIO LIQUIDO</t>
  </si>
  <si>
    <t xml:space="preserve">       [2927]CAPITAL SOCIAL REALIZADO</t>
  </si>
  <si>
    <t xml:space="preserve">         [2928]DOMICILIADO NO PAIS </t>
  </si>
  <si>
    <t xml:space="preserve">           [2931]EMPRESAS ESTADUAIS</t>
  </si>
  <si>
    <t xml:space="preserve">           [5545]PESSOAS FISICAS</t>
  </si>
  <si>
    <t xml:space="preserve">           [10232]GOVERNO DO ESTADO DE GOIAS</t>
  </si>
  <si>
    <t xml:space="preserve">       [2961]LUCROS OU PREJUIZOS</t>
  </si>
  <si>
    <t xml:space="preserve">         [2962]LUCROS</t>
  </si>
  <si>
    <t xml:space="preserve">           [2963]LUCRO DO EXERCICIO</t>
  </si>
  <si>
    <t xml:space="preserve">           [16290]AJUSTE DE EXERCICIO ANTERIORES</t>
  </si>
  <si>
    <t xml:space="preserve">         [2970]PREJUIZOS</t>
  </si>
  <si>
    <t xml:space="preserve">           [2971]PREJUIZOS ACUMULADOS</t>
  </si>
  <si>
    <t xml:space="preserve">           [2972]PREJUIZOS DO EXERCICIO</t>
  </si>
  <si>
    <t xml:space="preserve">       [3137]SUBUSCRICOES A INTEGRALIZAR</t>
  </si>
  <si>
    <t xml:space="preserve">         [3144]PODER PUBLICO</t>
  </si>
  <si>
    <t xml:space="preserve">           [10239]GOVERNO DO ESTADO DE GOIAS</t>
  </si>
  <si>
    <t xml:space="preserve">   [3000]CUSTOS E DESPESAS</t>
  </si>
  <si>
    <t xml:space="preserve">     [16479]CUSTOS E DESPESAS</t>
  </si>
  <si>
    <t xml:space="preserve">       [17530]CUSTO DA MERCADORIA VENDIDA</t>
  </si>
  <si>
    <t xml:space="preserve">         [17537]CUSTO DA MERCADORIA VENDIDA</t>
  </si>
  <si>
    <t xml:space="preserve">           [17544]CMV INICIAL</t>
  </si>
  <si>
    <t xml:space="preserve">           [17551]( ) CMV FINAL</t>
  </si>
  <si>
    <t xml:space="preserve">       [3003]CUSTOS INDUSTRIAIS</t>
  </si>
  <si>
    <t xml:space="preserve">         [3004]PESSOAL</t>
  </si>
  <si>
    <t xml:space="preserve">           [3031]VALE TRANSPORTES</t>
  </si>
  <si>
    <t xml:space="preserve">           [6189]ASSISTENCIA MEDICA E SOCIAL</t>
  </si>
  <si>
    <t xml:space="preserve">           [6280]ABONO NATALINO DIRETORIA</t>
  </si>
  <si>
    <t xml:space="preserve">         [3060]GASTOS GERAIS DE FABRICAÇÃO</t>
  </si>
  <si>
    <t xml:space="preserve">           [3064]MANUTENÇÃO DE EQUIPAMENTOS INDUSTRIAIS </t>
  </si>
  <si>
    <t xml:space="preserve">           [3071]CUSTOS GERAIS DA PRODUÇÃO </t>
  </si>
  <si>
    <t xml:space="preserve">           [3076]DEPRECIAÇÃO</t>
  </si>
  <si>
    <t xml:space="preserve">           [3095]BONIFICAÇAO, DOAÇOES E BRINDES</t>
  </si>
  <si>
    <t xml:space="preserve">           [5292]DIARIAS, VIAGENS E REPRESENTAÇÕES</t>
  </si>
  <si>
    <t xml:space="preserve">           [7559]PROVISÃO DE PERDA COM ESTOQUE OBSOLETO</t>
  </si>
  <si>
    <t xml:space="preserve">           [5077]DESPESAS CARTORAIS E LEGAIS</t>
  </si>
  <si>
    <t xml:space="preserve">       [3200]CUSTO COMERCIAL</t>
  </si>
  <si>
    <t xml:space="preserve">         [3201]PESSOAL</t>
  </si>
  <si>
    <t xml:space="preserve">           [3211]CURSOS E TREINAMENTOS</t>
  </si>
  <si>
    <t xml:space="preserve">         [3240]DESPESAS DIVERSAS COM VENDAS</t>
  </si>
  <si>
    <t xml:space="preserve">           [3247]SERVIÇO DE TELEFONIA</t>
  </si>
  <si>
    <t xml:space="preserve">           [3251]SERVIÇO DE TERCEIROS - PJ</t>
  </si>
  <si>
    <t xml:space="preserve">           [3254]MANUTENÇÃO EM SOFTWARE</t>
  </si>
  <si>
    <t xml:space="preserve">           [3257]MATERIAL DE CONSUMO</t>
  </si>
  <si>
    <t xml:space="preserve">           [3262]DOAÇÕES DE MERCADORIAS</t>
  </si>
  <si>
    <t xml:space="preserve">           [3263]COMISSÕES DE VENDAS</t>
  </si>
  <si>
    <t xml:space="preserve">         [3273]DESPESAS COM VENDAS</t>
  </si>
  <si>
    <t xml:space="preserve">           [3276]FRETES E CARRETOS</t>
  </si>
  <si>
    <t xml:space="preserve">           [13168]AMOSTRA DE GLICOSIMETRO</t>
  </si>
  <si>
    <t xml:space="preserve">         [3280]DESPESAS C/ PROPAGANDAS E PUBLICIDADES</t>
  </si>
  <si>
    <t xml:space="preserve">           [3286]FEIRAS E EXPOSIÇÕES</t>
  </si>
  <si>
    <t xml:space="preserve">         [3300]PERDAS DE ESTOQUE</t>
  </si>
  <si>
    <t xml:space="preserve">           [3306]MERCADORIAS PARA REVENDA</t>
  </si>
  <si>
    <t xml:space="preserve">     [16486]DESPESAS</t>
  </si>
  <si>
    <t xml:space="preserve">       [3322]DESPESAS ADMINISTRATIVAS</t>
  </si>
  <si>
    <t xml:space="preserve">         [3323]PESSOAL</t>
  </si>
  <si>
    <t xml:space="preserve">           [3326]ANUENIO</t>
  </si>
  <si>
    <t xml:space="preserve">           [3327]ASSIDUIDADE</t>
  </si>
  <si>
    <t xml:space="preserve">           [3328]ASSISTÊNCIA MÉDICA E SOCIAL</t>
  </si>
  <si>
    <t xml:space="preserve">           [3329]AUXILIO CRECHE</t>
  </si>
  <si>
    <t xml:space="preserve">           [3331]ACORDOS TRABALHISTAS E INDENIZAÇÕES</t>
  </si>
  <si>
    <t xml:space="preserve">           [3333]CURSOS E TREINAMENTOS</t>
  </si>
  <si>
    <t xml:space="preserve">           [3335]LICENÇA PREMIA</t>
  </si>
  <si>
    <t xml:space="preserve">           [3336]GRATIFICAÇÕES</t>
  </si>
  <si>
    <t xml:space="preserve">           [3341]PROGRAMA DE ALIMENTAÇÃO</t>
  </si>
  <si>
    <t xml:space="preserve">           [3342]PROGRAMA MENOR APRENDIZ</t>
  </si>
  <si>
    <t xml:space="preserve">           [3344]QUINQUENIO</t>
  </si>
  <si>
    <t xml:space="preserve">           [3345]SALARIOS</t>
  </si>
  <si>
    <t xml:space="preserve">           [3346]SEGURO DE VIDA EM GRUPO</t>
  </si>
  <si>
    <t xml:space="preserve">           [3349]VALE-TRANSPORTES</t>
  </si>
  <si>
    <t xml:space="preserve">           [3351]PAGTO A AUTONOMOS - RPA</t>
  </si>
  <si>
    <t xml:space="preserve">           [3352]FUNDO PREVIDENCIARIO (ESTADO E MUNICIPIO)</t>
  </si>
  <si>
    <t xml:space="preserve">           [16199]VERBAS ESTATUTÁRIOS - MUNICIPAL E ESTADUAL</t>
  </si>
  <si>
    <t xml:space="preserve">         [3355]ENCARGOS SOCIAIS</t>
  </si>
  <si>
    <t xml:space="preserve">           [3356]FGTS</t>
  </si>
  <si>
    <t xml:space="preserve">           [3357]INSS</t>
  </si>
  <si>
    <t xml:space="preserve">           [9721]SESI</t>
  </si>
  <si>
    <t xml:space="preserve">           [9722]SENAI</t>
  </si>
  <si>
    <t xml:space="preserve">         [3360]PROVISÕES</t>
  </si>
  <si>
    <t xml:space="preserve">           [3361]PROVISÕES DE FÉRIAS</t>
  </si>
  <si>
    <t xml:space="preserve">           [3362]PROVISÕES DE ENCARGOS SOCIAIS S/ FERIAS</t>
  </si>
  <si>
    <t xml:space="preserve">           [3363]PROVISÕES DE  13º SALARIO</t>
  </si>
  <si>
    <t xml:space="preserve">           [3364]PROVISÕES DE ENCARGOS SOCIAIS S/ 13º SALARIO</t>
  </si>
  <si>
    <t xml:space="preserve">           [8461]PROVISÃO DE RISCO TRABALHISTA</t>
  </si>
  <si>
    <t xml:space="preserve">           [8468]PROVISÃO DE RISCO PROC. CIVEIS</t>
  </si>
  <si>
    <t xml:space="preserve">           [13266]PROVISÃO DE RISCO CONVENIO 61/2006 MS</t>
  </si>
  <si>
    <t xml:space="preserve">         [3370]DESPESAS GERAIS COM ADMINISTRAÇÃO</t>
  </si>
  <si>
    <t xml:space="preserve">           [3371]AGUA</t>
  </si>
  <si>
    <t xml:space="preserve">           [3372]ENERGIA</t>
  </si>
  <si>
    <t xml:space="preserve">           [3373]TELEFONE</t>
  </si>
  <si>
    <t xml:space="preserve">           [3376]SERVIÇO DE LIMPEZA E MANUTENÇÃO</t>
  </si>
  <si>
    <t xml:space="preserve">           [3378]HONORARIOS ADVOCATICIOS</t>
  </si>
  <si>
    <t xml:space="preserve">           [3379]SERVIÇOS DE TERCEIROS  - PJ</t>
  </si>
  <si>
    <t xml:space="preserve">           [3382]CORREIOS E MALOTES</t>
  </si>
  <si>
    <t xml:space="preserve">           [3383]DECORAÇÕES DE JARDINS</t>
  </si>
  <si>
    <t xml:space="preserve">           [3384]FRETES</t>
  </si>
  <si>
    <t xml:space="preserve">           [3385]MANUTENÇÃO DE SOFTWARE</t>
  </si>
  <si>
    <t xml:space="preserve">           [3387]MANUTENÇÃO EM EQUIPAMENTOS</t>
  </si>
  <si>
    <t xml:space="preserve">           [3389]MATERIAL DE CONSUMO</t>
  </si>
  <si>
    <t xml:space="preserve">           [3391]DEPRECIAÇÃO</t>
  </si>
  <si>
    <t xml:space="preserve">           [3392]DESPESAS CARTORARIAS E LEGAIS</t>
  </si>
  <si>
    <t xml:space="preserve">           [3394]LOCAÇÃO DE EQUIPAMENTOS</t>
  </si>
  <si>
    <t xml:space="preserve">           [3399]LICENÇA DE SOFTWARE</t>
  </si>
  <si>
    <t xml:space="preserve">           [3401]ASSINATURA DE PERIÓDICOS </t>
  </si>
  <si>
    <t xml:space="preserve">           [3402]EDITAIS E PUBLICAÇÕES</t>
  </si>
  <si>
    <t xml:space="preserve">           [3406]COMBUSTIVEIS E LUBRIFICANTES</t>
  </si>
  <si>
    <t xml:space="preserve">           [3407]LANCHES E REFEIÇÕES</t>
  </si>
  <si>
    <t xml:space="preserve">           [4978]MANUTENÇÃO DE IMÓVEIS </t>
  </si>
  <si>
    <t xml:space="preserve">           [6125]DIARIAS, VIAGENS E REPRESENTAÇÕES</t>
  </si>
  <si>
    <t xml:space="preserve">           [7852]BAIXA DE ATIVOS</t>
  </si>
  <si>
    <t xml:space="preserve">           [7622]LOCAÇÃO DE VEICULOS </t>
  </si>
  <si>
    <t xml:space="preserve">           [7623]CUSTAS JUDICIAIS</t>
  </si>
  <si>
    <t xml:space="preserve">           [14946]OUTRAS DESPESAS</t>
  </si>
  <si>
    <t xml:space="preserve">           [16626]DESPESA INTERNET</t>
  </si>
  <si>
    <t xml:space="preserve">           [16661]MATERIAL ELETRICO</t>
  </si>
  <si>
    <t xml:space="preserve">           [16689]SERVIÇO DE DIGITALIZAÇÃO</t>
  </si>
  <si>
    <t xml:space="preserve">           [16787]DESPESAS COM PCLD</t>
  </si>
  <si>
    <t xml:space="preserve">         [3490]DESPESAS FINANCEIRAS</t>
  </si>
  <si>
    <t xml:space="preserve">           [3492]DESPESAS BANCARIAS</t>
  </si>
  <si>
    <t xml:space="preserve">           [3496]JUROS, MULTAS E CORREÇÃO MONETÁRIA</t>
  </si>
  <si>
    <t xml:space="preserve">           [10648]CORREÇÃO MONETARIA DE DEBITOS TRIBUTARIOS -LP</t>
  </si>
  <si>
    <t xml:space="preserve">           [10649]CORREÇÃO MONETARIA DE DEBITOS TRIBUTARIOS</t>
  </si>
  <si>
    <t xml:space="preserve">         [3520]DESPESAS INDEDUTÍVEIS</t>
  </si>
  <si>
    <t xml:space="preserve">           [3521]MULTAS FISCAIS (AUTUAÇÕES)</t>
  </si>
  <si>
    <t xml:space="preserve">           [3523]OUTRAS DESPESAS</t>
  </si>
  <si>
    <t xml:space="preserve">         [3530]DESPESAS TRIBUTÁRIAS</t>
  </si>
  <si>
    <t xml:space="preserve">           [3535]IMPOSTOS E TAXAS ESTADUAIS</t>
  </si>
  <si>
    <t xml:space="preserve">           [3538]IRRF</t>
  </si>
  <si>
    <t xml:space="preserve">           [3542]MULTAS FISCAIS</t>
  </si>
  <si>
    <t xml:space="preserve">           [3544]I.P.T.U.</t>
  </si>
  <si>
    <t xml:space="preserve">       [3550]FARMÁCIA POPULAR</t>
  </si>
  <si>
    <t xml:space="preserve">         [3451]PESSOAL </t>
  </si>
  <si>
    <t xml:space="preserve">           [3562]FÉRIAS</t>
  </si>
  <si>
    <t xml:space="preserve">   [4000]RECEITAS </t>
  </si>
  <si>
    <t xml:space="preserve">     [16493]RECEITAS</t>
  </si>
  <si>
    <t xml:space="preserve">       [4003]LINHA HUMANA</t>
  </si>
  <si>
    <t xml:space="preserve">         [4010]VENDAS LINHA PARALELA</t>
  </si>
  <si>
    <t xml:space="preserve">           [4011]PRODUTOS</t>
  </si>
  <si>
    <t xml:space="preserve">     [16500]VENDAS</t>
  </si>
  <si>
    <t xml:space="preserve">       [4115]VENDA DE ATIVOS IMOBILIZADOS</t>
  </si>
  <si>
    <t xml:space="preserve">         [4116]VENDA DE IMOBILIZADOS TÉCNICOS</t>
  </si>
  <si>
    <t xml:space="preserve">           [4119]MAQUINAS E APARELHOS</t>
  </si>
  <si>
    <t xml:space="preserve">       [4161]RECEITAS DIVERSAS</t>
  </si>
  <si>
    <t xml:space="preserve">         [4165]RECEITAS DIVERSAS</t>
  </si>
  <si>
    <t xml:space="preserve">           [4170]DOAÇÕES RECEBIDAS</t>
  </si>
  <si>
    <t xml:space="preserve">           [4174]JUROS S/ RECEBIMENTOS</t>
  </si>
  <si>
    <t xml:space="preserve">         [11343]RECEITAS DE SUBVENÇÃO GOVERNAMENTAL</t>
  </si>
  <si>
    <t xml:space="preserve">           [15919]GOVERNO DO ESTADO DE GOIAS</t>
  </si>
  <si>
    <t xml:space="preserve">       [4180]RECEITAS FINANCEIRAS</t>
  </si>
  <si>
    <t xml:space="preserve">         [4181]DESCONTOS OBTIDOS</t>
  </si>
  <si>
    <t xml:space="preserve">           [4182]DESCONTOS OBTIDOS DE FORNECEDORES</t>
  </si>
  <si>
    <t xml:space="preserve">         [4185]JUROS SOBRE ATIVOS FINANCEIROS</t>
  </si>
  <si>
    <t xml:space="preserve">           [4188]JUROS S/ RECEBIMENTOS C/ ATRASO</t>
  </si>
  <si>
    <t xml:space="preserve">           [4189]RECEITAS DIVERSAS</t>
  </si>
  <si>
    <t xml:space="preserve">           [4190]RENDIMENTOS DE APLICAÇÕES FINANCEIRAS</t>
  </si>
  <si>
    <t xml:space="preserve">           [4192]DIVIDENDOS RECEBIDOS</t>
  </si>
  <si>
    <t xml:space="preserve">           [17410]RENDIMENTO CONTA UNICA GOVERNO DO ESTADO DE GOIAS</t>
  </si>
  <si>
    <t xml:space="preserve">       [4195]RECEITAS DE SERVIÇOS</t>
  </si>
  <si>
    <t xml:space="preserve">         [4210]RECUPERAÇÕES </t>
  </si>
  <si>
    <t xml:space="preserve">           [4212]RECUPERAÇÕES TRIBUTOS FEDERAIS</t>
  </si>
  <si>
    <t>INDÚSTRIAQUÍMICADOESTADODEGOIÁSS/A-IQUEGO</t>
  </si>
  <si>
    <t>CNPJNº01.541.283/0001-41</t>
  </si>
  <si>
    <t>1.1</t>
  </si>
  <si>
    <t>1.1.11</t>
  </si>
  <si>
    <t>1.1.11.02</t>
  </si>
  <si>
    <t>1.1.11.02.0002</t>
  </si>
  <si>
    <t>1.1.11.02.0003</t>
  </si>
  <si>
    <t>1.1.11.02.0018</t>
  </si>
  <si>
    <t>1.1.11.02.0019</t>
  </si>
  <si>
    <t>1.1.11.02.0026</t>
  </si>
  <si>
    <t>1.1.11.02.0031</t>
  </si>
  <si>
    <t>1.1.11.02.0032</t>
  </si>
  <si>
    <t>1.1.11.02.0033</t>
  </si>
  <si>
    <t>1.1.11.02.0035</t>
  </si>
  <si>
    <t>1.1.11.02.0036</t>
  </si>
  <si>
    <t>1.1.11.02.0037</t>
  </si>
  <si>
    <t>1.1.11.03</t>
  </si>
  <si>
    <t>1.1.11.03.0004</t>
  </si>
  <si>
    <t>1.1.11.03.0008</t>
  </si>
  <si>
    <t>1.1.11.03.0012</t>
  </si>
  <si>
    <t>1.1.11.03.0014</t>
  </si>
  <si>
    <t>1.1.11.05</t>
  </si>
  <si>
    <t>1.1.11.05.0001</t>
  </si>
  <si>
    <t>1.1.21</t>
  </si>
  <si>
    <t>1.1.21.01</t>
  </si>
  <si>
    <t>1.1.21.01.0001</t>
  </si>
  <si>
    <t>1.1.21.01.0285</t>
  </si>
  <si>
    <t>1.1.21.01.0307</t>
  </si>
  <si>
    <t>1.1.21.01.0569</t>
  </si>
  <si>
    <t>1.1.21.01.0629</t>
  </si>
  <si>
    <t>1.1.21.01.0654</t>
  </si>
  <si>
    <t>1.1.21.01.0764</t>
  </si>
  <si>
    <t>1.1.21.01.0770</t>
  </si>
  <si>
    <t>1.1.21.01.0815</t>
  </si>
  <si>
    <t>1.1.21.01.0823</t>
  </si>
  <si>
    <t>1.1.21.01.0831</t>
  </si>
  <si>
    <t>1.1.21.01.0845</t>
  </si>
  <si>
    <t>1.1.21.01.0854</t>
  </si>
  <si>
    <t>1.1.21.01.0855</t>
  </si>
  <si>
    <t>1.1.21.01.0861</t>
  </si>
  <si>
    <t>1.1.21.01.0862</t>
  </si>
  <si>
    <t>1.1.21.01.0874</t>
  </si>
  <si>
    <t>1.1.21.01.0875</t>
  </si>
  <si>
    <t>1.1.21.01.0876</t>
  </si>
  <si>
    <t>1.1.21.01.0882</t>
  </si>
  <si>
    <t>1.1.21.01.0888</t>
  </si>
  <si>
    <t>1.1.21.01.0902</t>
  </si>
  <si>
    <t>1.1.21.01.0910</t>
  </si>
  <si>
    <t>1.1.21.01.0917</t>
  </si>
  <si>
    <t>1.1.21.01.0926</t>
  </si>
  <si>
    <t>1.1.21.01.0927</t>
  </si>
  <si>
    <t>1.1.21.01.0929</t>
  </si>
  <si>
    <t>1.1.21.01.0935</t>
  </si>
  <si>
    <t>1.1.21.01.0937</t>
  </si>
  <si>
    <t>1.1.21.01.0938</t>
  </si>
  <si>
    <t>1.1.21.01.0949</t>
  </si>
  <si>
    <t>1.1.21.01.0950</t>
  </si>
  <si>
    <t>1.1.21.01.0952</t>
  </si>
  <si>
    <t>1.1.21.01.0963</t>
  </si>
  <si>
    <t>1.1.21.01.0965</t>
  </si>
  <si>
    <t>1.1.21.01.0979</t>
  </si>
  <si>
    <t>1.1.21.01.1017</t>
  </si>
  <si>
    <t>1.1.21.01.1033</t>
  </si>
  <si>
    <t>1.1.21.01.1061</t>
  </si>
  <si>
    <t>1.1.21.01.1062</t>
  </si>
  <si>
    <t>1.1.21.01.1063</t>
  </si>
  <si>
    <t>1.1.21.01.1064</t>
  </si>
  <si>
    <t>1.1.21.01.1066</t>
  </si>
  <si>
    <t>1.1.21.01.1067</t>
  </si>
  <si>
    <t>1.1.21.01.1069</t>
  </si>
  <si>
    <t>1.1.21.01.1073</t>
  </si>
  <si>
    <t>1.1.21.01.1076</t>
  </si>
  <si>
    <t>1.1.21.01.1079</t>
  </si>
  <si>
    <t>1.1.21.01.1081</t>
  </si>
  <si>
    <t>1.1.21.01.1086</t>
  </si>
  <si>
    <t>1.1.21.01.1087</t>
  </si>
  <si>
    <t>1.1.21.01.1088</t>
  </si>
  <si>
    <t>1.1.21.01.1089</t>
  </si>
  <si>
    <t>1.1.21.01.1093</t>
  </si>
  <si>
    <t>1.1.21.01.1108</t>
  </si>
  <si>
    <t>1.1.21.01.1111</t>
  </si>
  <si>
    <t>1.1.21.01.1112</t>
  </si>
  <si>
    <t>1.1.21.01.1113</t>
  </si>
  <si>
    <t>1.1.21.01.1117</t>
  </si>
  <si>
    <t>1.1.21.02</t>
  </si>
  <si>
    <t>1.1.21.02.0001</t>
  </si>
  <si>
    <t>1.1.22</t>
  </si>
  <si>
    <t>1.1.22.03</t>
  </si>
  <si>
    <t>1.1.22.03.0002</t>
  </si>
  <si>
    <t>1.1.22.03.0003</t>
  </si>
  <si>
    <t>1.1.22.06</t>
  </si>
  <si>
    <t>1.1.22.06.0002</t>
  </si>
  <si>
    <t>1.1.22.06.0003</t>
  </si>
  <si>
    <t>1.1.22.06.0004</t>
  </si>
  <si>
    <t>1.1.22.06.0012</t>
  </si>
  <si>
    <t>1.1.22.06.0014</t>
  </si>
  <si>
    <t>1.1.22.06.0029</t>
  </si>
  <si>
    <t>1.1.22.06.0030</t>
  </si>
  <si>
    <t>1.1.22.08</t>
  </si>
  <si>
    <t>1.1.22.08.0001</t>
  </si>
  <si>
    <t>1.1.22.08.0002</t>
  </si>
  <si>
    <t>1.1.22.08.0003</t>
  </si>
  <si>
    <t>1.1.31</t>
  </si>
  <si>
    <t>1.1.31.01</t>
  </si>
  <si>
    <t>1.1.31.01.0005</t>
  </si>
  <si>
    <t>1.1.31.01.0007</t>
  </si>
  <si>
    <t>1.1.31.01.0010</t>
  </si>
  <si>
    <t>1.1.31.01.0011</t>
  </si>
  <si>
    <t>1.1.31.01.0012</t>
  </si>
  <si>
    <t>1.1.31.01.0013</t>
  </si>
  <si>
    <t>1.1.31.01.0019</t>
  </si>
  <si>
    <t>1.1.32</t>
  </si>
  <si>
    <t>1.1.32.01</t>
  </si>
  <si>
    <t>1.1.32.01.0001</t>
  </si>
  <si>
    <t>1.1.32.01.0009</t>
  </si>
  <si>
    <t>1.1.33</t>
  </si>
  <si>
    <t>1.1.33.01</t>
  </si>
  <si>
    <t>1.1.33.01.0001</t>
  </si>
  <si>
    <t>1.1.33.01.0006</t>
  </si>
  <si>
    <t>1.1.34</t>
  </si>
  <si>
    <t>1.1.34.01</t>
  </si>
  <si>
    <t>1.1.34.01.0006</t>
  </si>
  <si>
    <t>1.1.34.01.0007</t>
  </si>
  <si>
    <t>1.1.34.01.0008</t>
  </si>
  <si>
    <t>1.1.34.01.0009</t>
  </si>
  <si>
    <t>1.1.34.01.0010</t>
  </si>
  <si>
    <t>1.1.34.01.0011</t>
  </si>
  <si>
    <t>1.1.34.01.0012</t>
  </si>
  <si>
    <t>1.1.34.01.0013</t>
  </si>
  <si>
    <t>1.1.36</t>
  </si>
  <si>
    <t>1.1.36.01</t>
  </si>
  <si>
    <t>1.1.36.01.0002</t>
  </si>
  <si>
    <t>1.1.38</t>
  </si>
  <si>
    <t>1.1.38.01</t>
  </si>
  <si>
    <t>1.1.38.01.0001</t>
  </si>
  <si>
    <t>1.1.38.01.0002</t>
  </si>
  <si>
    <t>1.1.39</t>
  </si>
  <si>
    <t>1.1.39.01</t>
  </si>
  <si>
    <t>1.1.39.01.0001</t>
  </si>
  <si>
    <t>1.1.51</t>
  </si>
  <si>
    <t>1.1.51.01</t>
  </si>
  <si>
    <t>1.1.51.01.0001</t>
  </si>
  <si>
    <t>1.1.51.01.0006</t>
  </si>
  <si>
    <t>1.2</t>
  </si>
  <si>
    <t>1.2.11</t>
  </si>
  <si>
    <t>1.2.11.02</t>
  </si>
  <si>
    <t>1.2.11.02.0001</t>
  </si>
  <si>
    <t>1.2.11.02.0002</t>
  </si>
  <si>
    <t>1.2.11.02.0003</t>
  </si>
  <si>
    <t>1.2.11.02.0004</t>
  </si>
  <si>
    <t>1.2.11.02.0005</t>
  </si>
  <si>
    <t>1.2.11.02.0006</t>
  </si>
  <si>
    <t>1.2.11.02.0008</t>
  </si>
  <si>
    <t>1.2.11.03</t>
  </si>
  <si>
    <t>1.2.11.03.0004</t>
  </si>
  <si>
    <t>1.2.11.03.0007</t>
  </si>
  <si>
    <t>1.2.21</t>
  </si>
  <si>
    <t>1.2.21.01</t>
  </si>
  <si>
    <t>1.2.21.01.0002</t>
  </si>
  <si>
    <t>1.2.21.02</t>
  </si>
  <si>
    <t>1.2.21.02.0001</t>
  </si>
  <si>
    <t>1.2.21.02.0002</t>
  </si>
  <si>
    <t>1.2.21.02.0003</t>
  </si>
  <si>
    <t>1.2.21.02.0004</t>
  </si>
  <si>
    <t>1.2.21.02.0005</t>
  </si>
  <si>
    <t>1.2.22</t>
  </si>
  <si>
    <t>1.2.22.01</t>
  </si>
  <si>
    <t>1.2.22.01.0001</t>
  </si>
  <si>
    <t>1.2.31</t>
  </si>
  <si>
    <t>1.2.31.01</t>
  </si>
  <si>
    <t>1.2.31.01.0001</t>
  </si>
  <si>
    <t>1.2.31.01.0002</t>
  </si>
  <si>
    <t>1.2.31.01.0003</t>
  </si>
  <si>
    <t>1.2.31.01.0004</t>
  </si>
  <si>
    <t>1.2.31.01.0005</t>
  </si>
  <si>
    <t>1.2.31.01.0006</t>
  </si>
  <si>
    <t>1.2.31.01.0007</t>
  </si>
  <si>
    <t>1.2.31.01.0008</t>
  </si>
  <si>
    <t>1.2.31.01.0009</t>
  </si>
  <si>
    <t>1.2.31.01.0010</t>
  </si>
  <si>
    <t>1.2.31.01.0020</t>
  </si>
  <si>
    <t>1.2.31.01.0021</t>
  </si>
  <si>
    <t>1.2.31.02</t>
  </si>
  <si>
    <t>1.2.31.02.0001</t>
  </si>
  <si>
    <t>1.2.31.02.0002</t>
  </si>
  <si>
    <t>1.2.31.02.0003</t>
  </si>
  <si>
    <t>1.2.31.02.0004</t>
  </si>
  <si>
    <t>1.2.31.02.0005</t>
  </si>
  <si>
    <t>1.2.31.02.0007</t>
  </si>
  <si>
    <t>1.2.31.02.0008</t>
  </si>
  <si>
    <t>1.2.31.02.0011</t>
  </si>
  <si>
    <t>1.2.31.02.0013</t>
  </si>
  <si>
    <t>1.2.31.03</t>
  </si>
  <si>
    <t>1.2.31.03.0001</t>
  </si>
  <si>
    <t>1.2.31.03.0002</t>
  </si>
  <si>
    <t>1.2.31.03.0003</t>
  </si>
  <si>
    <t>1.2.31.03.0005</t>
  </si>
  <si>
    <t>1.2.31.03.0008</t>
  </si>
  <si>
    <t>1.2.31.03.0009</t>
  </si>
  <si>
    <t>1.2.31.03.013</t>
  </si>
  <si>
    <t>1.2.31.04</t>
  </si>
  <si>
    <t>1.2.31.04.0001</t>
  </si>
  <si>
    <t>1.2.31.04.0002</t>
  </si>
  <si>
    <t>1.2.31.04.0003</t>
  </si>
  <si>
    <t>1.2.31.04.0004</t>
  </si>
  <si>
    <t>1.2.31.04.0005</t>
  </si>
  <si>
    <t>1.2.31.05</t>
  </si>
  <si>
    <t>1.2.31.05.0001</t>
  </si>
  <si>
    <t>1.2.31.05.0002</t>
  </si>
  <si>
    <t>1.2.31.05.0003</t>
  </si>
  <si>
    <t>1.2.31.05.0004</t>
  </si>
  <si>
    <t>1.2.31.06</t>
  </si>
  <si>
    <t>1.2.31.06.0002</t>
  </si>
  <si>
    <t>1.2.31.06.0004</t>
  </si>
  <si>
    <t>1.2.31.07</t>
  </si>
  <si>
    <t>1.2.31.07.0001</t>
  </si>
  <si>
    <t>1.2.31.07.0002</t>
  </si>
  <si>
    <t>1.2.31.07.0003</t>
  </si>
  <si>
    <t>1.2.31.07.0004</t>
  </si>
  <si>
    <t>1.2.31.07.0007</t>
  </si>
  <si>
    <t>1.2.31.07.0008</t>
  </si>
  <si>
    <t>1.2.31.08</t>
  </si>
  <si>
    <t>1.2.31.08.0001</t>
  </si>
  <si>
    <t>1.2.31.08.0003</t>
  </si>
  <si>
    <t>1.2.31.08.0004</t>
  </si>
  <si>
    <t>1.2.31.09</t>
  </si>
  <si>
    <t>1.2.31.09.0001</t>
  </si>
  <si>
    <t>1.2.31.17</t>
  </si>
  <si>
    <t>1.2.31.17.0001</t>
  </si>
  <si>
    <t>1.2.31.17.0002</t>
  </si>
  <si>
    <t>1.2.31.17.0003</t>
  </si>
  <si>
    <t>1.2.31.17.0004</t>
  </si>
  <si>
    <t>1.2.31.17.0005</t>
  </si>
  <si>
    <t>1.2.31.17.0006</t>
  </si>
  <si>
    <t>1.2.31.17.0007</t>
  </si>
  <si>
    <t>1.2.31.17.0008</t>
  </si>
  <si>
    <t>1.2.31.17.0015</t>
  </si>
  <si>
    <t>2.1</t>
  </si>
  <si>
    <t>2.1.11</t>
  </si>
  <si>
    <t>2.1.11.01</t>
  </si>
  <si>
    <t>2.1.11.01.0009</t>
  </si>
  <si>
    <t>2.1.11.01.0016</t>
  </si>
  <si>
    <t>2.1.11.01.0052</t>
  </si>
  <si>
    <t>2.1.11.01.0145</t>
  </si>
  <si>
    <t>2.1.11.01.0149</t>
  </si>
  <si>
    <t>2.1.11.01.0150</t>
  </si>
  <si>
    <t>2.1.11.01.0159</t>
  </si>
  <si>
    <t>2.1.11.01.0161</t>
  </si>
  <si>
    <t>2.1.11.02</t>
  </si>
  <si>
    <t>2.1.11.02.0034</t>
  </si>
  <si>
    <t>2.1.11.02.0041</t>
  </si>
  <si>
    <t>2.1.11.03</t>
  </si>
  <si>
    <t>2.1.11.03.0013</t>
  </si>
  <si>
    <t>2.1.11.03.0041</t>
  </si>
  <si>
    <t>2.1.11.03.0042</t>
  </si>
  <si>
    <t>2.1.11.03.0043</t>
  </si>
  <si>
    <t>2.1.11.04</t>
  </si>
  <si>
    <t>2.1.11.04.0015</t>
  </si>
  <si>
    <t>2.1.11.04.0055</t>
  </si>
  <si>
    <t>2.1.11.04.0057</t>
  </si>
  <si>
    <t>2.1.11.04.0071</t>
  </si>
  <si>
    <t>2.1.11.04.0075</t>
  </si>
  <si>
    <t>2.1.11.04.0245</t>
  </si>
  <si>
    <t>2.1.11.04.0252</t>
  </si>
  <si>
    <t>2.1.11.04.0255</t>
  </si>
  <si>
    <t>2.1.11.04.0257</t>
  </si>
  <si>
    <t>2.1.11.04.0258</t>
  </si>
  <si>
    <t>2.1.11.04.0265</t>
  </si>
  <si>
    <t>2.1.11.04.0269</t>
  </si>
  <si>
    <t>2.1.11.04.0272</t>
  </si>
  <si>
    <t>2.1.11.04.0275</t>
  </si>
  <si>
    <t>2.1.11.04.0280</t>
  </si>
  <si>
    <t>2.1.11.04.0288</t>
  </si>
  <si>
    <t>2.1.11.04.0289</t>
  </si>
  <si>
    <t>2.1.11.04.0290</t>
  </si>
  <si>
    <t>2.1.11.04.0304</t>
  </si>
  <si>
    <t>2.1.11.04.0308</t>
  </si>
  <si>
    <t>2.1.11.04.0309</t>
  </si>
  <si>
    <t>2.1.11.04.0310</t>
  </si>
  <si>
    <t>2.1.11.05</t>
  </si>
  <si>
    <t>2.1.11.05.0014</t>
  </si>
  <si>
    <t>2.1.11.05.0049</t>
  </si>
  <si>
    <t>2.1.11.05.0068</t>
  </si>
  <si>
    <t>2.1.11.05.0070</t>
  </si>
  <si>
    <t>2.1.11.05.0088</t>
  </si>
  <si>
    <t>2.1.11.05.0090</t>
  </si>
  <si>
    <t>2.1.11.05.0092</t>
  </si>
  <si>
    <t>2.1.11.05.0106</t>
  </si>
  <si>
    <t>2.1.11.05.0116</t>
  </si>
  <si>
    <t>2.1.11.05.0121</t>
  </si>
  <si>
    <t>2.1.11.05.0129</t>
  </si>
  <si>
    <t>2.1.11.05.0130</t>
  </si>
  <si>
    <t>2.1.11.05.0147</t>
  </si>
  <si>
    <t>2.1.11.05.0158</t>
  </si>
  <si>
    <t>2.1.11.05.0166</t>
  </si>
  <si>
    <t>2.1.11.05.0176</t>
  </si>
  <si>
    <t>2.1.11.05.0207</t>
  </si>
  <si>
    <t>2.1.11.05.0234</t>
  </si>
  <si>
    <t>2.1.11.05.0262</t>
  </si>
  <si>
    <t>2.1.11.05.0265</t>
  </si>
  <si>
    <t>2.1.11.05.0276</t>
  </si>
  <si>
    <t>2.1.11.05.0287</t>
  </si>
  <si>
    <t>2.1.11.05.0301</t>
  </si>
  <si>
    <t>2.1.11.05.0308</t>
  </si>
  <si>
    <t>2.1.11.05.0311</t>
  </si>
  <si>
    <t>2.1.11.05.0326</t>
  </si>
  <si>
    <t>2.1.11.05.0336</t>
  </si>
  <si>
    <t>2.1.11.05.0337</t>
  </si>
  <si>
    <t>2.1.11.05.0341</t>
  </si>
  <si>
    <t>2.1.11.05.0350</t>
  </si>
  <si>
    <t>2.1.11.05.0355</t>
  </si>
  <si>
    <t>2.1.11.05.0357</t>
  </si>
  <si>
    <t>2.1.11.05.0369</t>
  </si>
  <si>
    <t>2.1.11.05.0370</t>
  </si>
  <si>
    <t>2.1.11.05.0375</t>
  </si>
  <si>
    <t>2.1.11.05.0393</t>
  </si>
  <si>
    <t>2.1.11.05.0410</t>
  </si>
  <si>
    <t>2.1.11.05.0415</t>
  </si>
  <si>
    <t>2.1.11.05.0429</t>
  </si>
  <si>
    <t>2.1.11.05.0436</t>
  </si>
  <si>
    <t>2.1.11.05.0439</t>
  </si>
  <si>
    <t>2.1.11.05.0441</t>
  </si>
  <si>
    <t>2.1.11.05.0442</t>
  </si>
  <si>
    <t>2.1.11.05.0451</t>
  </si>
  <si>
    <t>2.1.11.05.0469</t>
  </si>
  <si>
    <t>2.1.11.05.0470</t>
  </si>
  <si>
    <t>2.1.11.05.0556</t>
  </si>
  <si>
    <t>2.1.11.05.0558</t>
  </si>
  <si>
    <t>2.1.11.05.473</t>
  </si>
  <si>
    <t>2.1.11.05.476</t>
  </si>
  <si>
    <t>2.1.11.05.477</t>
  </si>
  <si>
    <t>2.1.11.05.485</t>
  </si>
  <si>
    <t>2.1.11.05.486</t>
  </si>
  <si>
    <t>2.1.11.05.489</t>
  </si>
  <si>
    <t>2.1.11.05.494</t>
  </si>
  <si>
    <t>2.1.11.05.497</t>
  </si>
  <si>
    <t>2.1.11.05.500</t>
  </si>
  <si>
    <t>2.1.11.05.506</t>
  </si>
  <si>
    <t>2.1.11.05.510</t>
  </si>
  <si>
    <t>2.1.11.05.512</t>
  </si>
  <si>
    <t>2.1.11.05.513</t>
  </si>
  <si>
    <t>2.1.11.05.514</t>
  </si>
  <si>
    <t>2.1.11.05.515</t>
  </si>
  <si>
    <t>2.1.11.05.517</t>
  </si>
  <si>
    <t>2.1.11.05.518</t>
  </si>
  <si>
    <t>2.1.11.05.519</t>
  </si>
  <si>
    <t>2.1.11.05.521</t>
  </si>
  <si>
    <t>2.1.11.05.522</t>
  </si>
  <si>
    <t>2.1.11.05.523</t>
  </si>
  <si>
    <t>2.1.11.05.524</t>
  </si>
  <si>
    <t>2.1.11.05.525</t>
  </si>
  <si>
    <t>2.1.11.05.526</t>
  </si>
  <si>
    <t>2.1.11.05.527</t>
  </si>
  <si>
    <t>2.1.11.05.528</t>
  </si>
  <si>
    <t>2.1.11.05.532</t>
  </si>
  <si>
    <t>2.1.11.05.553</t>
  </si>
  <si>
    <t>2.1.11.05.554</t>
  </si>
  <si>
    <t>2.1.11.05.557</t>
  </si>
  <si>
    <t>2.1.11.05.558</t>
  </si>
  <si>
    <t>2.1.11.05.559</t>
  </si>
  <si>
    <t>2.1.11.05.560</t>
  </si>
  <si>
    <t>2.1.11.05.561</t>
  </si>
  <si>
    <t>2.1.11.05.562</t>
  </si>
  <si>
    <t>2.1.11.05.563</t>
  </si>
  <si>
    <t>2.1.11.05.564</t>
  </si>
  <si>
    <t>2.1.11.05.566</t>
  </si>
  <si>
    <t>2.1.11.06</t>
  </si>
  <si>
    <t>2.1.11.06.0007</t>
  </si>
  <si>
    <t>2.1.11.07</t>
  </si>
  <si>
    <t>2.1.11.07.0023</t>
  </si>
  <si>
    <t>2.1.11.07.0026</t>
  </si>
  <si>
    <t>2.1.11.07.0040</t>
  </si>
  <si>
    <t>2.1.11.07.0041</t>
  </si>
  <si>
    <t>2.1.11.07.0042</t>
  </si>
  <si>
    <t>2.1.11.07.0043</t>
  </si>
  <si>
    <t>2.1.13</t>
  </si>
  <si>
    <t>2.1.13.01</t>
  </si>
  <si>
    <t>2.1.13.01.0004</t>
  </si>
  <si>
    <t>2.1.13.01.0005</t>
  </si>
  <si>
    <t>2.1.13.01.0006</t>
  </si>
  <si>
    <t>2.1.13.01.0007</t>
  </si>
  <si>
    <t>2.1.13.01.0012</t>
  </si>
  <si>
    <t>2.1.13.01.0014</t>
  </si>
  <si>
    <t>2.1.13.01.0015</t>
  </si>
  <si>
    <t>2.1.13.01.0016</t>
  </si>
  <si>
    <t>2.1.13.01.0017</t>
  </si>
  <si>
    <t>2.1.13.01.0018</t>
  </si>
  <si>
    <t>2.1.13.02</t>
  </si>
  <si>
    <t>2.1.13.02.0002</t>
  </si>
  <si>
    <t>2.1.13.02.0013</t>
  </si>
  <si>
    <t>2.1.13.02.0015</t>
  </si>
  <si>
    <t>2.1.13.02.0017</t>
  </si>
  <si>
    <t>2.1.13.02.0021</t>
  </si>
  <si>
    <t>2.1.13.03</t>
  </si>
  <si>
    <t>2.1.13.03.0020</t>
  </si>
  <si>
    <t>2.1.14</t>
  </si>
  <si>
    <t>2.1.14.01</t>
  </si>
  <si>
    <t>2.1.14.01.0001</t>
  </si>
  <si>
    <t>2.1.14.01.0003</t>
  </si>
  <si>
    <t>2.1.14.01.0009</t>
  </si>
  <si>
    <t>2.1.14.01.0010</t>
  </si>
  <si>
    <t>2.1.14.01.0011</t>
  </si>
  <si>
    <t>2.1.14.01.0012</t>
  </si>
  <si>
    <t>2.1.14.02</t>
  </si>
  <si>
    <t>2.1.14.02.0058</t>
  </si>
  <si>
    <t>2.1.14.02.0059</t>
  </si>
  <si>
    <t>2.1.14.02.0060</t>
  </si>
  <si>
    <t>2.1.14.02.0062</t>
  </si>
  <si>
    <t>2.1.14.02.0063</t>
  </si>
  <si>
    <t>2.1.14.02.0064</t>
  </si>
  <si>
    <t>2.1.14.02.0065</t>
  </si>
  <si>
    <t>2.1.15</t>
  </si>
  <si>
    <t>2.1.15.01</t>
  </si>
  <si>
    <t>2.1.15.01.0013</t>
  </si>
  <si>
    <t>2.1.15.01.0050</t>
  </si>
  <si>
    <t>2.1.15.01.0053</t>
  </si>
  <si>
    <t>2.1.15.02</t>
  </si>
  <si>
    <t>2.1.15.02.0003</t>
  </si>
  <si>
    <t>2.1.16</t>
  </si>
  <si>
    <t>2.1.16.01</t>
  </si>
  <si>
    <t>2.1.16.01.0002</t>
  </si>
  <si>
    <t>2.1.16.01.0007</t>
  </si>
  <si>
    <t>2.1.17</t>
  </si>
  <si>
    <t>2.1.17.01</t>
  </si>
  <si>
    <t>2.1.17.01.0001</t>
  </si>
  <si>
    <t>2.1.17.01.0002</t>
  </si>
  <si>
    <t>2.1.17.01.0003</t>
  </si>
  <si>
    <t>2.1.18</t>
  </si>
  <si>
    <t>2.1.18.01</t>
  </si>
  <si>
    <t>2.1.18.01.0004</t>
  </si>
  <si>
    <t>2.1.18.01.0005</t>
  </si>
  <si>
    <t>2.1.18.01.0006</t>
  </si>
  <si>
    <t>2.1.18.01.0007</t>
  </si>
  <si>
    <t>2.2</t>
  </si>
  <si>
    <t>2.2.11</t>
  </si>
  <si>
    <t>2.2.11.01</t>
  </si>
  <si>
    <t>2.2.11.01.0004</t>
  </si>
  <si>
    <t>2.2.11.01.0010</t>
  </si>
  <si>
    <t>2.2.11.01.0011</t>
  </si>
  <si>
    <t>2.2.11.02</t>
  </si>
  <si>
    <t>2.2.11.02.0005</t>
  </si>
  <si>
    <t>2.2.11.02.0086</t>
  </si>
  <si>
    <t>2.2.11.02.0087</t>
  </si>
  <si>
    <t>2.2.11.02.0088</t>
  </si>
  <si>
    <t>2.2.11.02.0089</t>
  </si>
  <si>
    <t>2.2.11.03</t>
  </si>
  <si>
    <t>2.2.11.03.0002</t>
  </si>
  <si>
    <t>2.2.13</t>
  </si>
  <si>
    <t>2.2.13.01</t>
  </si>
  <si>
    <t>2.2.13.01.0001</t>
  </si>
  <si>
    <t>2.2.13.01.0002</t>
  </si>
  <si>
    <t>2.2.13.01.0003</t>
  </si>
  <si>
    <t>2.3</t>
  </si>
  <si>
    <t>2.3.11</t>
  </si>
  <si>
    <t>2.3.11.01</t>
  </si>
  <si>
    <t>2.3.11.01.0003</t>
  </si>
  <si>
    <t>2.3.11.01.0006</t>
  </si>
  <si>
    <t>2.3.11.01.0007</t>
  </si>
  <si>
    <t>2.3.31</t>
  </si>
  <si>
    <t>2.3.31.01</t>
  </si>
  <si>
    <t>2.3.31.01.0001</t>
  </si>
  <si>
    <t>2.3.31.01.0005</t>
  </si>
  <si>
    <t>2.3.31.02</t>
  </si>
  <si>
    <t>2.3.31.02.0001</t>
  </si>
  <si>
    <t>2.3.31.02.0002</t>
  </si>
  <si>
    <t>2.3.32</t>
  </si>
  <si>
    <t>2.3.32.01</t>
  </si>
  <si>
    <t>2.3.32.01.0003</t>
  </si>
  <si>
    <t>3.1</t>
  </si>
  <si>
    <t>3.1.10</t>
  </si>
  <si>
    <t>3.1.10.01</t>
  </si>
  <si>
    <t>3.1.10.01.0001</t>
  </si>
  <si>
    <t>3.1.10.01.0002</t>
  </si>
  <si>
    <t>3.1.11</t>
  </si>
  <si>
    <t>3.1.11.01</t>
  </si>
  <si>
    <t>3.1.11.01.0027</t>
  </si>
  <si>
    <t>3.1.11.01.0035</t>
  </si>
  <si>
    <t>3.1.11.01.0036</t>
  </si>
  <si>
    <t>3.1.11.05</t>
  </si>
  <si>
    <t>3.1.11.05.0004</t>
  </si>
  <si>
    <t>3.1.11.05.0011</t>
  </si>
  <si>
    <t>3.1.11.05.0012</t>
  </si>
  <si>
    <t>3.1.11.05.0016</t>
  </si>
  <si>
    <t>3.1.11.05.0035</t>
  </si>
  <si>
    <t>3.1.11.05.0046</t>
  </si>
  <si>
    <t>3.1.11.05.0060</t>
  </si>
  <si>
    <t>3.1.11.05.0061</t>
  </si>
  <si>
    <t>3.1.12</t>
  </si>
  <si>
    <t>3.1.12.01</t>
  </si>
  <si>
    <t>3.1.12.01.0010</t>
  </si>
  <si>
    <t>3.1.12.04</t>
  </si>
  <si>
    <t>3.1.12.04.0002</t>
  </si>
  <si>
    <t>3.1.12.04.0007</t>
  </si>
  <si>
    <t>3.1.12.04.0011</t>
  </si>
  <si>
    <t>3.1.12.04.0014</t>
  </si>
  <si>
    <t>3.1.12.04.0017</t>
  </si>
  <si>
    <t>3.1.12.04.0023</t>
  </si>
  <si>
    <t>3.1.12.05</t>
  </si>
  <si>
    <t>3.1.12.05.0003</t>
  </si>
  <si>
    <t>3.1.12.05.0007</t>
  </si>
  <si>
    <t>3.1.12.05.0008</t>
  </si>
  <si>
    <t>3.1.12.05.0009</t>
  </si>
  <si>
    <t>3.1.12.05.0010</t>
  </si>
  <si>
    <t>3.1.12.05.0011</t>
  </si>
  <si>
    <t>3.1.12.05.0012</t>
  </si>
  <si>
    <t>3.1.12.06</t>
  </si>
  <si>
    <t>3.1.12.06.0006</t>
  </si>
  <si>
    <t>3.1.12.08</t>
  </si>
  <si>
    <t>3.1.12.08.0006</t>
  </si>
  <si>
    <t>3.2</t>
  </si>
  <si>
    <t>3.2.11</t>
  </si>
  <si>
    <t>3.2.11.01</t>
  </si>
  <si>
    <t>3.2.11.01.0003</t>
  </si>
  <si>
    <t>3.2.11.01.0004</t>
  </si>
  <si>
    <t>3.2.11.01.0005</t>
  </si>
  <si>
    <t>3.2.11.01.0006</t>
  </si>
  <si>
    <t>3.2.11.01.0008</t>
  </si>
  <si>
    <t>3.2.11.01.0010</t>
  </si>
  <si>
    <t>3.2.11.01.0012</t>
  </si>
  <si>
    <t>3.2.11.01.014</t>
  </si>
  <si>
    <t>3.2.11.01.017</t>
  </si>
  <si>
    <t>3.2.11.01.019</t>
  </si>
  <si>
    <t>3.2.11.01.020</t>
  </si>
  <si>
    <t>3.2.11.01.022</t>
  </si>
  <si>
    <t>3.2.11.01.023</t>
  </si>
  <si>
    <t>3.2.11.01.024</t>
  </si>
  <si>
    <t>3.2.11.01.027</t>
  </si>
  <si>
    <t>3.2.11.01.029</t>
  </si>
  <si>
    <t>3.2.11.01.030</t>
  </si>
  <si>
    <t>3.2.11.01.035</t>
  </si>
  <si>
    <t>3.2.11.01.039</t>
  </si>
  <si>
    <t>3.2.11.02</t>
  </si>
  <si>
    <t>3.2.11.02.0001</t>
  </si>
  <si>
    <t>3.2.11.02.0002</t>
  </si>
  <si>
    <t>3.2.11.02.0005</t>
  </si>
  <si>
    <t>3.2.11.02.0006</t>
  </si>
  <si>
    <t>3.2.11.03</t>
  </si>
  <si>
    <t>3.2.11.03.0001</t>
  </si>
  <si>
    <t>3.2.11.03.0002</t>
  </si>
  <si>
    <t>3.2.11.03.0003</t>
  </si>
  <si>
    <t>3.2.11.03.0004</t>
  </si>
  <si>
    <t>3.2.11.03.0007</t>
  </si>
  <si>
    <t>3.2.11.03.0008</t>
  </si>
  <si>
    <t>3.2.11.03.0011</t>
  </si>
  <si>
    <t>3.2.11.04</t>
  </si>
  <si>
    <t>3.2.11.04.0001</t>
  </si>
  <si>
    <t>3.2.11.04.0002</t>
  </si>
  <si>
    <t>3.2.11.04.0003</t>
  </si>
  <si>
    <t>3.2.11.04.0006</t>
  </si>
  <si>
    <t>3.2.11.04.0008</t>
  </si>
  <si>
    <t>3.2.11.04.0009</t>
  </si>
  <si>
    <t>3.2.11.04.0012</t>
  </si>
  <si>
    <t>3.2.11.04.0013</t>
  </si>
  <si>
    <t>3.2.11.04.0014</t>
  </si>
  <si>
    <t>3.2.11.04.0015</t>
  </si>
  <si>
    <t>3.2.11.04.0017</t>
  </si>
  <si>
    <t>3.2.11.04.0018</t>
  </si>
  <si>
    <t>3.2.11.04.0019</t>
  </si>
  <si>
    <t>3.2.11.04.0021</t>
  </si>
  <si>
    <t>3.2.11.04.0022</t>
  </si>
  <si>
    <t>3.2.11.04.0024</t>
  </si>
  <si>
    <t>3.2.11.04.0029</t>
  </si>
  <si>
    <t>3.2.11.04.0030</t>
  </si>
  <si>
    <t>3.2.11.04.0031</t>
  </si>
  <si>
    <t>3.2.11.04.0032</t>
  </si>
  <si>
    <t>3.2.11.04.0036</t>
  </si>
  <si>
    <t>3.2.11.04.0037</t>
  </si>
  <si>
    <t>3.2.11.04.0044</t>
  </si>
  <si>
    <t>3.2.11.04.0045</t>
  </si>
  <si>
    <t>3.2.11.04.0046</t>
  </si>
  <si>
    <t>3.2.11.04.0048</t>
  </si>
  <si>
    <t>3.2.11.04.0052</t>
  </si>
  <si>
    <t>3.2.11.04.0053</t>
  </si>
  <si>
    <t>3.2.11.04.0057</t>
  </si>
  <si>
    <t>3.2.11.04.0059</t>
  </si>
  <si>
    <t>3.2.11.04.0060</t>
  </si>
  <si>
    <t>3.2.11.04.0061</t>
  </si>
  <si>
    <t>3.2.11.04.0062</t>
  </si>
  <si>
    <t>3.2.11.05</t>
  </si>
  <si>
    <t>3.2.11.05.0002</t>
  </si>
  <si>
    <t>3.2.11.05.0006</t>
  </si>
  <si>
    <t>3.2.11.05.0015</t>
  </si>
  <si>
    <t>3.2.11.05.0012</t>
  </si>
  <si>
    <t>3.2.11.05.0016</t>
  </si>
  <si>
    <t>3.2.11.06</t>
  </si>
  <si>
    <t>3.2.11.06.0001</t>
  </si>
  <si>
    <t>3.2.11.06.0003</t>
  </si>
  <si>
    <t>3.2.11.07</t>
  </si>
  <si>
    <t>3.2.11.07.0002</t>
  </si>
  <si>
    <t>3.2.11.07.0003</t>
  </si>
  <si>
    <t>3.2.11.07.0005</t>
  </si>
  <si>
    <t>3.2.11.07.0006</t>
  </si>
  <si>
    <t>3.2.11.07.0008</t>
  </si>
  <si>
    <t>3.2.11.07.0012</t>
  </si>
  <si>
    <t>3.2.11.07.0014</t>
  </si>
  <si>
    <t>3.2.11.07.0007</t>
  </si>
  <si>
    <t>3.2.12</t>
  </si>
  <si>
    <t>3.2.12.01</t>
  </si>
  <si>
    <t>3.2.12.01.0011</t>
  </si>
  <si>
    <t>4.1</t>
  </si>
  <si>
    <t>4.1.11</t>
  </si>
  <si>
    <t>4.1.11.02</t>
  </si>
  <si>
    <t>4.1.11.02.0001</t>
  </si>
  <si>
    <t>4.1.11.02.0004</t>
  </si>
  <si>
    <t>4.2</t>
  </si>
  <si>
    <t>4.2.12</t>
  </si>
  <si>
    <t>4.2.12.01</t>
  </si>
  <si>
    <t>4.2.12.01.0003</t>
  </si>
  <si>
    <t>4.2.22</t>
  </si>
  <si>
    <t>4.2.22.01</t>
  </si>
  <si>
    <t>4.2.22.01.0001</t>
  </si>
  <si>
    <t>4.2.23</t>
  </si>
  <si>
    <t>4.2.23.01</t>
  </si>
  <si>
    <t>4.2.23.01.0004</t>
  </si>
  <si>
    <t>4.2.31</t>
  </si>
  <si>
    <t>4.2.31.02</t>
  </si>
  <si>
    <t>4.2.31.02.0005</t>
  </si>
  <si>
    <t>4.2.31.02.0009</t>
  </si>
  <si>
    <t>4.2.31.03</t>
  </si>
  <si>
    <t>4.2.31.03.0002</t>
  </si>
  <si>
    <t>4.2.32</t>
  </si>
  <si>
    <t>4.2.32.01</t>
  </si>
  <si>
    <t>4.2.32.01.0001</t>
  </si>
  <si>
    <t>4.2.32.02</t>
  </si>
  <si>
    <t>4.2.32.02.0003</t>
  </si>
  <si>
    <t>4.2.32.02.0004</t>
  </si>
  <si>
    <t>4.2.32.02.0005</t>
  </si>
  <si>
    <t>4.2.32.02.0007</t>
  </si>
  <si>
    <t>4.2.32.02.0006</t>
  </si>
  <si>
    <t>4.2.32.02.0010</t>
  </si>
  <si>
    <t>4.2.33</t>
  </si>
  <si>
    <t>4.2.33.02</t>
  </si>
  <si>
    <t>4.2.33.02.0002</t>
  </si>
  <si>
    <t>4.4</t>
  </si>
  <si>
    <t>4.4.11</t>
  </si>
  <si>
    <t>4.4.11.01</t>
  </si>
  <si>
    <t>4.4.11.01.0005</t>
  </si>
  <si>
    <t>4.4.11.03</t>
  </si>
  <si>
    <t>4.4.11.03.0001</t>
  </si>
  <si>
    <t>4.4.11.03.0002</t>
  </si>
  <si>
    <t>1.1.22.11</t>
  </si>
  <si>
    <t>1.2.11.02.0007</t>
  </si>
  <si>
    <t>3.1.12.04.0022</t>
  </si>
  <si>
    <t>3.2.11.05.0014</t>
  </si>
  <si>
    <t>Investimentos -Aplicações Incentivadas</t>
  </si>
  <si>
    <t xml:space="preserve">Adto. de Clientes e Convênios </t>
  </si>
  <si>
    <t xml:space="preserve">                    Diretor Presidente                                                                                    Contadora CRC-GO 260008/0</t>
  </si>
  <si>
    <t xml:space="preserve">       _____________________________                                                           _____________________________</t>
  </si>
  <si>
    <t>Lucros (Prejuizos) Acumulados</t>
  </si>
  <si>
    <t>Lucros (Prejuizos) do Exercício</t>
  </si>
  <si>
    <t xml:space="preserve">   _____________________________                                                           _____________________________</t>
  </si>
  <si>
    <t xml:space="preserve">                Diretor Presidente                                                                                    Contadora CRC-GO 260008/0</t>
  </si>
  <si>
    <t xml:space="preserve">BALANÇO PATRIMONIAL </t>
  </si>
  <si>
    <t>IQUEGO - INDÚSTRIA QUÍMICA DO ESTADO DE GOIÁS S/A</t>
  </si>
  <si>
    <t>Lucro (prejuízo) líquido do exercício</t>
  </si>
  <si>
    <t>Ajuste de Exercícios Anteriores</t>
  </si>
  <si>
    <t>Outros resultados abrangentes</t>
  </si>
  <si>
    <t xml:space="preserve">                            -   </t>
  </si>
  <si>
    <t xml:space="preserve">                                 -   </t>
  </si>
  <si>
    <t>Total dos resultados abrangentes</t>
  </si>
  <si>
    <t>Resultado líquido após os ajustes</t>
  </si>
  <si>
    <t>Ajuste de reversão da reavaliação patrimonial PL</t>
  </si>
  <si>
    <t>BALANCETE 01/01/2024 A 31/01/2024</t>
  </si>
  <si>
    <t>CLASSIFICAÇÃO</t>
  </si>
  <si>
    <t>DESCRIÇÃO</t>
  </si>
  <si>
    <t>SALDO ANTERIOR</t>
  </si>
  <si>
    <t>DÉBITO</t>
  </si>
  <si>
    <t>CRÉDITO</t>
  </si>
  <si>
    <t>SALDO ATUAL</t>
  </si>
  <si>
    <t xml:space="preserve">[1] </t>
  </si>
  <si>
    <t xml:space="preserve">[1.1] </t>
  </si>
  <si>
    <t xml:space="preserve">[1.1.11] </t>
  </si>
  <si>
    <t xml:space="preserve">[1.1.11.02] </t>
  </si>
  <si>
    <t xml:space="preserve">[1.1.11.02.0002] </t>
  </si>
  <si>
    <t xml:space="preserve">[1.1.11.02.0003] </t>
  </si>
  <si>
    <t xml:space="preserve">[1.1.11.02.0019] </t>
  </si>
  <si>
    <t xml:space="preserve">[1.1.11.02.0026] </t>
  </si>
  <si>
    <t xml:space="preserve">[1.1.11.02.0031] </t>
  </si>
  <si>
    <t xml:space="preserve">[1.1.11.02.0032] </t>
  </si>
  <si>
    <t xml:space="preserve">[1.1.11.02.0035] </t>
  </si>
  <si>
    <t xml:space="preserve">[1.1.11.02.0036] </t>
  </si>
  <si>
    <t xml:space="preserve">[1.1.11.02.0037] </t>
  </si>
  <si>
    <t xml:space="preserve">[1.1.11.02.0039] </t>
  </si>
  <si>
    <t xml:space="preserve">           CONTA UNICA - 27990164 - SUPERAVIT - [17753]</t>
  </si>
  <si>
    <t xml:space="preserve">[1.1.11.02.0040] </t>
  </si>
  <si>
    <t xml:space="preserve">           CONTA UNICA - 15010100 - DO TESOURO ESTADUAL - [17760]</t>
  </si>
  <si>
    <t xml:space="preserve">[1.1.11.02.0041] </t>
  </si>
  <si>
    <t xml:space="preserve">           CONTA UNICA - 17990164 - DO TESOURO ESTADUAL - [17767]</t>
  </si>
  <si>
    <t xml:space="preserve">[1.1.11.02.0042] </t>
  </si>
  <si>
    <t xml:space="preserve">           CONTA UNICA - 25000100 - DISPONIBILIDADE CUTE - SU - [17774]</t>
  </si>
  <si>
    <t xml:space="preserve">[1.1.11.03] </t>
  </si>
  <si>
    <t xml:space="preserve">[1.1.11.03.0004] </t>
  </si>
  <si>
    <t xml:space="preserve">[1.1.11.03.0008] </t>
  </si>
  <si>
    <t xml:space="preserve">[1.1.11.03.0012] </t>
  </si>
  <si>
    <t xml:space="preserve">[1.1.11.03.0015] </t>
  </si>
  <si>
    <t xml:space="preserve">[1.1.11.05] </t>
  </si>
  <si>
    <t xml:space="preserve">[1.1.11.05.0001] </t>
  </si>
  <si>
    <t xml:space="preserve">[1.1.21] </t>
  </si>
  <si>
    <t xml:space="preserve">[1.1.21.01] </t>
  </si>
  <si>
    <t xml:space="preserve">[1.1.21.01.0001] </t>
  </si>
  <si>
    <t xml:space="preserve">           (-) PROVISÃO PARA CRÉDITOS DE LIQUIDAÇÃO DUVIDOSA - [18308]</t>
  </si>
  <si>
    <t xml:space="preserve">[1.1.21.01.0285] </t>
  </si>
  <si>
    <t xml:space="preserve">[1.1.21.01.0307] </t>
  </si>
  <si>
    <t xml:space="preserve">[1.1.21.01.0326] </t>
  </si>
  <si>
    <t xml:space="preserve">           PREFEITURA DE  ITAJA GO - [1477]</t>
  </si>
  <si>
    <t xml:space="preserve">[1.1.21.01.0380] </t>
  </si>
  <si>
    <t xml:space="preserve">           PREFEITURA DE NOVO PLANALTO - [1855]</t>
  </si>
  <si>
    <t xml:space="preserve">[1.1.21.01.0391] </t>
  </si>
  <si>
    <t xml:space="preserve">           PREFEITURA NIQUELANDIA GO - [1932]</t>
  </si>
  <si>
    <t xml:space="preserve">[1.1.21.01.0461] </t>
  </si>
  <si>
    <t xml:space="preserve">           PREFEITURA DE PALMELO GO - [3423]</t>
  </si>
  <si>
    <t xml:space="preserve">[1.1.21.01.0466] </t>
  </si>
  <si>
    <t xml:space="preserve">           PREFEITURA DE  IPAMERI GO - [3465]</t>
  </si>
  <si>
    <t xml:space="preserve">[1.1.21.01.0515] </t>
  </si>
  <si>
    <t xml:space="preserve">           PREFEITURA DE MAIRIPOTABA GO - [3899]</t>
  </si>
  <si>
    <t xml:space="preserve">[1.1.21.01.0569] </t>
  </si>
  <si>
    <t xml:space="preserve">[1.1.21.01.0629] </t>
  </si>
  <si>
    <t xml:space="preserve">[1.1.21.01.0654] </t>
  </si>
  <si>
    <t xml:space="preserve">[1.1.21.01.0692] </t>
  </si>
  <si>
    <t xml:space="preserve">           FUNDO  DE SAUDE DE GOIAS   GO - [8671]</t>
  </si>
  <si>
    <t xml:space="preserve">[1.1.21.01.0736] </t>
  </si>
  <si>
    <t xml:space="preserve">           FUNDO DE SAUDE DE SERRANOPOLIS - [10211]</t>
  </si>
  <si>
    <t xml:space="preserve">[1.1.21.01.0759] </t>
  </si>
  <si>
    <t xml:space="preserve">           FUNDO DE SAUDE DE EDEIA    GO - [10720]</t>
  </si>
  <si>
    <t xml:space="preserve">[1.1.21.01.0770] </t>
  </si>
  <si>
    <t xml:space="preserve">[1.1.21.01.0778] </t>
  </si>
  <si>
    <t xml:space="preserve">           FUNDO MUNICIPAL DE SAUDE DO MUNICIPIO DE - [10979]</t>
  </si>
  <si>
    <t xml:space="preserve">[1.1.21.01.0787] </t>
  </si>
  <si>
    <t xml:space="preserve">[1.1.21.01.0823] </t>
  </si>
  <si>
    <t xml:space="preserve">[1.1.21.01.0845] </t>
  </si>
  <si>
    <t xml:space="preserve">[1.1.21.01.0853] </t>
  </si>
  <si>
    <t xml:space="preserve">           FUNDO DE SAUDE DE PORTEIRÃO GO - [12272]</t>
  </si>
  <si>
    <t xml:space="preserve">[1.1.21.01.0855] </t>
  </si>
  <si>
    <t xml:space="preserve">[1.1.21.01.0861] </t>
  </si>
  <si>
    <t xml:space="preserve">[1.1.21.01.0862] </t>
  </si>
  <si>
    <t xml:space="preserve">[1.1.21.01.0875] </t>
  </si>
  <si>
    <t xml:space="preserve">[1.1.21.01.0876] </t>
  </si>
  <si>
    <t xml:space="preserve">[1.1.21.01.0896] </t>
  </si>
  <si>
    <t xml:space="preserve">           FUNDO DE SAUDE DE CACHOEIRA ALTA  GO - [13322]</t>
  </si>
  <si>
    <t xml:space="preserve">[1.1.21.01.0902] </t>
  </si>
  <si>
    <t xml:space="preserve">[1.1.21.01.0910] </t>
  </si>
  <si>
    <t xml:space="preserve">[1.1.21.01.0927] </t>
  </si>
  <si>
    <t xml:space="preserve">[1.1.21.01.0929] </t>
  </si>
  <si>
    <t xml:space="preserve">[1.1.21.01.0937] </t>
  </si>
  <si>
    <t xml:space="preserve">[1.1.21.01.0938] </t>
  </si>
  <si>
    <t xml:space="preserve">[1.1.21.01.0949] </t>
  </si>
  <si>
    <t xml:space="preserve">[1.1.21.01.0952] </t>
  </si>
  <si>
    <t xml:space="preserve">[1.1.21.01.0963] </t>
  </si>
  <si>
    <t xml:space="preserve">[1.1.21.01.0965] </t>
  </si>
  <si>
    <t xml:space="preserve">[1.1.21.01.0979] </t>
  </si>
  <si>
    <t xml:space="preserve">[1.1.21.01.1018] </t>
  </si>
  <si>
    <t xml:space="preserve">[1.1.21.01.1064] </t>
  </si>
  <si>
    <t xml:space="preserve">[1.1.21.01.1073] </t>
  </si>
  <si>
    <t xml:space="preserve">[1.1.21.01.1079] </t>
  </si>
  <si>
    <t xml:space="preserve">[1.1.21.01.1088] </t>
  </si>
  <si>
    <t xml:space="preserve">[1.1.21.01.1089] </t>
  </si>
  <si>
    <t xml:space="preserve">[1.1.21.01.1092] </t>
  </si>
  <si>
    <t xml:space="preserve">           FUNDO MUNICIPAL DE SAUDE VIANOPOLIS  - [17853]</t>
  </si>
  <si>
    <t xml:space="preserve">[1.1.21.01.1094] </t>
  </si>
  <si>
    <t xml:space="preserve">           PREFEITURA MUNICIPAL DE QUERENCIA   MT - [18028]</t>
  </si>
  <si>
    <t xml:space="preserve">[1.1.21.01.1095] </t>
  </si>
  <si>
    <t xml:space="preserve">           FUNDO MUNICIPAL DE SAUDE DE MAIRIPOTABA  - [18063]</t>
  </si>
  <si>
    <t xml:space="preserve">[1.1.21.01.1096] </t>
  </si>
  <si>
    <t xml:space="preserve">           FUNDO MUNICIPAL DE SAUDE DE ALOANDIA     - [18070]</t>
  </si>
  <si>
    <t xml:space="preserve">[1.1.21.01.1100] </t>
  </si>
  <si>
    <t xml:space="preserve">           FUNDO MUNICIPAL DE SAUDE DE JABOATAO DOS - [18105]</t>
  </si>
  <si>
    <t xml:space="preserve">[1.1.21.01.1102] </t>
  </si>
  <si>
    <t xml:space="preserve">           FUNDO MUNICIPAL DE SAUDE DE BOM JARDIM - [18154]</t>
  </si>
  <si>
    <t xml:space="preserve">[1.1.21.01.1108] </t>
  </si>
  <si>
    <t xml:space="preserve">[1.1.21.01.1111] </t>
  </si>
  <si>
    <t xml:space="preserve">[1.1.21.01.1113] </t>
  </si>
  <si>
    <t xml:space="preserve">[1.1.21.01.1115] </t>
  </si>
  <si>
    <t xml:space="preserve">           FUNDACAO DE SAUDE DO ESTADO DO RIO DE JA - [18280]</t>
  </si>
  <si>
    <t xml:space="preserve">[1.1.21.01.1116] </t>
  </si>
  <si>
    <t xml:space="preserve">           HOSPITAL DE DOENCAS TROPICAIS DA UNIVERS - [18287]</t>
  </si>
  <si>
    <t xml:space="preserve">[1.1.21.01.1117] </t>
  </si>
  <si>
    <t xml:space="preserve">[1.1.21.01.1119] </t>
  </si>
  <si>
    <t xml:space="preserve">           MUNICIPIO JOAO RAMALHO - [18371]</t>
  </si>
  <si>
    <t xml:space="preserve">[1.1.21.01.1120] </t>
  </si>
  <si>
    <t xml:space="preserve">           MUNICIPIO DE CAMPOS NOVOS PAULISTA - [18378]</t>
  </si>
  <si>
    <t xml:space="preserve">[1.1.21.01.1121] </t>
  </si>
  <si>
    <t xml:space="preserve">           MUNICIPIO DE BERNARDINO DE CAMPOS - [18385]</t>
  </si>
  <si>
    <t xml:space="preserve">[1.1.21.01.1122] </t>
  </si>
  <si>
    <t xml:space="preserve">           MUNICIPIO DE LUTECIA - [18392]</t>
  </si>
  <si>
    <t xml:space="preserve">[1.1.21.01.1123] </t>
  </si>
  <si>
    <t xml:space="preserve">           MUNICIPIO DE LUCIANOPOLIS - [18399]</t>
  </si>
  <si>
    <t xml:space="preserve">[1.1.21.01.1124] </t>
  </si>
  <si>
    <t xml:space="preserve">           MUNICIPIO DE PAES LANDIM - [18406]</t>
  </si>
  <si>
    <t xml:space="preserve">[1.1.21.01.1125] </t>
  </si>
  <si>
    <t xml:space="preserve">           FUNDO MUNICIPAL DE SAUDE OSCAR BRESSANE - [18413]</t>
  </si>
  <si>
    <t xml:space="preserve">[1.1.21.01.1126] </t>
  </si>
  <si>
    <t xml:space="preserve">           MUNICIPIO DE CACONDE - [18420]</t>
  </si>
  <si>
    <t xml:space="preserve">[1.1.21.01.1127] </t>
  </si>
  <si>
    <t xml:space="preserve">           MUNICIPIO DE FERNANDOPOLIS - [18427]</t>
  </si>
  <si>
    <t xml:space="preserve">[1.1.21.01.1128] </t>
  </si>
  <si>
    <t xml:space="preserve">           MUNICIPIO DE TIETE - [18448]</t>
  </si>
  <si>
    <t xml:space="preserve">[1.1.21.01.1129] </t>
  </si>
  <si>
    <t xml:space="preserve">           MUNICIPIO DE AVARE - [18455]</t>
  </si>
  <si>
    <t xml:space="preserve">[1.1.21.01.1130] </t>
  </si>
  <si>
    <t xml:space="preserve">           MUNICIPIO DE OCAUÇU - [18462]</t>
  </si>
  <si>
    <t xml:space="preserve">[1.1.21.01.1131] </t>
  </si>
  <si>
    <t xml:space="preserve">           MUNICIPIO DE ENGENHEIRO CALDAS  - [18483]</t>
  </si>
  <si>
    <t xml:space="preserve">[1.1.21.01.1132] </t>
  </si>
  <si>
    <t xml:space="preserve">           FUNDO MUNICIPAL DE SAUDE ECHAPORA - [18490]</t>
  </si>
  <si>
    <t xml:space="preserve">[1.1.21.01.1133] </t>
  </si>
  <si>
    <t xml:space="preserve">           SECRETARIA DE ESTADO DE DEFESA CIVIL - [18497]</t>
  </si>
  <si>
    <t xml:space="preserve">[1.1.21.01.1134] </t>
  </si>
  <si>
    <t xml:space="preserve">           MUNICIPIO DE ARCEBURGO - [18504]</t>
  </si>
  <si>
    <t xml:space="preserve">[1.1.21.01.1135] </t>
  </si>
  <si>
    <t xml:space="preserve">           MUNICIPIO DE PALMITAL - [18518]</t>
  </si>
  <si>
    <t xml:space="preserve">[1.1.21.01.1136] </t>
  </si>
  <si>
    <t xml:space="preserve">           MUNICIPIO DE FLORINEA - [18525]</t>
  </si>
  <si>
    <t xml:space="preserve">[1.1.21.01.1137] </t>
  </si>
  <si>
    <t xml:space="preserve">           MUNICIPIO DE CAPAO DA CANOA - [18532]</t>
  </si>
  <si>
    <t xml:space="preserve">[1.1.21.01.1138] </t>
  </si>
  <si>
    <t xml:space="preserve">           FUNDO MUNICIPAL DE SAUDE DE RIBAS DO RIO - [18539]</t>
  </si>
  <si>
    <t xml:space="preserve">[1.1.21.01.1139] </t>
  </si>
  <si>
    <t xml:space="preserve">           MUNICIPIO DE TARUMA - [18546]</t>
  </si>
  <si>
    <t xml:space="preserve">[1.1.21.01.1140] </t>
  </si>
  <si>
    <t xml:space="preserve">           MUNICIPIO DE FRANCA - [18553]</t>
  </si>
  <si>
    <t xml:space="preserve">[1.1.21.01.1141] </t>
  </si>
  <si>
    <t xml:space="preserve">           FUNDO MUNICIPAL DE SAÚDE DE ITABERABA - [18560]</t>
  </si>
  <si>
    <t xml:space="preserve">[1.1.21.01.1142] </t>
  </si>
  <si>
    <t xml:space="preserve">           MUNICIPIO DE CANDIDO MOTA - [18595]</t>
  </si>
  <si>
    <t xml:space="preserve">[1.1.21.01.1143] </t>
  </si>
  <si>
    <t xml:space="preserve">           MUNICIPIO DE SAPUCAIA DO SUL - [18602]</t>
  </si>
  <si>
    <t xml:space="preserve">[1.1.21.01.1145] </t>
  </si>
  <si>
    <t xml:space="preserve">           PREFEITURA MUNICIPAL DE NOVA ESPERANCA D - [18616]</t>
  </si>
  <si>
    <t xml:space="preserve">[1.1.21.01.1146] </t>
  </si>
  <si>
    <t xml:space="preserve">           MUNICIPIO DE VARGEM GRANDE DO SUL - [18700]</t>
  </si>
  <si>
    <t xml:space="preserve">[1.1.21.01.1147] </t>
  </si>
  <si>
    <t xml:space="preserve">           FUNDO MUNICIPAL DE SAÚDE DE DUARTINA - [18707]</t>
  </si>
  <si>
    <t xml:space="preserve">[1.1.21.01.1148] </t>
  </si>
  <si>
    <t xml:space="preserve">           MUNICIPAL DE RIBEIRAO GRANDE - [18721]</t>
  </si>
  <si>
    <t xml:space="preserve">[1.1.21.01.1149] </t>
  </si>
  <si>
    <t xml:space="preserve">           MUNICIPIO DE UBERLANDIA - [18770]</t>
  </si>
  <si>
    <t xml:space="preserve">[1.1.21.01.1150] </t>
  </si>
  <si>
    <t xml:space="preserve">           MUNICIPIO DE SAO VICENTE - [18777]</t>
  </si>
  <si>
    <t xml:space="preserve">[1.1.21.01.1151] </t>
  </si>
  <si>
    <t xml:space="preserve">           PREFEITURA MUNICIPAL DE CAMPINAS - [18805]</t>
  </si>
  <si>
    <t xml:space="preserve">[1.1.21.01.1152] </t>
  </si>
  <si>
    <t xml:space="preserve">           PREFEITURA MUNICIPAL DE PARISI - [18812]</t>
  </si>
  <si>
    <t xml:space="preserve">[1.1.21.01.1153] </t>
  </si>
  <si>
    <t xml:space="preserve">           FUNDO MUNICIPAL DE BILAC - [18819]</t>
  </si>
  <si>
    <t xml:space="preserve">[1.1.21.01.1154] </t>
  </si>
  <si>
    <t xml:space="preserve">           PREFEITURA MUNICIPAL TAIAÇU - [18826]</t>
  </si>
  <si>
    <t xml:space="preserve">[1.1.22] </t>
  </si>
  <si>
    <t xml:space="preserve">[1.1.22.01] </t>
  </si>
  <si>
    <t xml:space="preserve">         OUTROS CREDITOS - [312]</t>
  </si>
  <si>
    <t xml:space="preserve">[1.1.22.01.0001] </t>
  </si>
  <si>
    <t xml:space="preserve">           CONTAS A RECEBER - FUNCIONARIOS - [319]</t>
  </si>
  <si>
    <t xml:space="preserve">[1.1.22.03] </t>
  </si>
  <si>
    <t xml:space="preserve">[1.1.22.03.0002] </t>
  </si>
  <si>
    <t xml:space="preserve">[1.1.22.03.0003] </t>
  </si>
  <si>
    <t xml:space="preserve">[1.1.22.03.0007] </t>
  </si>
  <si>
    <t xml:space="preserve">           ADIANTAMENTO VALE ALIMENTAÇÃO - [527]</t>
  </si>
  <si>
    <t xml:space="preserve">[1.1.22.03.0008] </t>
  </si>
  <si>
    <t xml:space="preserve">           ADIANTAMENTO PLANO DE SAÚDE  - [534]</t>
  </si>
  <si>
    <t xml:space="preserve">[1.1.22.03.0009] </t>
  </si>
  <si>
    <t xml:space="preserve">           ADIANTAMENTO VALE TRANSPORTE - [548]</t>
  </si>
  <si>
    <t xml:space="preserve">[1.1.22.06] </t>
  </si>
  <si>
    <t xml:space="preserve">[1.1.22.06.0002] </t>
  </si>
  <si>
    <t xml:space="preserve">[1.1.22.06.0003] </t>
  </si>
  <si>
    <t xml:space="preserve">[1.1.22.06.0004] </t>
  </si>
  <si>
    <t xml:space="preserve">[1.1.22.06.0012] </t>
  </si>
  <si>
    <t xml:space="preserve">[1.1.22.06.0014] </t>
  </si>
  <si>
    <t xml:space="preserve">[1.1.22.06.0029] </t>
  </si>
  <si>
    <t xml:space="preserve">[1.1.22.06.0030] </t>
  </si>
  <si>
    <t xml:space="preserve">[1.1.22.08] </t>
  </si>
  <si>
    <t xml:space="preserve">[1.1.22.08.0001] </t>
  </si>
  <si>
    <t xml:space="preserve">[1.1.22.08.0002] </t>
  </si>
  <si>
    <t xml:space="preserve">[1.1.22.08.0003] </t>
  </si>
  <si>
    <t xml:space="preserve">[1.1.22.11] </t>
  </si>
  <si>
    <t xml:space="preserve">[1.1.31] </t>
  </si>
  <si>
    <t xml:space="preserve">[1.1.31.01] </t>
  </si>
  <si>
    <t xml:space="preserve">[1.1.31.01.0005] </t>
  </si>
  <si>
    <t xml:space="preserve">[1.1.31.01.0007] </t>
  </si>
  <si>
    <t xml:space="preserve">[1.1.31.01.0010] </t>
  </si>
  <si>
    <t xml:space="preserve">[1.1.31.01.0011] </t>
  </si>
  <si>
    <t xml:space="preserve">[1.1.31.01.0012] </t>
  </si>
  <si>
    <t xml:space="preserve">[1.1.31.01.0013] </t>
  </si>
  <si>
    <t xml:space="preserve">[1.1.31.01.0019] </t>
  </si>
  <si>
    <t xml:space="preserve">[1.1.32] </t>
  </si>
  <si>
    <t xml:space="preserve">[1.1.32.01] </t>
  </si>
  <si>
    <t xml:space="preserve">[1.1.32.01.0001] </t>
  </si>
  <si>
    <t xml:space="preserve">[1.1.32.01.0008] </t>
  </si>
  <si>
    <t xml:space="preserve">           (-) PROVISÃO PARA PERDAS EM ESTOQUES  - [7566]</t>
  </si>
  <si>
    <t xml:space="preserve">[1.1.33] </t>
  </si>
  <si>
    <t xml:space="preserve">[1.1.33.01] </t>
  </si>
  <si>
    <t xml:space="preserve">[1.1.33.01.0001] </t>
  </si>
  <si>
    <t xml:space="preserve">[1.1.33.01.0006] </t>
  </si>
  <si>
    <t xml:space="preserve">[1.1.34] </t>
  </si>
  <si>
    <t xml:space="preserve">       MERCADORIAS P/ REVENDA  - [629]</t>
  </si>
  <si>
    <t xml:space="preserve">[1.1.34.01] </t>
  </si>
  <si>
    <t xml:space="preserve">         MERCADORIAS P/ REVENDA - [630]</t>
  </si>
  <si>
    <t xml:space="preserve">[1.1.34.01.0006] </t>
  </si>
  <si>
    <t xml:space="preserve">[1.1.34.01.0007] </t>
  </si>
  <si>
    <t xml:space="preserve">           BATERIA - Cod. 002268 - [17664]</t>
  </si>
  <si>
    <t xml:space="preserve">[1.1.34.01.0008] </t>
  </si>
  <si>
    <t xml:space="preserve">[1.1.34.01.0009] </t>
  </si>
  <si>
    <t xml:space="preserve">           MEDIDOR DE GLICOSE OKMETER MATCH - Cod. 002278 - [17678]</t>
  </si>
  <si>
    <t xml:space="preserve">[1.1.34.01.0010] </t>
  </si>
  <si>
    <t xml:space="preserve">           TIRA DE TESTE DE GLICOSE OKMETER - Cod. 002279 - [17685]</t>
  </si>
  <si>
    <t xml:space="preserve">[1.1.34.01.0011] </t>
  </si>
  <si>
    <t xml:space="preserve">           ESTOQUE MEDIDOR GLICOSE ENHANCE - Cod. 152350373 - [3419]</t>
  </si>
  <si>
    <t xml:space="preserve">[1.1.34.01.0012] </t>
  </si>
  <si>
    <t xml:space="preserve">           ESTOQUE TIRAS DE TESTE GLUC. ENHANCE- Cod. 1523503 - [3426]</t>
  </si>
  <si>
    <t xml:space="preserve">[1.1.34.01.0020] </t>
  </si>
  <si>
    <t xml:space="preserve">           (-) PROVISAO DE PERDA DE MERCADORIAS P/ REVENDA  - [17797]</t>
  </si>
  <si>
    <t xml:space="preserve">[1.1.36] </t>
  </si>
  <si>
    <t xml:space="preserve">       ESTOQUE EM PODER DE TERCEIROS - [649]</t>
  </si>
  <si>
    <t xml:space="preserve">[1.1.36.01] </t>
  </si>
  <si>
    <t xml:space="preserve">         ESTOQUE EM PODER DE TERCEIROS - [650]</t>
  </si>
  <si>
    <t xml:space="preserve">[1.1.36.01.0002] </t>
  </si>
  <si>
    <t xml:space="preserve">[1.1.38] </t>
  </si>
  <si>
    <t xml:space="preserve">[1.1.38.01] </t>
  </si>
  <si>
    <t xml:space="preserve">[1.1.38.01.0001] </t>
  </si>
  <si>
    <t xml:space="preserve">[1.1.39] </t>
  </si>
  <si>
    <t xml:space="preserve">       ESTOQUE DE ARRENDAMENTO MERCANTIL - [3524]</t>
  </si>
  <si>
    <t xml:space="preserve">[1.1.39.01] </t>
  </si>
  <si>
    <t xml:space="preserve">         ESTOQUE DE ARRENDAMENTO MERCANTIL - [3580]</t>
  </si>
  <si>
    <t xml:space="preserve">[1.1.39.01.0001] </t>
  </si>
  <si>
    <t xml:space="preserve">           ESTOQUE DE ARRENDAMENTO MERCANTIL HMD - [3587]</t>
  </si>
  <si>
    <t xml:space="preserve">[1.1.51] </t>
  </si>
  <si>
    <t xml:space="preserve">[1.1.51.01] </t>
  </si>
  <si>
    <t xml:space="preserve">[1.1.51.01.0001] </t>
  </si>
  <si>
    <t xml:space="preserve">[1.2] </t>
  </si>
  <si>
    <t xml:space="preserve">     Creditos longo prazo - [16451]</t>
  </si>
  <si>
    <t xml:space="preserve">[1.2.11] </t>
  </si>
  <si>
    <t xml:space="preserve">[1.2.11.02] </t>
  </si>
  <si>
    <t xml:space="preserve">[1.2.11.02.0001] </t>
  </si>
  <si>
    <t xml:space="preserve">[1.2.11.02.0002] </t>
  </si>
  <si>
    <t xml:space="preserve">[1.2.11.02.0003] </t>
  </si>
  <si>
    <t xml:space="preserve">           TELEFONICA BRASIL ON  - [713]</t>
  </si>
  <si>
    <t xml:space="preserve">[1.2.11.02.0004] </t>
  </si>
  <si>
    <t xml:space="preserve">           ANGIE - ITAÚ - [722]</t>
  </si>
  <si>
    <t xml:space="preserve">[1.2.11.02.0005] </t>
  </si>
  <si>
    <t xml:space="preserve">           AÇOES CLARO  - [737]</t>
  </si>
  <si>
    <t xml:space="preserve">[1.2.11.02.0006] </t>
  </si>
  <si>
    <t xml:space="preserve">[1.2.11.02.0007] </t>
  </si>
  <si>
    <t xml:space="preserve">           AÇOES TIM - [744]</t>
  </si>
  <si>
    <t xml:space="preserve">[1.2.11.02.0008] </t>
  </si>
  <si>
    <t xml:space="preserve">           TELEGOIAS  - [718]</t>
  </si>
  <si>
    <t xml:space="preserve">[1.2.11.03] </t>
  </si>
  <si>
    <t xml:space="preserve">[1.2.11.03.0007] </t>
  </si>
  <si>
    <t xml:space="preserve">[1.2.11.04] </t>
  </si>
  <si>
    <t xml:space="preserve">         OUTROS CRÉDITOS LP ( FUNCIONÁRIOS) - [5579]</t>
  </si>
  <si>
    <t xml:space="preserve">[1.2.11.04.0001] </t>
  </si>
  <si>
    <t xml:space="preserve">           CONTAS A RECEBER - FUNCIONÁRIOS (LP) - [5600]</t>
  </si>
  <si>
    <t xml:space="preserve">[1.2.21] </t>
  </si>
  <si>
    <t xml:space="preserve">[1.2.21.02] </t>
  </si>
  <si>
    <t xml:space="preserve">[1.2.21.02.0001] </t>
  </si>
  <si>
    <t xml:space="preserve">[1.2.21.02.0002] </t>
  </si>
  <si>
    <t xml:space="preserve">[1.2.21.02.0003] </t>
  </si>
  <si>
    <t xml:space="preserve">[1.2.21.02.0004] </t>
  </si>
  <si>
    <t xml:space="preserve">[1.2.21.02.0005] </t>
  </si>
  <si>
    <t xml:space="preserve">[1.2.22] </t>
  </si>
  <si>
    <t xml:space="preserve">       BENS DESTINADOS A COMODATO - [17734]</t>
  </si>
  <si>
    <t xml:space="preserve">[1.2.22.01] </t>
  </si>
  <si>
    <t xml:space="preserve">         BENS DESTINADOS A COMODATO - [17895]</t>
  </si>
  <si>
    <t xml:space="preserve">[1.2.22.01.0001] </t>
  </si>
  <si>
    <t xml:space="preserve">[1.2.22.01.0002] </t>
  </si>
  <si>
    <t xml:space="preserve">           BENS AGUARDANDO INCINERAÇÃO - [18840]</t>
  </si>
  <si>
    <t xml:space="preserve">[1.2.31] </t>
  </si>
  <si>
    <t xml:space="preserve">[1.2.31.01] </t>
  </si>
  <si>
    <t xml:space="preserve">[1.2.31.01.0001] </t>
  </si>
  <si>
    <t xml:space="preserve">[1.2.31.01.0002] </t>
  </si>
  <si>
    <t xml:space="preserve">[1.2.31.01.0003] </t>
  </si>
  <si>
    <t xml:space="preserve">[1.2.31.01.0004] </t>
  </si>
  <si>
    <t xml:space="preserve">[1.2.31.01.0005] </t>
  </si>
  <si>
    <t xml:space="preserve">[1.2.31.01.0006] </t>
  </si>
  <si>
    <t xml:space="preserve">[1.2.31.01.0007] </t>
  </si>
  <si>
    <t xml:space="preserve">[1.2.31.01.0008] </t>
  </si>
  <si>
    <t xml:space="preserve">[1.2.31.01.0009] </t>
  </si>
  <si>
    <t xml:space="preserve">[1.2.31.01.0010] </t>
  </si>
  <si>
    <t xml:space="preserve">[1.2.31.01.0020] </t>
  </si>
  <si>
    <t xml:space="preserve">[1.2.31.01.0021] </t>
  </si>
  <si>
    <t xml:space="preserve">[1.2.31.02] </t>
  </si>
  <si>
    <t xml:space="preserve">[1.2.31.02.0001] </t>
  </si>
  <si>
    <t xml:space="preserve">[1.2.31.02.0002] </t>
  </si>
  <si>
    <t xml:space="preserve">[1.2.31.02.0003] </t>
  </si>
  <si>
    <t xml:space="preserve">[1.2.31.02.0004] </t>
  </si>
  <si>
    <t xml:space="preserve">[1.2.31.02.0005] </t>
  </si>
  <si>
    <t xml:space="preserve">[1.2.31.02.0007] </t>
  </si>
  <si>
    <t xml:space="preserve">[1.2.31.02.0008] </t>
  </si>
  <si>
    <t xml:space="preserve">[1.2.31.02.0011] </t>
  </si>
  <si>
    <t xml:space="preserve">[1.2.31.02.0012] </t>
  </si>
  <si>
    <t xml:space="preserve">           SUBESTAÇÃO DE ENERGIA  - [17663]</t>
  </si>
  <si>
    <t xml:space="preserve">[1.2.31.02.0013] </t>
  </si>
  <si>
    <t xml:space="preserve">           FORNO MICROANDAS 36L - [17677]</t>
  </si>
  <si>
    <t xml:space="preserve">[1.2.31.02.0014] </t>
  </si>
  <si>
    <t xml:space="preserve">[1.2.31.03] </t>
  </si>
  <si>
    <t xml:space="preserve">[1.2.31.03.0001] </t>
  </si>
  <si>
    <t xml:space="preserve">[1.2.31.03.0002] </t>
  </si>
  <si>
    <t xml:space="preserve">[1.2.31.03.0003] </t>
  </si>
  <si>
    <t xml:space="preserve">[1.2.31.03.0005] </t>
  </si>
  <si>
    <t xml:space="preserve">[1.2.31.03.0008] </t>
  </si>
  <si>
    <t xml:space="preserve">[1.2.31.03.0009] </t>
  </si>
  <si>
    <t xml:space="preserve">[1.2.31.03.0012] </t>
  </si>
  <si>
    <t xml:space="preserve">           (-) PERDA POR IMPAIRMENT - [6504]</t>
  </si>
  <si>
    <t xml:space="preserve">[1.2.31.04] </t>
  </si>
  <si>
    <t xml:space="preserve">         MOVEIS UTENSILIOS -INSTALAÇÕES - [783]</t>
  </si>
  <si>
    <t xml:space="preserve">[1.2.31.04.0001] </t>
  </si>
  <si>
    <t xml:space="preserve">[1.2.31.04.0002] </t>
  </si>
  <si>
    <t xml:space="preserve">[1.2.31.04.0003] </t>
  </si>
  <si>
    <t xml:space="preserve">[1.2.31.04.0004] </t>
  </si>
  <si>
    <t xml:space="preserve">[1.2.31.04.0005] </t>
  </si>
  <si>
    <t xml:space="preserve">[1.2.31.05] </t>
  </si>
  <si>
    <t xml:space="preserve">[1.2.31.05.0001] </t>
  </si>
  <si>
    <t xml:space="preserve">[1.2.31.05.0002] </t>
  </si>
  <si>
    <t xml:space="preserve">[1.2.31.05.0003] </t>
  </si>
  <si>
    <t xml:space="preserve">[1.2.31.05.0004] </t>
  </si>
  <si>
    <t xml:space="preserve">           (-) PERDA POR IMPAIRMENT  - [824]</t>
  </si>
  <si>
    <t xml:space="preserve">[1.2.31.06] </t>
  </si>
  <si>
    <t xml:space="preserve">[1.2.31.06.0002] </t>
  </si>
  <si>
    <t xml:space="preserve">[1.2.31.06.0004] </t>
  </si>
  <si>
    <t xml:space="preserve">           (-) PERDA POR IMPAIRMENT - [821]</t>
  </si>
  <si>
    <t xml:space="preserve">[1.2.31.07] </t>
  </si>
  <si>
    <t xml:space="preserve">[1.2.31.07.0001] </t>
  </si>
  <si>
    <t xml:space="preserve">[1.2.31.07.0002] </t>
  </si>
  <si>
    <t xml:space="preserve">[1.2.31.07.0003] </t>
  </si>
  <si>
    <t xml:space="preserve">[1.2.31.07.0004] </t>
  </si>
  <si>
    <t xml:space="preserve">[1.2.31.07.0007] </t>
  </si>
  <si>
    <t xml:space="preserve">[1.2.31.07.0008] </t>
  </si>
  <si>
    <t xml:space="preserve">           (-) PERDA POR IMPAIRMENT  - [17656]</t>
  </si>
  <si>
    <t xml:space="preserve">[1.2.31.08] </t>
  </si>
  <si>
    <t xml:space="preserve">[1.2.31.08.0001] </t>
  </si>
  <si>
    <t xml:space="preserve">[1.2.31.08.0003] </t>
  </si>
  <si>
    <t xml:space="preserve">[1.2.31.08.0004] </t>
  </si>
  <si>
    <t xml:space="preserve">[1.2.31.09] </t>
  </si>
  <si>
    <t xml:space="preserve">[1.2.31.09.0001] </t>
  </si>
  <si>
    <t xml:space="preserve">[1.2.31.17] </t>
  </si>
  <si>
    <t xml:space="preserve">[1.2.31.17.0001] </t>
  </si>
  <si>
    <t xml:space="preserve">[1.2.31.17.0002] </t>
  </si>
  <si>
    <t xml:space="preserve">[1.2.31.17.0003] </t>
  </si>
  <si>
    <t xml:space="preserve">[1.2.31.17.0004] </t>
  </si>
  <si>
    <t xml:space="preserve">[1.2.31.17.0005] </t>
  </si>
  <si>
    <t xml:space="preserve">[1.2.31.17.0006] </t>
  </si>
  <si>
    <t xml:space="preserve">[1.2.31.17.0007] </t>
  </si>
  <si>
    <t xml:space="preserve">[1.2.31.17.0008] </t>
  </si>
  <si>
    <t xml:space="preserve">[2] </t>
  </si>
  <si>
    <t xml:space="preserve">[2.1] </t>
  </si>
  <si>
    <t xml:space="preserve">[2.1.11] </t>
  </si>
  <si>
    <t xml:space="preserve">[2.1.11.01] </t>
  </si>
  <si>
    <t xml:space="preserve">[2.1.11.01.0052] </t>
  </si>
  <si>
    <t xml:space="preserve">[2.1.11.01.0145] </t>
  </si>
  <si>
    <t xml:space="preserve">[2.1.11.01.0149] </t>
  </si>
  <si>
    <t xml:space="preserve">[2.1.11.01.0150] </t>
  </si>
  <si>
    <t xml:space="preserve">[2.1.11.01.0156] </t>
  </si>
  <si>
    <t xml:space="preserve">           FC ALIMENTOS EIRELI FINAL VIGENCIA - [17888]</t>
  </si>
  <si>
    <t xml:space="preserve">[2.1.11.01.0158] </t>
  </si>
  <si>
    <t xml:space="preserve">           GLOBALI DISTRIBUICAO E COMERCIO LTDA - [17965]</t>
  </si>
  <si>
    <t xml:space="preserve">[2.1.11.01.0161] </t>
  </si>
  <si>
    <t xml:space="preserve">[2.1.11.01.0167] </t>
  </si>
  <si>
    <t xml:space="preserve">           PHOTUS REVELAÇÃO E ENCARDENAÇÃO LTDA - ME - [18343]</t>
  </si>
  <si>
    <t xml:space="preserve">[2.1.11.01.0170] </t>
  </si>
  <si>
    <t xml:space="preserve">           ELEVA SOLUCOES PUBLICAS LTDA - [18469]</t>
  </si>
  <si>
    <t xml:space="preserve">[2.1.11.01.0171] </t>
  </si>
  <si>
    <t xml:space="preserve">           ACO SARAIVA METALURGICA - [18434]</t>
  </si>
  <si>
    <t xml:space="preserve">[2.1.11.01.0310] </t>
  </si>
  <si>
    <t xml:space="preserve">           AFA INDUSTRIA COMERCIO E SERVIÇOS LTDA - [18658]</t>
  </si>
  <si>
    <t xml:space="preserve">[2.1.11.02] </t>
  </si>
  <si>
    <t xml:space="preserve">[2.1.11.02.0034] </t>
  </si>
  <si>
    <t xml:space="preserve">[2.1.11.02.0041] </t>
  </si>
  <si>
    <t xml:space="preserve">[2.1.11.02.0044] </t>
  </si>
  <si>
    <t xml:space="preserve">           CMP9 - CONSULTORIA EMPRESARIAL E TREINAMENTO - [11357]</t>
  </si>
  <si>
    <t xml:space="preserve">[2.1.11.02.0045] </t>
  </si>
  <si>
    <t xml:space="preserve">           REDEMOB CONSÓRCIO - [11364]</t>
  </si>
  <si>
    <t xml:space="preserve">[2.1.11.03] </t>
  </si>
  <si>
    <t xml:space="preserve">[2.1.11.03.0013] </t>
  </si>
  <si>
    <t xml:space="preserve">           MSC MEDITERRANEO DO BRASIL LTDA - [2313]</t>
  </si>
  <si>
    <t xml:space="preserve">[2.1.11.03.0041] </t>
  </si>
  <si>
    <t xml:space="preserve">[2.1.11.03.0042] </t>
  </si>
  <si>
    <t xml:space="preserve">[2.1.11.03.0043] </t>
  </si>
  <si>
    <t xml:space="preserve">[2.1.11.03.0044] </t>
  </si>
  <si>
    <t xml:space="preserve">           APICE BRINDES LTDA - [17739]</t>
  </si>
  <si>
    <t xml:space="preserve">[2.1.11.04] </t>
  </si>
  <si>
    <t xml:space="preserve">[2.1.11.04.0057] </t>
  </si>
  <si>
    <t xml:space="preserve">[2.1.11.04.0071] </t>
  </si>
  <si>
    <t xml:space="preserve">[2.1.11.04.0075] </t>
  </si>
  <si>
    <t xml:space="preserve">[2.1.11.04.0158] </t>
  </si>
  <si>
    <t xml:space="preserve">           SOUSA MANUT. E PERFURAÇÕES LTDA - [5502]</t>
  </si>
  <si>
    <t xml:space="preserve">[2.1.11.04.0214] </t>
  </si>
  <si>
    <t xml:space="preserve">           REI PLACAS CONFECÇÃO DE PLACAS LTDA - [8986]</t>
  </si>
  <si>
    <t xml:space="preserve">[2.1.11.04.0245] </t>
  </si>
  <si>
    <t xml:space="preserve">[2.1.11.04.0252] </t>
  </si>
  <si>
    <t xml:space="preserve">[2.1.11.04.0257] </t>
  </si>
  <si>
    <t xml:space="preserve">[2.1.11.04.0258] </t>
  </si>
  <si>
    <t xml:space="preserve">[2.1.11.04.0265] </t>
  </si>
  <si>
    <t xml:space="preserve">[2.1.11.04.0269] </t>
  </si>
  <si>
    <t xml:space="preserve">[2.1.11.04.0272] </t>
  </si>
  <si>
    <t xml:space="preserve">[2.1.11.04.0275] </t>
  </si>
  <si>
    <t xml:space="preserve">[2.1.11.04.0280] </t>
  </si>
  <si>
    <t xml:space="preserve">[2.1.11.04.0289] </t>
  </si>
  <si>
    <t xml:space="preserve">[2.1.11.04.0290] </t>
  </si>
  <si>
    <t xml:space="preserve">[2.1.11.04.0300] </t>
  </si>
  <si>
    <t xml:space="preserve">[2.1.11.04.0308] </t>
  </si>
  <si>
    <t xml:space="preserve">[2.1.11.04.0309] </t>
  </si>
  <si>
    <t xml:space="preserve">[2.1.11.04.0310] </t>
  </si>
  <si>
    <t xml:space="preserve">[2.1.11.04.0311] </t>
  </si>
  <si>
    <t xml:space="preserve">           ALFA PAPELARIA LTDA EPP - [17725]</t>
  </si>
  <si>
    <t xml:space="preserve">[2.1.11.04.0312] </t>
  </si>
  <si>
    <t xml:space="preserve">           CMS COMÉRCIO DE MATERIAIS E SUPRIMENTOS LTDA - [17732]</t>
  </si>
  <si>
    <t xml:space="preserve">[2.1.11.04.0313] </t>
  </si>
  <si>
    <t xml:space="preserve">           GENESIS COMÉRCIO E MANUTENÇÕES LTDA - [18749]</t>
  </si>
  <si>
    <t xml:space="preserve">[2.1.11.05] </t>
  </si>
  <si>
    <t xml:space="preserve">[2.1.11.05.0014] </t>
  </si>
  <si>
    <t xml:space="preserve">[2.1.11.05.0049] </t>
  </si>
  <si>
    <t xml:space="preserve">[2.1.11.05.0062] </t>
  </si>
  <si>
    <t xml:space="preserve">           SODEXHO PASS DO BRASIL SERVIÇOS - [2561]</t>
  </si>
  <si>
    <t xml:space="preserve">[2.1.11.05.0068] </t>
  </si>
  <si>
    <t xml:space="preserve">[2.1.11.05.0070] </t>
  </si>
  <si>
    <t xml:space="preserve">[2.1.11.05.0088] </t>
  </si>
  <si>
    <t xml:space="preserve">[2.1.11.05.0090] </t>
  </si>
  <si>
    <t xml:space="preserve">[2.1.11.05.0092] </t>
  </si>
  <si>
    <t xml:space="preserve">[2.1.11.05.0121] </t>
  </si>
  <si>
    <t xml:space="preserve">[2.1.11.05.0129] </t>
  </si>
  <si>
    <t xml:space="preserve">           EQUATORIAL - ENERGIA ELETRICA - [2629]</t>
  </si>
  <si>
    <t xml:space="preserve">[2.1.11.05.0147] </t>
  </si>
  <si>
    <t xml:space="preserve">[2.1.11.05.0158] </t>
  </si>
  <si>
    <t xml:space="preserve">[2.1.11.05.0166] </t>
  </si>
  <si>
    <t xml:space="preserve">[2.1.11.05.0176] </t>
  </si>
  <si>
    <t xml:space="preserve">[2.1.11.05.0207] </t>
  </si>
  <si>
    <t xml:space="preserve">[2.1.11.05.0234] </t>
  </si>
  <si>
    <t xml:space="preserve">[2.1.11.05.0262] </t>
  </si>
  <si>
    <t xml:space="preserve">[2.1.11.05.0265] </t>
  </si>
  <si>
    <t xml:space="preserve">[2.1.11.05.0276] </t>
  </si>
  <si>
    <t xml:space="preserve">[2.1.11.05.0287] </t>
  </si>
  <si>
    <t xml:space="preserve">[2.1.11.05.0301] </t>
  </si>
  <si>
    <t xml:space="preserve">[2.1.11.05.0308] </t>
  </si>
  <si>
    <t xml:space="preserve">[2.1.11.05.0311] </t>
  </si>
  <si>
    <t xml:space="preserve">[2.1.11.05.0324] </t>
  </si>
  <si>
    <t xml:space="preserve">           MACIEL AUDITORES S/S - EPP - [9924]</t>
  </si>
  <si>
    <t xml:space="preserve">[2.1.11.05.0326] </t>
  </si>
  <si>
    <t xml:space="preserve">[2.1.11.05.0336] </t>
  </si>
  <si>
    <t xml:space="preserve">[2.1.11.05.0337] </t>
  </si>
  <si>
    <t xml:space="preserve">[2.1.11.05.0341] </t>
  </si>
  <si>
    <t xml:space="preserve">[2.1.11.05.0350] </t>
  </si>
  <si>
    <t xml:space="preserve">[2.1.11.05.0355] </t>
  </si>
  <si>
    <t xml:space="preserve">[2.1.11.05.0370] </t>
  </si>
  <si>
    <t xml:space="preserve">[2.1.11.05.0393] </t>
  </si>
  <si>
    <t xml:space="preserve">[2.1.11.05.0410] </t>
  </si>
  <si>
    <t xml:space="preserve">[2.1.11.05.0415] </t>
  </si>
  <si>
    <t xml:space="preserve">[2.1.11.05.0429] </t>
  </si>
  <si>
    <t xml:space="preserve">[2.1.11.05.0436] </t>
  </si>
  <si>
    <t xml:space="preserve">[2.1.11.05.0439] </t>
  </si>
  <si>
    <t xml:space="preserve">[2.1.11.05.0441] </t>
  </si>
  <si>
    <t xml:space="preserve">[2.1.11.05.0442] </t>
  </si>
  <si>
    <t xml:space="preserve">[2.1.11.05.0451] </t>
  </si>
  <si>
    <t xml:space="preserve">[2.1.11.05.0456] </t>
  </si>
  <si>
    <t xml:space="preserve">           COMPETEC INSTALAÇÃO E SERVIÇOS INDUSTRAIS LTDA ME - [14393]</t>
  </si>
  <si>
    <t xml:space="preserve">[2.1.11.05.0469] </t>
  </si>
  <si>
    <t xml:space="preserve">[2.1.11.05.0477] </t>
  </si>
  <si>
    <t xml:space="preserve">[2.1.11.05.0489] </t>
  </si>
  <si>
    <t xml:space="preserve">[2.1.11.05.0494] </t>
  </si>
  <si>
    <t xml:space="preserve">[2.1.11.05.0497] </t>
  </si>
  <si>
    <t xml:space="preserve">[2.1.11.05.0500] </t>
  </si>
  <si>
    <t xml:space="preserve">[2.1.11.05.0504] </t>
  </si>
  <si>
    <t xml:space="preserve">           AF EMPREENDIMENTOS EIRELI - [16850]</t>
  </si>
  <si>
    <t xml:space="preserve">[2.1.11.05.0505] </t>
  </si>
  <si>
    <t xml:space="preserve">           CERTIFICADORA O.S LTDA  - [16990]</t>
  </si>
  <si>
    <t xml:space="preserve">[2.1.11.05.0507] </t>
  </si>
  <si>
    <t xml:space="preserve">           DMS CALIBRAÇÕES E INSPEÇÕES INDUSTRIAL LTDA - [17480]</t>
  </si>
  <si>
    <t xml:space="preserve">[2.1.11.05.0510] </t>
  </si>
  <si>
    <t xml:space="preserve">[2.1.11.05.0512] </t>
  </si>
  <si>
    <t xml:space="preserve">[2.1.11.05.0514] </t>
  </si>
  <si>
    <t xml:space="preserve">[2.1.11.05.0516] </t>
  </si>
  <si>
    <t xml:space="preserve">           AC AIMIRIM CONSTRUTORA LTDA - [17683]</t>
  </si>
  <si>
    <t xml:space="preserve">[2.1.11.05.0517] </t>
  </si>
  <si>
    <t xml:space="preserve">[2.1.11.05.0519] </t>
  </si>
  <si>
    <t xml:space="preserve">[2.1.11.05.0522] </t>
  </si>
  <si>
    <t xml:space="preserve">[2.1.11.05.0523] </t>
  </si>
  <si>
    <t xml:space="preserve">[2.1.11.05.0525] </t>
  </si>
  <si>
    <t xml:space="preserve">[2.1.11.05.0527] </t>
  </si>
  <si>
    <t xml:space="preserve">[2.1.11.05.0528] </t>
  </si>
  <si>
    <t xml:space="preserve">           PADA PAES - FC ALIMENTOS - [3608]</t>
  </si>
  <si>
    <t xml:space="preserve">[2.1.11.05.0532] </t>
  </si>
  <si>
    <t xml:space="preserve">[2.1.11.05.0535] </t>
  </si>
  <si>
    <t xml:space="preserve">           ED MED COMERCIAL LTDA - [17550]</t>
  </si>
  <si>
    <t xml:space="preserve">[2.1.11.05.0553] </t>
  </si>
  <si>
    <t xml:space="preserve">           PLUXEE - SODEXO PASS DO  BRASIL  - [17846]</t>
  </si>
  <si>
    <t xml:space="preserve">[2.1.11.05.0554] </t>
  </si>
  <si>
    <t xml:space="preserve">[2.1.11.05.0555] </t>
  </si>
  <si>
    <t xml:space="preserve">           LUSA INDUSTRIA GRÁFICA LTDA - [17909]</t>
  </si>
  <si>
    <t xml:space="preserve">[2.1.11.05.0556] </t>
  </si>
  <si>
    <t xml:space="preserve">[2.1.11.05.0557] </t>
  </si>
  <si>
    <t xml:space="preserve">[2.1.11.05.0560] </t>
  </si>
  <si>
    <t xml:space="preserve">[2.1.11.05.0562] </t>
  </si>
  <si>
    <t xml:space="preserve">[2.1.11.05.0566] </t>
  </si>
  <si>
    <t xml:space="preserve">[2.1.11.05.0567] </t>
  </si>
  <si>
    <t xml:space="preserve">           LS PRODUTOS E SERVIÇOS LTDA - [18315]</t>
  </si>
  <si>
    <t xml:space="preserve">[2.1.11.05.0568] </t>
  </si>
  <si>
    <t xml:space="preserve">           WEQUISLEY PEREIRA FRANCA - [18322]</t>
  </si>
  <si>
    <t xml:space="preserve">[2.1.11.05.0569] </t>
  </si>
  <si>
    <t xml:space="preserve">           DESTAK ENVELOPAMENTO E PELICULAS - [18329]</t>
  </si>
  <si>
    <t xml:space="preserve">[2.1.11.05.0570] </t>
  </si>
  <si>
    <t xml:space="preserve">           UARLES DA COSTA PERREIRA  - [18336]</t>
  </si>
  <si>
    <t xml:space="preserve">[2.1.11.05.0571] </t>
  </si>
  <si>
    <t xml:space="preserve">           INSPIRA COMNICAÇÃO VISUAL LTDA - [18350]</t>
  </si>
  <si>
    <t xml:space="preserve">[2.1.11.05.0572] </t>
  </si>
  <si>
    <t xml:space="preserve">           VIDAL CONTABILIDADE - [18441]</t>
  </si>
  <si>
    <t xml:space="preserve">[2.1.11.05.0573] </t>
  </si>
  <si>
    <t xml:space="preserve">           ROMA CERTIFICADO DIGITAL LTDA - [18623]</t>
  </si>
  <si>
    <t xml:space="preserve">[2.1.11.05.0574] </t>
  </si>
  <si>
    <t xml:space="preserve">           MELQUISEDEQUE BERG VALE LIMA 70049098160 - [18357]</t>
  </si>
  <si>
    <t xml:space="preserve">[2.1.11.05.0576] </t>
  </si>
  <si>
    <t xml:space="preserve">[2.1.11.05.0577] </t>
  </si>
  <si>
    <t xml:space="preserve">           CAIO VINICIUS EFIGENIO FORMIGA &amp; CIS LTDA - [18651]</t>
  </si>
  <si>
    <t xml:space="preserve">[2.1.11.05.0579] </t>
  </si>
  <si>
    <t xml:space="preserve">[2.1.11.05.0581] </t>
  </si>
  <si>
    <t xml:space="preserve">[2.1.11.05.0583] </t>
  </si>
  <si>
    <t xml:space="preserve">           NADIA AOARECIDA DALL AGNOL-CONSULTORIA - [18476]</t>
  </si>
  <si>
    <t xml:space="preserve">[2.1.11.05.0584] </t>
  </si>
  <si>
    <t xml:space="preserve">           EVENTUAL LIVE MARKETING LTDA - [18630]</t>
  </si>
  <si>
    <t xml:space="preserve">[2.1.11.05.0585] </t>
  </si>
  <si>
    <t xml:space="preserve">           L. A PEREIRA PRODUÇOES LTDA - [18637]</t>
  </si>
  <si>
    <t xml:space="preserve">[2.1.11.05.0586] </t>
  </si>
  <si>
    <t xml:space="preserve">           AMBIENTAL DIVIDORIAS E REVESTIMENTOS LTDA - [18644]</t>
  </si>
  <si>
    <t xml:space="preserve">[2.1.11.05.0587] </t>
  </si>
  <si>
    <t xml:space="preserve">           FATIMA E OLIVEIRA LTDA - [18665]</t>
  </si>
  <si>
    <t xml:space="preserve">[2.1.11.05.0588] </t>
  </si>
  <si>
    <t xml:space="preserve">           HANAMEC SERVICOS ELETRICOS E FERRAMENTAS - [18672]</t>
  </si>
  <si>
    <t xml:space="preserve">[2.1.11.05.0589] </t>
  </si>
  <si>
    <t xml:space="preserve">           ELEITUS UNIFORMES - [18679]</t>
  </si>
  <si>
    <t xml:space="preserve">[2.1.11.05.0590] </t>
  </si>
  <si>
    <t xml:space="preserve">           ABMS LICITACOES LTDA - [18714]</t>
  </si>
  <si>
    <t xml:space="preserve">[2.1.11.05.0591] </t>
  </si>
  <si>
    <t xml:space="preserve">           BUFFET EXCELSIOR LTDA - [18728]</t>
  </si>
  <si>
    <t xml:space="preserve">[2.1.11.05.0593] </t>
  </si>
  <si>
    <t xml:space="preserve">           ECOSENSE CONSTRUÇÕES, LOGISTICA E GESTÃO AMBIENTAL - [18742]</t>
  </si>
  <si>
    <t xml:space="preserve">[2.1.11.05.0595] </t>
  </si>
  <si>
    <t xml:space="preserve">           ALM GENTE E GESTAO LTDA - [18756]</t>
  </si>
  <si>
    <t xml:space="preserve">[2.1.11.05.0597] </t>
  </si>
  <si>
    <t xml:space="preserve">           BORGES &amp; MOURA CONSULTORIA LTDA-ME - [18784]</t>
  </si>
  <si>
    <t xml:space="preserve">[2.1.11.05.0598] </t>
  </si>
  <si>
    <t xml:space="preserve">           CMYK Plotagens de Projetos e Impressões Digitais L - [18791]</t>
  </si>
  <si>
    <t xml:space="preserve">[2.1.11.05.0599] </t>
  </si>
  <si>
    <t xml:space="preserve">           Sotec Services Ltda - [18798]</t>
  </si>
  <si>
    <t xml:space="preserve">[2.1.11.05.0600] </t>
  </si>
  <si>
    <t xml:space="preserve">           FACIEST.GO - [18567]</t>
  </si>
  <si>
    <t xml:space="preserve">[2.1.11.05.0601] </t>
  </si>
  <si>
    <t xml:space="preserve">           DIMES VERAS DE MELO - [18581]</t>
  </si>
  <si>
    <t xml:space="preserve">[2.1.11.05.0602] </t>
  </si>
  <si>
    <t xml:space="preserve">           TOP BRASIL ENGENHARIA LTDA - [18588]</t>
  </si>
  <si>
    <t xml:space="preserve">[2.1.11.06] </t>
  </si>
  <si>
    <t xml:space="preserve">         FORNECEDORES DE REAGENTES - [2680]</t>
  </si>
  <si>
    <t xml:space="preserve">[2.1.11.06.0008] </t>
  </si>
  <si>
    <t xml:space="preserve">           SUPRA COMERCIAL LTDA - [16738]</t>
  </si>
  <si>
    <t xml:space="preserve">[2.1.11.07] </t>
  </si>
  <si>
    <t xml:space="preserve">[2.1.11.07.0023] </t>
  </si>
  <si>
    <t xml:space="preserve">[2.1.11.07.0026] </t>
  </si>
  <si>
    <t xml:space="preserve">[2.1.11.07.0039] </t>
  </si>
  <si>
    <t xml:space="preserve">           GLOBALI DISTRIBUIÇÃO E COMERCIO LTDA - [17425]</t>
  </si>
  <si>
    <t xml:space="preserve">[2.1.11.07.0041] </t>
  </si>
  <si>
    <t xml:space="preserve">[2.1.11.07.0043] </t>
  </si>
  <si>
    <t xml:space="preserve">[2.1.11.07.0044] </t>
  </si>
  <si>
    <t xml:space="preserve">           COMERCIAL FORTE SERVIÇOS E VARIEDADES - [17670]</t>
  </si>
  <si>
    <t xml:space="preserve">[2.1.13] </t>
  </si>
  <si>
    <t xml:space="preserve">[2.1.13.01] </t>
  </si>
  <si>
    <t xml:space="preserve">[2.1.13.01.0002] </t>
  </si>
  <si>
    <t xml:space="preserve">           CONTRIBUIÇÃO SINDICAL A RECOLHER - [2723]</t>
  </si>
  <si>
    <t xml:space="preserve">[2.1.13.01.0004] </t>
  </si>
  <si>
    <t xml:space="preserve">[2.1.13.01.0005] </t>
  </si>
  <si>
    <t xml:space="preserve">[2.1.13.01.0006] </t>
  </si>
  <si>
    <t xml:space="preserve">[2.1.13.01.0007] </t>
  </si>
  <si>
    <t xml:space="preserve">[2.1.13.01.0008] </t>
  </si>
  <si>
    <t xml:space="preserve">           PENSÃO ALIMENTICIA - [2729]</t>
  </si>
  <si>
    <t xml:space="preserve">[2.1.13.01.0012] </t>
  </si>
  <si>
    <t xml:space="preserve">[2.1.13.01.0014] </t>
  </si>
  <si>
    <t xml:space="preserve">[2.1.13.01.0015] </t>
  </si>
  <si>
    <t xml:space="preserve">[2.1.13.01.0016] </t>
  </si>
  <si>
    <t xml:space="preserve">[2.1.13.01.0017] </t>
  </si>
  <si>
    <t xml:space="preserve">[2.1.13.01.0018] </t>
  </si>
  <si>
    <t xml:space="preserve">[2.1.13.01.0021] </t>
  </si>
  <si>
    <t xml:space="preserve">           BRASILSEG - Companhia de Seguros - [6321]</t>
  </si>
  <si>
    <t xml:space="preserve">[2.1.13.01.0022] </t>
  </si>
  <si>
    <t xml:space="preserve">           CONTRIBUIÇÃO PREVIDENCIARIA IPAM - [6426]</t>
  </si>
  <si>
    <t xml:space="preserve">[2.1.13.01.0023] </t>
  </si>
  <si>
    <t xml:space="preserve">           DEPOSITO JUDICIAL FOLHA - [6433]</t>
  </si>
  <si>
    <t xml:space="preserve">[2.1.13.02] </t>
  </si>
  <si>
    <t xml:space="preserve">[2.1.13.02.0002] </t>
  </si>
  <si>
    <t xml:space="preserve">[2.1.13.02.0013] </t>
  </si>
  <si>
    <t xml:space="preserve">[2.1.13.02.0017] </t>
  </si>
  <si>
    <t xml:space="preserve">[2.1.13.03] </t>
  </si>
  <si>
    <t xml:space="preserve">[2.1.13.03.0020] </t>
  </si>
  <si>
    <t xml:space="preserve">[2.1.14] </t>
  </si>
  <si>
    <t xml:space="preserve">[2.1.14.01] </t>
  </si>
  <si>
    <t xml:space="preserve">[2.1.14.01.0001] </t>
  </si>
  <si>
    <t xml:space="preserve">[2.1.14.01.0003] </t>
  </si>
  <si>
    <t xml:space="preserve">[2.1.14.01.0006] </t>
  </si>
  <si>
    <t xml:space="preserve">[2.1.14.01.0009] </t>
  </si>
  <si>
    <t xml:space="preserve">[2.1.14.01.0010] </t>
  </si>
  <si>
    <t xml:space="preserve">[2.1.14.01.0012] </t>
  </si>
  <si>
    <t xml:space="preserve">[2.1.14.02] </t>
  </si>
  <si>
    <t xml:space="preserve">[2.1.14.02.0062] </t>
  </si>
  <si>
    <t xml:space="preserve">[2.1.14.02.0063] </t>
  </si>
  <si>
    <t xml:space="preserve">[2.1.14.02.0064] </t>
  </si>
  <si>
    <t xml:space="preserve">[2.1.14.02.0065] </t>
  </si>
  <si>
    <t xml:space="preserve">[2.1.15] </t>
  </si>
  <si>
    <t xml:space="preserve">[2.1.15.01] </t>
  </si>
  <si>
    <t xml:space="preserve">[2.1.15.01.0013] </t>
  </si>
  <si>
    <t xml:space="preserve">[2.1.15.01.0050] </t>
  </si>
  <si>
    <t xml:space="preserve">[2.1.15.01.0053] </t>
  </si>
  <si>
    <t xml:space="preserve">[2.1.15.02] </t>
  </si>
  <si>
    <t xml:space="preserve">[2.1.15.02.0003] </t>
  </si>
  <si>
    <t xml:space="preserve">[2.1.16] </t>
  </si>
  <si>
    <t xml:space="preserve">[2.1.16.01] </t>
  </si>
  <si>
    <t xml:space="preserve">[2.1.16.01.0007] </t>
  </si>
  <si>
    <t xml:space="preserve">[2.1.17] </t>
  </si>
  <si>
    <t xml:space="preserve">[2.1.17.01] </t>
  </si>
  <si>
    <t xml:space="preserve">[2.1.17.01.0001] </t>
  </si>
  <si>
    <t xml:space="preserve">[2.1.17.01.0002] </t>
  </si>
  <si>
    <t xml:space="preserve">[2.1.17.01.0003] </t>
  </si>
  <si>
    <t xml:space="preserve">[2.1.17.01.0004] </t>
  </si>
  <si>
    <t xml:space="preserve">[2.1.18] </t>
  </si>
  <si>
    <t xml:space="preserve">[2.1.18.01] </t>
  </si>
  <si>
    <t xml:space="preserve">[2.1.18.01.0005] </t>
  </si>
  <si>
    <t xml:space="preserve">[2.1.18.01.0006] </t>
  </si>
  <si>
    <t xml:space="preserve">[2.1.18.01.0007] </t>
  </si>
  <si>
    <t xml:space="preserve">[2.1.18.01.0008] </t>
  </si>
  <si>
    <t xml:space="preserve">           SUPORTE SISTEMAS DE AR CONDICIONADO LTDA - [17839]</t>
  </si>
  <si>
    <t xml:space="preserve">[2.1.18.02] </t>
  </si>
  <si>
    <t xml:space="preserve">         RESTOS A PAGAR  - [18847]</t>
  </si>
  <si>
    <t xml:space="preserve">[2.1.18.02.0001] </t>
  </si>
  <si>
    <t xml:space="preserve">           RESTOS A PAGAR - FONTE 100 / 220 - [18854]</t>
  </si>
  <si>
    <t xml:space="preserve">[2.2] </t>
  </si>
  <si>
    <t xml:space="preserve">     PASSIVO A LONGO PRAZO - [16465]</t>
  </si>
  <si>
    <t xml:space="preserve">[2.2.11] </t>
  </si>
  <si>
    <t xml:space="preserve">[2.2.11.01] </t>
  </si>
  <si>
    <t xml:space="preserve">[2.2.11.01.0004] </t>
  </si>
  <si>
    <t xml:space="preserve">[2.2.11.01.0010] </t>
  </si>
  <si>
    <t xml:space="preserve">[2.2.11.01.0011] </t>
  </si>
  <si>
    <t xml:space="preserve">           ACORDO TRABALHISTA - LONGO PRAZO - [17053]</t>
  </si>
  <si>
    <t xml:space="preserve">[2.2.11.02] </t>
  </si>
  <si>
    <t xml:space="preserve">[2.2.11.02.0005] </t>
  </si>
  <si>
    <t xml:space="preserve">[2.2.11.02.0086] </t>
  </si>
  <si>
    <t xml:space="preserve">[2.2.11.02.0087] </t>
  </si>
  <si>
    <t xml:space="preserve">[2.2.11.02.0088] </t>
  </si>
  <si>
    <t xml:space="preserve">[2.2.11.02.0089] </t>
  </si>
  <si>
    <t xml:space="preserve">[2.2.11.02.0090] </t>
  </si>
  <si>
    <t xml:space="preserve">           DESCONTO JUDICIAL FOLHA - [17718]</t>
  </si>
  <si>
    <t xml:space="preserve">[2.2.11.03] </t>
  </si>
  <si>
    <t xml:space="preserve">[2.2.11.03.0002] </t>
  </si>
  <si>
    <t xml:space="preserve">[2.2.13] </t>
  </si>
  <si>
    <t xml:space="preserve">[2.2.13.01] </t>
  </si>
  <si>
    <t xml:space="preserve">[2.2.13.01.0001] </t>
  </si>
  <si>
    <t xml:space="preserve">[2.2.13.01.0002] </t>
  </si>
  <si>
    <t xml:space="preserve">[2.3] </t>
  </si>
  <si>
    <t xml:space="preserve">     PATRIMÔNIO LIQUIDO - [16472]</t>
  </si>
  <si>
    <t xml:space="preserve">[2.3.11] </t>
  </si>
  <si>
    <t xml:space="preserve">[2.3.11.01] </t>
  </si>
  <si>
    <t xml:space="preserve">[2.3.11.01.0003] </t>
  </si>
  <si>
    <t xml:space="preserve">[2.3.11.01.0006] </t>
  </si>
  <si>
    <t xml:space="preserve">[2.3.11.01.0007] </t>
  </si>
  <si>
    <t xml:space="preserve">[2.3.31] </t>
  </si>
  <si>
    <t xml:space="preserve">[2.3.31.01] </t>
  </si>
  <si>
    <t xml:space="preserve">[2.3.31.01.0005] </t>
  </si>
  <si>
    <t xml:space="preserve">[2.3.31.02] </t>
  </si>
  <si>
    <t xml:space="preserve">[2.3.31.02.0001] </t>
  </si>
  <si>
    <t xml:space="preserve">[2.3.31.02.0002] </t>
  </si>
  <si>
    <t xml:space="preserve">[2.3.32] </t>
  </si>
  <si>
    <t xml:space="preserve">[2.3.32.01] </t>
  </si>
  <si>
    <t xml:space="preserve">[2.3.32.01.0003] </t>
  </si>
  <si>
    <t xml:space="preserve">[3] </t>
  </si>
  <si>
    <t xml:space="preserve">[3.1] </t>
  </si>
  <si>
    <t xml:space="preserve">[3.1.10] </t>
  </si>
  <si>
    <t xml:space="preserve">       CUSTO DA MERCADORIA VENDIDA - [17530]</t>
  </si>
  <si>
    <t xml:space="preserve">[3.1.10.01] </t>
  </si>
  <si>
    <t xml:space="preserve">         CUSTO DA MERCADORIA VENDIDA - [17537]</t>
  </si>
  <si>
    <t xml:space="preserve">[3.1.10.01.0001] </t>
  </si>
  <si>
    <t xml:space="preserve">           CMV INICIAL - [17544]</t>
  </si>
  <si>
    <t xml:space="preserve">[3.1.10.01.0002] </t>
  </si>
  <si>
    <t xml:space="preserve">           ( ) CMV FINAL - [17551]</t>
  </si>
  <si>
    <t xml:space="preserve">[3.1.11] </t>
  </si>
  <si>
    <t xml:space="preserve">[3.1.11.01] </t>
  </si>
  <si>
    <t xml:space="preserve">[3.1.11.01.0037] </t>
  </si>
  <si>
    <t xml:space="preserve">           REEMBOLSO AUX. F. EXC. - [6511]</t>
  </si>
  <si>
    <t xml:space="preserve">[3.1.11.02] </t>
  </si>
  <si>
    <t xml:space="preserve">         ENCARGOS SOCIAIS - [3040]</t>
  </si>
  <si>
    <t xml:space="preserve">[3.1.11.02.0002] </t>
  </si>
  <si>
    <t xml:space="preserve">           FGTS - [3042]</t>
  </si>
  <si>
    <t xml:space="preserve">[3.1.11.05] </t>
  </si>
  <si>
    <t xml:space="preserve">[3.1.11.05.0010] </t>
  </si>
  <si>
    <t xml:space="preserve">           CUSTO COM EMBALAGEM  - [3070]</t>
  </si>
  <si>
    <t xml:space="preserve">[3.1.11.05.0016] </t>
  </si>
  <si>
    <t xml:space="preserve">[3.1.11.05.0035] </t>
  </si>
  <si>
    <t xml:space="preserve">[3.1.11.05.0042] </t>
  </si>
  <si>
    <t xml:space="preserve">           REPOSIÇÃO DE PEÇAS  - [4964]</t>
  </si>
  <si>
    <t xml:space="preserve">[3.1.11.05.0059] </t>
  </si>
  <si>
    <t xml:space="preserve">[3.1.11.05.0060] </t>
  </si>
  <si>
    <t xml:space="preserve">[3.1.11.05.0061] </t>
  </si>
  <si>
    <t xml:space="preserve">           DESPESAS CARTORAIS E LEGAIS - [5077]</t>
  </si>
  <si>
    <t xml:space="preserve">[3.1.11.05.0062] </t>
  </si>
  <si>
    <t xml:space="preserve">           DESPESAS COM COPIAS E PLOTAGENS - [5078]</t>
  </si>
  <si>
    <t xml:space="preserve">[3.1.12] </t>
  </si>
  <si>
    <t xml:space="preserve">[3.1.12.01] </t>
  </si>
  <si>
    <t xml:space="preserve">[3.1.12.01.0021] </t>
  </si>
  <si>
    <t xml:space="preserve">           SEGURO DE VIDA EM GRUPO - [3222]</t>
  </si>
  <si>
    <t xml:space="preserve">[3.1.12.02] </t>
  </si>
  <si>
    <t xml:space="preserve">         ENCARGOS SOCIAIS  - [3230]</t>
  </si>
  <si>
    <t xml:space="preserve">[3.1.12.02.0001] </t>
  </si>
  <si>
    <t xml:space="preserve">           FGTS  - [3231]</t>
  </si>
  <si>
    <t xml:space="preserve">[3.1.12.04] </t>
  </si>
  <si>
    <t xml:space="preserve">[3.1.12.04.0023] </t>
  </si>
  <si>
    <t xml:space="preserve">[3.1.12.05] </t>
  </si>
  <si>
    <t xml:space="preserve">[3.1.12.05.0003] </t>
  </si>
  <si>
    <t xml:space="preserve">           FRETES E CARRETOS - [3276]</t>
  </si>
  <si>
    <t xml:space="preserve">[3.1.12.05.0004] </t>
  </si>
  <si>
    <t xml:space="preserve">           DIARIAS, VIAGENS E REPRESENTAÇÕES - [3277]</t>
  </si>
  <si>
    <t xml:space="preserve">[3.1.12.05.0005] </t>
  </si>
  <si>
    <t xml:space="preserve">           COMBUSTIVEIS E LUBRIFICANTES - [3278]</t>
  </si>
  <si>
    <t xml:space="preserve">[3.1.12.05.0007] </t>
  </si>
  <si>
    <t xml:space="preserve">[3.1.12.05.0008] </t>
  </si>
  <si>
    <t xml:space="preserve">[3.1.12.05.0009] </t>
  </si>
  <si>
    <t xml:space="preserve">[3.1.12.05.0010] </t>
  </si>
  <si>
    <t xml:space="preserve">[3.1.12.05.0011] </t>
  </si>
  <si>
    <t xml:space="preserve">[3.1.12.05.0012] </t>
  </si>
  <si>
    <t xml:space="preserve">[3.1.12.06] </t>
  </si>
  <si>
    <t xml:space="preserve">         DESPESAS C/ PROPAGANDAS E PUBLICIDADES - [3280]</t>
  </si>
  <si>
    <t xml:space="preserve">[3.1.12.06.0002] </t>
  </si>
  <si>
    <t xml:space="preserve">           PUBLICIDADE EM JORNAL - [3282]</t>
  </si>
  <si>
    <t xml:space="preserve">[3.1.12.06.0006] </t>
  </si>
  <si>
    <t xml:space="preserve">           FEIRAS E EXPOSIÇÕES - [3286]</t>
  </si>
  <si>
    <t xml:space="preserve">[3.2] </t>
  </si>
  <si>
    <t xml:space="preserve">[3.2.11] </t>
  </si>
  <si>
    <t xml:space="preserve">[3.2.11.01] </t>
  </si>
  <si>
    <t xml:space="preserve">[3.2.11.01.0003] </t>
  </si>
  <si>
    <t xml:space="preserve">[3.2.11.01.0004] </t>
  </si>
  <si>
    <t xml:space="preserve">[3.2.11.01.0005] </t>
  </si>
  <si>
    <t xml:space="preserve">[3.2.11.01.0006] </t>
  </si>
  <si>
    <t xml:space="preserve">[3.2.11.01.0008] </t>
  </si>
  <si>
    <t xml:space="preserve">[3.2.11.01.0010] </t>
  </si>
  <si>
    <t xml:space="preserve">[3.2.11.01.0014] </t>
  </si>
  <si>
    <t xml:space="preserve">[3.2.11.01.0018] </t>
  </si>
  <si>
    <t xml:space="preserve">           CONTRIBUIÇÃO SINDICAL ASIQ - [3340]</t>
  </si>
  <si>
    <t xml:space="preserve">[3.2.11.01.0019] </t>
  </si>
  <si>
    <t xml:space="preserve">[3.2.11.01.0020] </t>
  </si>
  <si>
    <t xml:space="preserve">[3.2.11.01.0022] </t>
  </si>
  <si>
    <t xml:space="preserve">[3.2.11.01.0023] </t>
  </si>
  <si>
    <t xml:space="preserve">[3.2.11.01.0024] </t>
  </si>
  <si>
    <t xml:space="preserve">[3.2.11.01.0027] </t>
  </si>
  <si>
    <t xml:space="preserve">[3.2.11.01.0029] </t>
  </si>
  <si>
    <t xml:space="preserve">[3.2.11.01.0032] </t>
  </si>
  <si>
    <t xml:space="preserve">           IPASGO  - [6371]</t>
  </si>
  <si>
    <t xml:space="preserve">[3.2.11.01.0033] </t>
  </si>
  <si>
    <t xml:space="preserve">           PLANO DE SAUDE - PARTE EMPRESA - [6209]</t>
  </si>
  <si>
    <t xml:space="preserve">[3.2.11.01.0039] </t>
  </si>
  <si>
    <t xml:space="preserve">[3.2.11.01.0040] </t>
  </si>
  <si>
    <t xml:space="preserve">           PREVIDENCIA SOCIAL PATRONAL - IPAM - [17690]</t>
  </si>
  <si>
    <t xml:space="preserve">[3.2.11.02] </t>
  </si>
  <si>
    <t xml:space="preserve">[3.2.11.02.0001] </t>
  </si>
  <si>
    <t xml:space="preserve">[3.2.11.02.0002] </t>
  </si>
  <si>
    <t xml:space="preserve">[3.2.11.02.0005] </t>
  </si>
  <si>
    <t xml:space="preserve">[3.2.11.02.0006] </t>
  </si>
  <si>
    <t xml:space="preserve">[3.2.11.03] </t>
  </si>
  <si>
    <t xml:space="preserve">[3.2.11.03.0001] </t>
  </si>
  <si>
    <t xml:space="preserve">[3.2.11.03.0002] </t>
  </si>
  <si>
    <t xml:space="preserve">[3.2.11.03.0003] </t>
  </si>
  <si>
    <t xml:space="preserve">[3.2.11.03.0004] </t>
  </si>
  <si>
    <t xml:space="preserve">[3.2.11.03.0007] </t>
  </si>
  <si>
    <t xml:space="preserve">[3.2.11.03.0008] </t>
  </si>
  <si>
    <t xml:space="preserve">[3.2.11.04] </t>
  </si>
  <si>
    <t xml:space="preserve">[3.2.11.04.0001] </t>
  </si>
  <si>
    <t xml:space="preserve">[3.2.11.04.0002] </t>
  </si>
  <si>
    <t xml:space="preserve">[3.2.11.04.0004] </t>
  </si>
  <si>
    <t xml:space="preserve">           SERVIÇO DE TELEFONIA - [3374]</t>
  </si>
  <si>
    <t xml:space="preserve">[3.2.11.04.0006] </t>
  </si>
  <si>
    <t xml:space="preserve">[3.2.11.04.0008] </t>
  </si>
  <si>
    <t xml:space="preserve">           HONORARIOS ADVOCATICIOS - [3378]</t>
  </si>
  <si>
    <t xml:space="preserve">[3.2.11.04.0009] </t>
  </si>
  <si>
    <t xml:space="preserve">[3.2.11.04.0011] </t>
  </si>
  <si>
    <t xml:space="preserve">[3.2.11.04.0012] </t>
  </si>
  <si>
    <t xml:space="preserve">[3.2.11.04.0015] </t>
  </si>
  <si>
    <t xml:space="preserve">[3.2.11.04.0017] </t>
  </si>
  <si>
    <t xml:space="preserve">[3.2.11.04.0019] </t>
  </si>
  <si>
    <t xml:space="preserve">[3.2.11.04.0020] </t>
  </si>
  <si>
    <t xml:space="preserve">           MATERIAL DE EXPEDIENTE - [3390]</t>
  </si>
  <si>
    <t xml:space="preserve">[3.2.11.04.0021] </t>
  </si>
  <si>
    <t xml:space="preserve">[3.2.11.04.0022] </t>
  </si>
  <si>
    <t xml:space="preserve">[3.2.11.04.0024] </t>
  </si>
  <si>
    <t xml:space="preserve">[3.2.11.04.0029] </t>
  </si>
  <si>
    <t xml:space="preserve">[3.2.11.04.0031] </t>
  </si>
  <si>
    <t xml:space="preserve">[3.2.11.04.0032] </t>
  </si>
  <si>
    <t xml:space="preserve">[3.2.11.04.0036] </t>
  </si>
  <si>
    <t xml:space="preserve">[3.2.11.04.0037] </t>
  </si>
  <si>
    <t xml:space="preserve">[3.2.11.04.0039] </t>
  </si>
  <si>
    <t xml:space="preserve">           COPA E COZINHA - [3409]</t>
  </si>
  <si>
    <t xml:space="preserve">[3.2.11.04.0044] </t>
  </si>
  <si>
    <t xml:space="preserve">           MANUTENÇÃO DE IMÓVEIS  - [4978]</t>
  </si>
  <si>
    <t xml:space="preserve">[3.2.11.04.0046] </t>
  </si>
  <si>
    <t xml:space="preserve">[3.2.11.04.0048] </t>
  </si>
  <si>
    <t xml:space="preserve">[3.2.11.04.0052] </t>
  </si>
  <si>
    <t xml:space="preserve">           LOCAÇÃO DE VEICULOS  - [7622]</t>
  </si>
  <si>
    <t xml:space="preserve">[3.2.11.04.0053] </t>
  </si>
  <si>
    <t xml:space="preserve">[3.2.11.04.0055] </t>
  </si>
  <si>
    <t xml:space="preserve">           DESPESAS COM IMPORTAÇÃO  - [11362]</t>
  </si>
  <si>
    <t xml:space="preserve">[3.2.11.04.0057] </t>
  </si>
  <si>
    <t xml:space="preserve">[3.2.11.04.0059] </t>
  </si>
  <si>
    <t xml:space="preserve">           DESPESA INTERNET - [16626]</t>
  </si>
  <si>
    <t xml:space="preserve">[3.2.11.04.0060] </t>
  </si>
  <si>
    <t xml:space="preserve">[3.2.11.04.0061] </t>
  </si>
  <si>
    <t xml:space="preserve">[3.2.11.04.0064] </t>
  </si>
  <si>
    <t xml:space="preserve">           DESPESAS COM REPAOS E CONSTRUÇÕES - [16864]</t>
  </si>
  <si>
    <t xml:space="preserve">[3.2.11.04.0065] </t>
  </si>
  <si>
    <t xml:space="preserve">           UNIFORMES  - [3224]</t>
  </si>
  <si>
    <t xml:space="preserve">[3.2.11.05] </t>
  </si>
  <si>
    <t xml:space="preserve">[3.2.11.05.0002] </t>
  </si>
  <si>
    <t xml:space="preserve">[3.2.11.05.0006] </t>
  </si>
  <si>
    <t xml:space="preserve">[3.2.11.05.0012] </t>
  </si>
  <si>
    <t xml:space="preserve">[3.2.11.06] </t>
  </si>
  <si>
    <t xml:space="preserve">[3.2.11.06.0001] </t>
  </si>
  <si>
    <t xml:space="preserve">           MULTAS FISCAIS (AUTUAÇÕES) - [3521]</t>
  </si>
  <si>
    <t xml:space="preserve">[3.2.11.06.0003] </t>
  </si>
  <si>
    <t xml:space="preserve">           OUTRAS DESPESAS - [3523]</t>
  </si>
  <si>
    <t xml:space="preserve">[3.2.11.07] </t>
  </si>
  <si>
    <t xml:space="preserve">[3.2.11.07.0005] </t>
  </si>
  <si>
    <t xml:space="preserve">[3.2.11.07.0006] </t>
  </si>
  <si>
    <t xml:space="preserve">[3.2.11.07.0007] </t>
  </si>
  <si>
    <t xml:space="preserve">[3.2.11.07.0008] </t>
  </si>
  <si>
    <t xml:space="preserve">           IRRF - [3538]</t>
  </si>
  <si>
    <t xml:space="preserve">[3.2.2] </t>
  </si>
  <si>
    <t xml:space="preserve">       DESPESAS NÃO OPERACIONAIS - [3650]</t>
  </si>
  <si>
    <t xml:space="preserve">[3.2.21] </t>
  </si>
  <si>
    <t xml:space="preserve">       PERDAS - [3651]</t>
  </si>
  <si>
    <t xml:space="preserve">[3.2.21.01] </t>
  </si>
  <si>
    <t xml:space="preserve">         PERDAS - [3652]</t>
  </si>
  <si>
    <t xml:space="preserve">[3.2.21.01.0001] </t>
  </si>
  <si>
    <t xml:space="preserve">           INVESTIMENTO C/ RECURSOS PROPRIOS - [3653]</t>
  </si>
  <si>
    <t xml:space="preserve">[4] </t>
  </si>
  <si>
    <t xml:space="preserve">[4.1] </t>
  </si>
  <si>
    <t xml:space="preserve">[4.1.11] </t>
  </si>
  <si>
    <t xml:space="preserve">[4.1.11.02] </t>
  </si>
  <si>
    <t xml:space="preserve">[4.1.11.02.0001] </t>
  </si>
  <si>
    <t xml:space="preserve">[4.1.11.02.0004] </t>
  </si>
  <si>
    <t xml:space="preserve">[4.2] </t>
  </si>
  <si>
    <t xml:space="preserve">[4.2.31] </t>
  </si>
  <si>
    <t xml:space="preserve">[4.2.31.02] </t>
  </si>
  <si>
    <t xml:space="preserve">[4.2.31.02.0006] </t>
  </si>
  <si>
    <t xml:space="preserve">           RESSARCIMENTO DE DESPESAS - [4171]</t>
  </si>
  <si>
    <t xml:space="preserve">[4.2.31.02.0009] </t>
  </si>
  <si>
    <t xml:space="preserve">[4.2.31.03] </t>
  </si>
  <si>
    <t xml:space="preserve">[4.2.31.03.0002] </t>
  </si>
  <si>
    <t xml:space="preserve">[4.2.31.04] </t>
  </si>
  <si>
    <t xml:space="preserve">         REPASSE DE RECEITAS  - [17697]</t>
  </si>
  <si>
    <t xml:space="preserve">[4.2.31.04.0001] </t>
  </si>
  <si>
    <t xml:space="preserve">           REPASSE RECEITA ORGÃOS VINCULADOS - [17704]</t>
  </si>
  <si>
    <t xml:space="preserve">[4.2.31.04.0002] </t>
  </si>
  <si>
    <t xml:space="preserve">           REPASSE RECEITA PARCEIROS - [17711]</t>
  </si>
  <si>
    <t xml:space="preserve">[4.2.32] </t>
  </si>
  <si>
    <t xml:space="preserve">[4.2.32.01] </t>
  </si>
  <si>
    <t xml:space="preserve">[4.2.32.01.0001] </t>
  </si>
  <si>
    <t xml:space="preserve">[4.2.32.02] </t>
  </si>
  <si>
    <t xml:space="preserve">[4.2.32.02.0003] </t>
  </si>
  <si>
    <t xml:space="preserve">[4.2.32.02.0004] </t>
  </si>
  <si>
    <t xml:space="preserve">[4.2.32.02.0005] </t>
  </si>
  <si>
    <t xml:space="preserve">[4.2.32.02.0007] </t>
  </si>
  <si>
    <t xml:space="preserve">[4.2.32.02.0010] </t>
  </si>
  <si>
    <t xml:space="preserve">           RENDIMENTO CONTA UNICA GOVERNO DO ESTADO DE GOIAS - [17410]</t>
  </si>
  <si>
    <t xml:space="preserve">[4.2.33] </t>
  </si>
  <si>
    <t xml:space="preserve">       RECEITAS DE SERVIÇOS - [4195]</t>
  </si>
  <si>
    <t xml:space="preserve">[4.2.33.02] </t>
  </si>
  <si>
    <t xml:space="preserve">         RECUPERAÇÕES  - [4210]</t>
  </si>
  <si>
    <t xml:space="preserve">[4.2.33.02.0001] </t>
  </si>
  <si>
    <t xml:space="preserve">           RECUPERAÇÕES DE DESPESAS - [4211]</t>
  </si>
  <si>
    <t xml:space="preserve">[4.4] </t>
  </si>
  <si>
    <t>D25 B</t>
  </si>
  <si>
    <t xml:space="preserve">[4.4.11] </t>
  </si>
  <si>
    <t xml:space="preserve">[4.4.11.01] </t>
  </si>
  <si>
    <t xml:space="preserve">[4.4.11.01.0005] </t>
  </si>
  <si>
    <t xml:space="preserve">[4.4.11.02] </t>
  </si>
  <si>
    <t xml:space="preserve">         DEDUÇÃO S/ VENDAS - CEME - [4415]</t>
  </si>
  <si>
    <t xml:space="preserve">[4.4.11.02.0001] </t>
  </si>
  <si>
    <t xml:space="preserve">           COFINS S/ VENDAS - [4416]</t>
  </si>
  <si>
    <t xml:space="preserve">[4.4.11.02.0002] </t>
  </si>
  <si>
    <t xml:space="preserve">           PIS S/ VENDAS - [4417]</t>
  </si>
  <si>
    <t xml:space="preserve">[4.4.11.04] </t>
  </si>
  <si>
    <t xml:space="preserve">         DEDUÇÃO S/ VENDAS - OUTRAS LINHAS - [4435]</t>
  </si>
  <si>
    <t xml:space="preserve">[4.4.11.04.0005] </t>
  </si>
  <si>
    <t xml:space="preserve">           DEVOLUÇÕES DE VENDAS  - [4440]</t>
  </si>
  <si>
    <t>21.C</t>
  </si>
  <si>
    <t>DOS EXERCÍCIOS FINDOS EM 31 DE DEZEMBRO DE 2024 e 2023 (em reais)</t>
  </si>
  <si>
    <t xml:space="preserve">             Lais De Castro Viana                                                                                   Vera Lucia Nunes dos Santos</t>
  </si>
  <si>
    <t xml:space="preserve">         CPF nº 010.070.781-54                                                                                        CPF nº 556.009.211-87</t>
  </si>
  <si>
    <t>SALDOS EM 31.12.2024</t>
  </si>
  <si>
    <t>DOS EXERCÍCIOS FINDOS EM 31 DE DEZEMBRO DE 2024 E 2023</t>
  </si>
  <si>
    <t xml:space="preserve">                              _____________________________                                                           _____________________________</t>
  </si>
  <si>
    <t xml:space="preserve">                                        Lais De Castro Viana                                                                                  Vera Lucia Nunes dos Santos</t>
  </si>
  <si>
    <t xml:space="preserve">                                          Diretor Presidente                                                                                  Contadora CRC-GO 260008/0</t>
  </si>
  <si>
    <t xml:space="preserve">                                      CPF nº 010.070.781-54                                                                                      CPF nº 556.009.211-87</t>
  </si>
  <si>
    <t>2024</t>
  </si>
  <si>
    <t>DOS EXERCÍCIOS FINDOS EM 31 DE DEZEMBRO DE 2024 E 2023 (em reais)</t>
  </si>
  <si>
    <t>AQUISIÇÕES IMOBILIZADOS</t>
  </si>
  <si>
    <t xml:space="preserve">NF </t>
  </si>
  <si>
    <t xml:space="preserve">                 Lais De Castro Viana                                                                                  Vera Lucia Nunes dos Santos</t>
  </si>
  <si>
    <t xml:space="preserve">           CPF nº 010.070.781-54                                                                                         CPF nº 556.009.211-87</t>
  </si>
  <si>
    <t>VALOR REPRESENTADO</t>
  </si>
  <si>
    <t xml:space="preserve">           (-) PERDA POR IMPAIRMNT [824]</t>
  </si>
  <si>
    <t>02/01/204</t>
  </si>
  <si>
    <t>(Reapresentado)</t>
  </si>
  <si>
    <t>SALDOS EM 31.12.2023 ( Representado)</t>
  </si>
  <si>
    <t>2023 (Representado)</t>
  </si>
  <si>
    <t xml:space="preserve">                            _____________________________                                                           _____________________________</t>
  </si>
  <si>
    <t xml:space="preserve">                                         Diretor Presidente                                                                                    Contadora CRC-GO 260008/0</t>
  </si>
  <si>
    <t xml:space="preserve">                                       Lais De Castro Viana                                                                                   Vera Lucia Nunes dos Santos</t>
  </si>
  <si>
    <t xml:space="preserve">                                  CPF nº 010.070.781-54                                                                                        CPF nº 556.009.211-87</t>
  </si>
  <si>
    <t>ar condicionado</t>
  </si>
  <si>
    <t>computadores</t>
  </si>
  <si>
    <t>fogão</t>
  </si>
  <si>
    <t>ativo</t>
  </si>
  <si>
    <t>passivo</t>
  </si>
  <si>
    <t xml:space="preserve">           CORREÇÃO MONETARIA DE DEBITOS TRIBUTARIOS - LP [10648]</t>
  </si>
  <si>
    <t>Validação c/a conta ajuste ex.ant.</t>
  </si>
  <si>
    <r>
      <rPr>
        <b/>
        <strike/>
        <sz val="11"/>
        <color rgb="FFFF0000"/>
        <rFont val="Calibri"/>
        <family val="2"/>
        <scheme val="minor"/>
      </rPr>
      <t>(</t>
    </r>
    <r>
      <rPr>
        <b/>
        <sz val="11"/>
        <color rgb="FF000000"/>
        <rFont val="Calibri"/>
        <family val="2"/>
        <scheme val="minor"/>
      </rPr>
      <t>Aumento</t>
    </r>
    <r>
      <rPr>
        <b/>
        <strike/>
        <sz val="11"/>
        <color rgb="FFFF0000"/>
        <rFont val="Calibri"/>
        <family val="2"/>
        <scheme val="minor"/>
      </rPr>
      <t>)</t>
    </r>
    <r>
      <rPr>
        <b/>
        <sz val="11"/>
        <color rgb="FF000000"/>
        <rFont val="Calibri"/>
        <family val="2"/>
        <scheme val="minor"/>
      </rPr>
      <t>/</t>
    </r>
    <r>
      <rPr>
        <b/>
        <sz val="11"/>
        <color rgb="FF00B050"/>
        <rFont val="Calibri"/>
        <family val="2"/>
        <scheme val="minor"/>
      </rPr>
      <t>(</t>
    </r>
    <r>
      <rPr>
        <b/>
        <sz val="11"/>
        <color rgb="FF000000"/>
        <rFont val="Calibri"/>
        <family val="2"/>
        <scheme val="minor"/>
      </rPr>
      <t>Redução</t>
    </r>
    <r>
      <rPr>
        <b/>
        <sz val="11"/>
        <color rgb="FF00B050"/>
        <rFont val="Calibri"/>
        <family val="2"/>
        <scheme val="minor"/>
      </rPr>
      <t>)</t>
    </r>
    <r>
      <rPr>
        <b/>
        <sz val="11"/>
        <color rgb="FF000000"/>
        <rFont val="Calibri"/>
        <family val="2"/>
        <scheme val="minor"/>
      </rPr>
      <t xml:space="preserve"> de ativos circulantes</t>
    </r>
  </si>
  <si>
    <r>
      <rPr>
        <strike/>
        <sz val="11"/>
        <color rgb="FFFF000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Aumento</t>
    </r>
    <r>
      <rPr>
        <strike/>
        <sz val="11"/>
        <color rgb="FFFF000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>/</t>
    </r>
    <r>
      <rPr>
        <sz val="11"/>
        <color rgb="FF00B05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Redução</t>
    </r>
    <r>
      <rPr>
        <sz val="11"/>
        <color rgb="FF00B05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 xml:space="preserve"> em Clientes a Receber</t>
    </r>
  </si>
  <si>
    <r>
      <rPr>
        <strike/>
        <sz val="11"/>
        <color rgb="FFFF000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Aumento</t>
    </r>
    <r>
      <rPr>
        <strike/>
        <sz val="11"/>
        <color rgb="FFFF000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>/</t>
    </r>
    <r>
      <rPr>
        <sz val="11"/>
        <color rgb="FF00B05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Redução</t>
    </r>
    <r>
      <rPr>
        <sz val="11"/>
        <color rgb="FF00B05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 xml:space="preserve"> em Adiantamentos</t>
    </r>
  </si>
  <si>
    <r>
      <rPr>
        <strike/>
        <sz val="11"/>
        <color rgb="FFFF000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Aumento</t>
    </r>
    <r>
      <rPr>
        <strike/>
        <sz val="11"/>
        <color rgb="FFFF000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>/</t>
    </r>
    <r>
      <rPr>
        <sz val="11"/>
        <color rgb="FF00B05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Redução</t>
    </r>
    <r>
      <rPr>
        <sz val="11"/>
        <color rgb="FF00B05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 xml:space="preserve"> em Outros Créditos</t>
    </r>
  </si>
  <si>
    <r>
      <rPr>
        <strike/>
        <sz val="11"/>
        <color rgb="FFFF000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Aumento</t>
    </r>
    <r>
      <rPr>
        <strike/>
        <sz val="11"/>
        <color rgb="FFFF000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>/</t>
    </r>
    <r>
      <rPr>
        <sz val="11"/>
        <color rgb="FF00B05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Redução</t>
    </r>
    <r>
      <rPr>
        <sz val="11"/>
        <color rgb="FF00B05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 xml:space="preserve"> em Estoques</t>
    </r>
  </si>
  <si>
    <r>
      <rPr>
        <strike/>
        <sz val="11"/>
        <color rgb="FFFF000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Aumento</t>
    </r>
    <r>
      <rPr>
        <strike/>
        <sz val="11"/>
        <color rgb="FFFF000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>/</t>
    </r>
    <r>
      <rPr>
        <sz val="11"/>
        <color rgb="FF00B05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Redução</t>
    </r>
    <r>
      <rPr>
        <sz val="11"/>
        <color rgb="FF00B05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 xml:space="preserve"> de Realizável Longo Prazo</t>
    </r>
  </si>
  <si>
    <r>
      <rPr>
        <b/>
        <strike/>
        <sz val="11"/>
        <color rgb="FFFF0000"/>
        <rFont val="Calibri"/>
        <family val="2"/>
        <scheme val="minor"/>
      </rPr>
      <t>(</t>
    </r>
    <r>
      <rPr>
        <b/>
        <sz val="11"/>
        <color rgb="FF000000"/>
        <rFont val="Calibri"/>
        <family val="2"/>
        <scheme val="minor"/>
      </rPr>
      <t>Aumento</t>
    </r>
    <r>
      <rPr>
        <b/>
        <strike/>
        <sz val="11"/>
        <color rgb="FFFF0000"/>
        <rFont val="Calibri"/>
        <family val="2"/>
        <scheme val="minor"/>
      </rPr>
      <t>)</t>
    </r>
    <r>
      <rPr>
        <b/>
        <sz val="11"/>
        <color rgb="FF000000"/>
        <rFont val="Calibri"/>
        <family val="2"/>
        <scheme val="minor"/>
      </rPr>
      <t>/</t>
    </r>
    <r>
      <rPr>
        <b/>
        <sz val="11"/>
        <color rgb="FF00B050"/>
        <rFont val="Calibri"/>
        <family val="2"/>
        <scheme val="minor"/>
      </rPr>
      <t>(</t>
    </r>
    <r>
      <rPr>
        <b/>
        <sz val="11"/>
        <color rgb="FF000000"/>
        <rFont val="Calibri"/>
        <family val="2"/>
        <scheme val="minor"/>
      </rPr>
      <t>Redução</t>
    </r>
    <r>
      <rPr>
        <b/>
        <sz val="11"/>
        <color rgb="FF00B050"/>
        <rFont val="Calibri"/>
        <family val="2"/>
        <scheme val="minor"/>
      </rPr>
      <t>)</t>
    </r>
    <r>
      <rPr>
        <b/>
        <sz val="11"/>
        <color rgb="FF000000"/>
        <rFont val="Calibri"/>
        <family val="2"/>
        <scheme val="minor"/>
      </rPr>
      <t xml:space="preserve"> do passivo circulante</t>
    </r>
  </si>
  <si>
    <r>
      <rPr>
        <strike/>
        <sz val="11"/>
        <color rgb="FFFF000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Aumento</t>
    </r>
    <r>
      <rPr>
        <strike/>
        <sz val="11"/>
        <color rgb="FFFF000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>/</t>
    </r>
    <r>
      <rPr>
        <sz val="11"/>
        <color rgb="FF00B05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Redução</t>
    </r>
    <r>
      <rPr>
        <sz val="11"/>
        <color rgb="FF00B05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 xml:space="preserve"> em Fornecedores e Outras Contas a Pagar</t>
    </r>
  </si>
  <si>
    <r>
      <rPr>
        <strike/>
        <sz val="11"/>
        <color rgb="FFFF000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Aumento</t>
    </r>
    <r>
      <rPr>
        <strike/>
        <sz val="11"/>
        <color rgb="FFFF000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>/</t>
    </r>
    <r>
      <rPr>
        <sz val="11"/>
        <color rgb="FF00B05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Redução</t>
    </r>
    <r>
      <rPr>
        <sz val="11"/>
        <color rgb="FF00B05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 xml:space="preserve"> em Obrig Sociais,Trabalhistas e Provisões</t>
    </r>
  </si>
  <si>
    <r>
      <rPr>
        <strike/>
        <sz val="11"/>
        <color rgb="FFFF000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Aumento</t>
    </r>
    <r>
      <rPr>
        <strike/>
        <sz val="11"/>
        <color rgb="FFFF000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>/</t>
    </r>
    <r>
      <rPr>
        <sz val="11"/>
        <color rgb="FF00B05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Redução</t>
    </r>
    <r>
      <rPr>
        <sz val="11"/>
        <color rgb="FF00B05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 xml:space="preserve"> em Obrigações Tributárias</t>
    </r>
  </si>
  <si>
    <r>
      <rPr>
        <strike/>
        <sz val="11"/>
        <color rgb="FFFF000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Aumento</t>
    </r>
    <r>
      <rPr>
        <strike/>
        <sz val="11"/>
        <color rgb="FFFF000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>/</t>
    </r>
    <r>
      <rPr>
        <sz val="11"/>
        <color rgb="FF00B05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Redução</t>
    </r>
    <r>
      <rPr>
        <sz val="11"/>
        <color rgb="FF00B05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 xml:space="preserve"> em Adto de Clientes e Convênios</t>
    </r>
  </si>
  <si>
    <r>
      <rPr>
        <strike/>
        <sz val="11"/>
        <color rgb="FFFF000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Aumento</t>
    </r>
    <r>
      <rPr>
        <strike/>
        <sz val="11"/>
        <color rgb="FFFF000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>/</t>
    </r>
    <r>
      <rPr>
        <sz val="11"/>
        <color rgb="FF00B05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Redução</t>
    </r>
    <r>
      <rPr>
        <sz val="11"/>
        <color rgb="FF00B05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 xml:space="preserve"> Exigível Longo Prazo</t>
    </r>
  </si>
  <si>
    <r>
      <rPr>
        <strike/>
        <sz val="11"/>
        <color rgb="FFFF000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Aumento</t>
    </r>
    <r>
      <rPr>
        <strike/>
        <sz val="11"/>
        <color rgb="FFFF000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>/</t>
    </r>
    <r>
      <rPr>
        <sz val="11"/>
        <color rgb="FF00B050"/>
        <rFont val="Calibri"/>
        <family val="2"/>
        <scheme val="minor"/>
      </rPr>
      <t>(</t>
    </r>
    <r>
      <rPr>
        <sz val="11"/>
        <color rgb="FF000000"/>
        <rFont val="Calibri"/>
        <family val="2"/>
        <scheme val="minor"/>
      </rPr>
      <t>Redução</t>
    </r>
    <r>
      <rPr>
        <sz val="11"/>
        <color rgb="FF00B050"/>
        <rFont val="Calibri"/>
        <family val="2"/>
        <scheme val="minor"/>
      </rPr>
      <t>)</t>
    </r>
    <r>
      <rPr>
        <sz val="11"/>
        <color rgb="FF000000"/>
        <rFont val="Calibri"/>
        <family val="2"/>
        <scheme val="minor"/>
      </rPr>
      <t xml:space="preserve"> em Clientes Diversos</t>
    </r>
  </si>
  <si>
    <t>2023 ( Reapresentado)</t>
  </si>
  <si>
    <r>
      <t xml:space="preserve">Caixa gerado </t>
    </r>
    <r>
      <rPr>
        <b/>
        <sz val="11"/>
        <color rgb="FFFF0000"/>
        <rFont val="Calibri"/>
        <family val="2"/>
        <scheme val="minor"/>
      </rPr>
      <t>(consumido)</t>
    </r>
    <r>
      <rPr>
        <b/>
        <sz val="11"/>
        <rFont val="Calibri"/>
        <family val="2"/>
        <scheme val="minor"/>
      </rPr>
      <t xml:space="preserve"> pelas atividades operacionais</t>
    </r>
  </si>
  <si>
    <r>
      <t>2023 (Re</t>
    </r>
    <r>
      <rPr>
        <b/>
        <sz val="9"/>
        <color rgb="FFFF0000"/>
        <rFont val="Times New Roman"/>
        <family val="1"/>
      </rPr>
      <t>a</t>
    </r>
    <r>
      <rPr>
        <b/>
        <sz val="9"/>
        <color rgb="FF000000"/>
        <rFont val="Times New Roman"/>
        <family val="1"/>
      </rPr>
      <t>presentado</t>
    </r>
  </si>
  <si>
    <r>
      <t xml:space="preserve">TOTAL DO PASSIVO </t>
    </r>
    <r>
      <rPr>
        <b/>
        <sz val="11"/>
        <color rgb="FFFF0000"/>
        <rFont val="Calibri"/>
        <family val="2"/>
        <scheme val="minor"/>
      </rPr>
      <t>E PATRIMÔNIO LÍQUIDO</t>
    </r>
  </si>
  <si>
    <t>Receitas Operacionais</t>
  </si>
  <si>
    <t xml:space="preserve">Outras Receitas </t>
  </si>
  <si>
    <t>23 a</t>
  </si>
  <si>
    <t>23 b</t>
  </si>
  <si>
    <t>23 c</t>
  </si>
  <si>
    <t>DEMONSTRAÇÃO DO RESULTADO DO PERÍODO</t>
  </si>
  <si>
    <r>
      <t xml:space="preserve">Custos </t>
    </r>
    <r>
      <rPr>
        <strike/>
        <sz val="11"/>
        <color rgb="FFFF0000"/>
        <rFont val="Calibri"/>
        <family val="2"/>
        <scheme val="minor"/>
      </rPr>
      <t>com fabricação</t>
    </r>
    <r>
      <rPr>
        <sz val="11"/>
        <rFont val="Calibri"/>
        <family val="2"/>
        <scheme val="minor"/>
      </rPr>
      <t xml:space="preserve"> dos Produtos</t>
    </r>
  </si>
  <si>
    <t>SALDOS EM 01.01.2023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</si>
</sst>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#,##0\ ;\(#,##0\);\-#\ ;@\ "/>
    <numFmt numFmtId="166" formatCode="#,##0.00_ ;[Red]\-#,##0.00\ "/>
  </numFmts>
  <fonts count="7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0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0"/>
      <name val="Calibri"/>
      <family val="2"/>
    </font>
    <font>
      <sz val="11"/>
      <color indexed="0"/>
      <name val="Calibri"/>
      <family val="2"/>
    </font>
    <font>
      <sz val="11"/>
      <color rgb="FF006100"/>
      <name val="Calibri"/>
      <family val="2"/>
    </font>
    <font>
      <sz val="10"/>
      <color indexed="0"/>
      <name val="Times New Roman"/>
      <family val="1"/>
    </font>
    <font>
      <b/>
      <sz val="10"/>
      <name val="Times New Roman"/>
      <family val="1"/>
    </font>
    <font>
      <sz val="11"/>
      <name val="Calibri"/>
      <family val="2"/>
    </font>
    <font>
      <b/>
      <sz val="11"/>
      <name val="Calibri"/>
      <family val="2"/>
    </font>
    <font>
      <b/>
      <sz val="10"/>
      <name val="Arial"/>
      <family val="2"/>
    </font>
    <font>
      <sz val="11"/>
      <color rgb="FF000000"/>
      <name val="Calibri"/>
      <family val="2"/>
    </font>
    <font>
      <sz val="10"/>
      <color indexed="0"/>
      <name val="Arial"/>
      <family val="2"/>
    </font>
    <font>
      <sz val="9"/>
      <color rgb="FF006100"/>
      <name val="Calibri"/>
      <family val="2"/>
    </font>
    <font>
      <sz val="9"/>
      <color indexed="0"/>
      <name val="Calibri"/>
      <family val="2"/>
    </font>
    <font>
      <sz val="10"/>
      <color indexed="0"/>
      <name val="Calibri"/>
      <family val="2"/>
    </font>
    <font>
      <sz val="10"/>
      <color rgb="FF006100"/>
      <name val="Calibri"/>
      <family val="2"/>
    </font>
    <font>
      <b/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u/>
      <sz val="10"/>
      <color rgb="FFFF0000"/>
      <name val="Arial"/>
      <family val="2"/>
    </font>
    <font>
      <b/>
      <sz val="8"/>
      <name val="Times New Roman"/>
      <family val="1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6100"/>
      <name val="Calibri"/>
      <family val="2"/>
      <scheme val="minor"/>
    </font>
    <font>
      <i/>
      <sz val="11"/>
      <name val="Calibri"/>
      <family val="2"/>
    </font>
    <font>
      <sz val="11"/>
      <color theme="0"/>
      <name val="Calibri"/>
      <family val="2"/>
    </font>
    <font>
      <sz val="9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sz val="10"/>
      <color rgb="FFFF0000"/>
      <name val="Times New Roman"/>
      <family val="1"/>
    </font>
    <font>
      <sz val="10"/>
      <color rgb="FFFF0000"/>
      <name val="Calibri"/>
      <family val="2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indexed="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FF0000"/>
      <name val="Times New Roman"/>
      <family val="1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</font>
    <font>
      <b/>
      <sz val="9"/>
      <color theme="1"/>
      <name val="Arial"/>
      <family val="2"/>
    </font>
    <font>
      <b/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sz val="7"/>
      <color theme="1"/>
      <name val="Times New Roman"/>
      <family val="1"/>
    </font>
    <font>
      <b/>
      <sz val="10"/>
      <color theme="0"/>
      <name val="Calibri"/>
      <family val="2"/>
    </font>
    <font>
      <sz val="8"/>
      <name val="Times New Roman"/>
      <family val="1"/>
    </font>
    <font>
      <b/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b/>
      <sz val="11"/>
      <color rgb="FFED0000"/>
      <name val="Calibri"/>
      <family val="2"/>
      <scheme val="minor"/>
    </font>
    <font>
      <sz val="11"/>
      <color rgb="FFED0000"/>
      <name val="Calibri"/>
      <family val="2"/>
      <scheme val="minor"/>
    </font>
    <font>
      <sz val="11"/>
      <color rgb="FFED0000"/>
      <name val="Calibri"/>
      <family val="2"/>
    </font>
    <font>
      <b/>
      <sz val="11"/>
      <color rgb="FFED0000"/>
      <name val="Calibri"/>
      <family val="2"/>
    </font>
    <font>
      <b/>
      <sz val="9"/>
      <color rgb="FFFF0000"/>
      <name val="Arial"/>
      <family val="2"/>
    </font>
    <font>
      <sz val="10"/>
      <color indexed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</font>
    <font>
      <strike/>
      <sz val="11"/>
      <color rgb="FFFF0000"/>
      <name val="Calibri"/>
      <family val="2"/>
      <scheme val="minor"/>
    </font>
    <font>
      <b/>
      <strike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9"/>
      <color rgb="FFFF0000"/>
      <name val="Times New Roman"/>
      <family val="1"/>
    </font>
    <font>
      <b/>
      <sz val="10"/>
      <name val="Calibri"/>
      <family val="2"/>
      <scheme val="minor"/>
    </font>
    <font>
      <sz val="7"/>
      <color rgb="FFFF0000"/>
      <name val="Times New Roman"/>
      <family val="1"/>
    </font>
  </fonts>
  <fills count="2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9" fillId="4" borderId="0" applyNumberFormat="0" applyBorder="0" applyAlignment="0" applyProtection="0"/>
    <xf numFmtId="0" fontId="30" fillId="5" borderId="0" applyNumberFormat="0" applyBorder="0" applyAlignment="0" applyProtection="0"/>
    <xf numFmtId="0" fontId="32" fillId="6" borderId="0" applyNumberFormat="0" applyBorder="0" applyAlignment="0" applyProtection="0"/>
  </cellStyleXfs>
  <cellXfs count="74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164" fontId="7" fillId="0" borderId="0" xfId="1" applyNumberFormat="1" applyFont="1" applyFill="1"/>
    <xf numFmtId="0" fontId="10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4" fontId="9" fillId="3" borderId="0" xfId="1" applyNumberFormat="1" applyFont="1" applyFill="1" applyAlignment="1">
      <alignment vertical="center"/>
    </xf>
    <xf numFmtId="4" fontId="9" fillId="3" borderId="0" xfId="1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1" fontId="8" fillId="3" borderId="0" xfId="1" applyNumberFormat="1" applyFont="1" applyFill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12" fillId="0" borderId="0" xfId="0" applyFont="1"/>
    <xf numFmtId="0" fontId="11" fillId="0" borderId="0" xfId="0" applyFont="1"/>
    <xf numFmtId="164" fontId="4" fillId="0" borderId="0" xfId="1" applyNumberFormat="1" applyFont="1" applyFill="1"/>
    <xf numFmtId="0" fontId="11" fillId="3" borderId="0" xfId="0" applyFont="1" applyFill="1"/>
    <xf numFmtId="43" fontId="0" fillId="0" borderId="0" xfId="0" applyNumberFormat="1"/>
    <xf numFmtId="164" fontId="0" fillId="0" borderId="0" xfId="0" applyNumberFormat="1"/>
    <xf numFmtId="0" fontId="14" fillId="3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4" fontId="0" fillId="0" borderId="0" xfId="0" applyNumberFormat="1"/>
    <xf numFmtId="0" fontId="8" fillId="3" borderId="0" xfId="0" applyFont="1" applyFill="1" applyAlignment="1">
      <alignment horizontal="right" vertical="center"/>
    </xf>
    <xf numFmtId="0" fontId="16" fillId="0" borderId="0" xfId="0" applyFont="1" applyAlignment="1">
      <alignment vertical="center"/>
    </xf>
    <xf numFmtId="4" fontId="0" fillId="0" borderId="0" xfId="1" applyNumberFormat="1" applyFont="1"/>
    <xf numFmtId="0" fontId="15" fillId="0" borderId="0" xfId="0" applyFont="1"/>
    <xf numFmtId="0" fontId="17" fillId="0" borderId="0" xfId="0" applyFont="1"/>
    <xf numFmtId="0" fontId="8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9" fillId="3" borderId="5" xfId="0" applyFont="1" applyFill="1" applyBorder="1" applyAlignment="1">
      <alignment vertical="center"/>
    </xf>
    <xf numFmtId="164" fontId="4" fillId="0" borderId="7" xfId="1" applyNumberFormat="1" applyFont="1" applyFill="1" applyBorder="1"/>
    <xf numFmtId="164" fontId="4" fillId="0" borderId="7" xfId="1" applyNumberFormat="1" applyFont="1" applyFill="1" applyBorder="1" applyAlignment="1">
      <alignment horizontal="center"/>
    </xf>
    <xf numFmtId="164" fontId="4" fillId="0" borderId="8" xfId="1" applyNumberFormat="1" applyFont="1" applyFill="1" applyBorder="1"/>
    <xf numFmtId="43" fontId="0" fillId="0" borderId="0" xfId="1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7" fillId="0" borderId="0" xfId="0" applyFont="1"/>
    <xf numFmtId="0" fontId="4" fillId="0" borderId="0" xfId="0" applyFont="1"/>
    <xf numFmtId="0" fontId="7" fillId="0" borderId="0" xfId="0" applyFont="1" applyAlignment="1">
      <alignment horizontal="left"/>
    </xf>
    <xf numFmtId="0" fontId="25" fillId="0" borderId="0" xfId="0" applyFont="1"/>
    <xf numFmtId="0" fontId="7" fillId="0" borderId="0" xfId="0" applyFont="1" applyAlignment="1">
      <alignment horizontal="center"/>
    </xf>
    <xf numFmtId="0" fontId="26" fillId="0" borderId="0" xfId="0" applyFont="1"/>
    <xf numFmtId="165" fontId="4" fillId="0" borderId="0" xfId="0" applyNumberFormat="1" applyFont="1"/>
    <xf numFmtId="164" fontId="7" fillId="0" borderId="0" xfId="0" applyNumberFormat="1" applyFont="1"/>
    <xf numFmtId="0" fontId="24" fillId="0" borderId="9" xfId="0" applyFont="1" applyBorder="1"/>
    <xf numFmtId="0" fontId="22" fillId="0" borderId="9" xfId="0" applyFont="1" applyBorder="1"/>
    <xf numFmtId="43" fontId="0" fillId="0" borderId="0" xfId="0" applyNumberFormat="1" applyAlignment="1">
      <alignment horizontal="right"/>
    </xf>
    <xf numFmtId="0" fontId="2" fillId="2" borderId="0" xfId="0" applyFont="1" applyFill="1"/>
    <xf numFmtId="0" fontId="23" fillId="0" borderId="0" xfId="0" applyFont="1" applyAlignment="1">
      <alignment horizontal="center"/>
    </xf>
    <xf numFmtId="164" fontId="7" fillId="2" borderId="0" xfId="1" applyNumberFormat="1" applyFont="1" applyFill="1"/>
    <xf numFmtId="4" fontId="0" fillId="0" borderId="0" xfId="0" applyNumberFormat="1" applyAlignment="1">
      <alignment horizontal="right"/>
    </xf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2" fillId="2" borderId="0" xfId="0" applyNumberFormat="1" applyFont="1" applyFill="1" applyAlignment="1">
      <alignment horizontal="right"/>
    </xf>
    <xf numFmtId="4" fontId="2" fillId="2" borderId="0" xfId="0" applyNumberFormat="1" applyFont="1" applyFill="1"/>
    <xf numFmtId="4" fontId="2" fillId="0" borderId="0" xfId="0" applyNumberFormat="1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" fontId="2" fillId="0" borderId="0" xfId="0" applyNumberFormat="1" applyFont="1"/>
    <xf numFmtId="164" fontId="4" fillId="0" borderId="0" xfId="1" applyNumberFormat="1" applyFont="1" applyFill="1" applyAlignment="1">
      <alignment horizontal="center"/>
    </xf>
    <xf numFmtId="0" fontId="13" fillId="3" borderId="0" xfId="0" applyFont="1" applyFill="1" applyAlignment="1">
      <alignment vertical="center"/>
    </xf>
    <xf numFmtId="0" fontId="1" fillId="0" borderId="0" xfId="0" applyFont="1" applyAlignment="1">
      <alignment horizontal="left"/>
    </xf>
    <xf numFmtId="0" fontId="0" fillId="2" borderId="0" xfId="0" applyFill="1"/>
    <xf numFmtId="0" fontId="0" fillId="0" borderId="0" xfId="0" applyAlignment="1">
      <alignment horizontal="left"/>
    </xf>
    <xf numFmtId="4" fontId="2" fillId="0" borderId="0" xfId="0" applyNumberFormat="1" applyFont="1" applyAlignment="1">
      <alignment horizontal="left"/>
    </xf>
    <xf numFmtId="0" fontId="0" fillId="2" borderId="0" xfId="0" applyFill="1" applyAlignment="1">
      <alignment horizontal="left"/>
    </xf>
    <xf numFmtId="164" fontId="7" fillId="0" borderId="0" xfId="1" applyNumberFormat="1" applyFont="1"/>
    <xf numFmtId="164" fontId="4" fillId="0" borderId="0" xfId="1" applyNumberFormat="1" applyFont="1"/>
    <xf numFmtId="164" fontId="7" fillId="0" borderId="0" xfId="1" applyNumberFormat="1" applyFont="1" applyAlignment="1">
      <alignment horizontal="left"/>
    </xf>
    <xf numFmtId="164" fontId="7" fillId="0" borderId="0" xfId="1" applyNumberFormat="1" applyFont="1" applyAlignment="1">
      <alignment vertical="top"/>
    </xf>
    <xf numFmtId="164" fontId="31" fillId="0" borderId="0" xfId="1" applyNumberFormat="1" applyFont="1" applyFill="1"/>
    <xf numFmtId="0" fontId="24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164" fontId="4" fillId="0" borderId="0" xfId="1" applyNumberFormat="1" applyFont="1" applyAlignment="1">
      <alignment horizontal="right"/>
    </xf>
    <xf numFmtId="164" fontId="7" fillId="0" borderId="0" xfId="1" applyNumberFormat="1" applyFont="1" applyAlignment="1">
      <alignment horizontal="right"/>
    </xf>
    <xf numFmtId="164" fontId="31" fillId="0" borderId="0" xfId="1" applyNumberFormat="1" applyFont="1" applyAlignment="1">
      <alignment horizontal="right"/>
    </xf>
    <xf numFmtId="164" fontId="7" fillId="2" borderId="0" xfId="1" applyNumberFormat="1" applyFont="1" applyFill="1" applyAlignment="1">
      <alignment horizontal="right"/>
    </xf>
    <xf numFmtId="164" fontId="31" fillId="2" borderId="0" xfId="1" applyNumberFormat="1" applyFont="1" applyFill="1" applyAlignment="1">
      <alignment horizontal="right"/>
    </xf>
    <xf numFmtId="165" fontId="4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right"/>
    </xf>
    <xf numFmtId="0" fontId="22" fillId="0" borderId="9" xfId="0" applyFont="1" applyBorder="1" applyAlignment="1">
      <alignment horizontal="right"/>
    </xf>
    <xf numFmtId="0" fontId="29" fillId="4" borderId="9" xfId="2" applyBorder="1" applyAlignment="1">
      <alignment horizontal="center"/>
    </xf>
    <xf numFmtId="0" fontId="30" fillId="5" borderId="9" xfId="3" applyBorder="1" applyAlignment="1">
      <alignment horizontal="center"/>
    </xf>
    <xf numFmtId="4" fontId="0" fillId="2" borderId="0" xfId="0" applyNumberFormat="1" applyFill="1" applyAlignment="1">
      <alignment horizontal="right"/>
    </xf>
    <xf numFmtId="4" fontId="0" fillId="2" borderId="0" xfId="0" applyNumberFormat="1" applyFill="1"/>
    <xf numFmtId="164" fontId="23" fillId="0" borderId="7" xfId="1" applyNumberFormat="1" applyFont="1" applyFill="1" applyBorder="1"/>
    <xf numFmtId="164" fontId="23" fillId="0" borderId="8" xfId="1" applyNumberFormat="1" applyFont="1" applyFill="1" applyBorder="1"/>
    <xf numFmtId="4" fontId="32" fillId="6" borderId="0" xfId="4" applyNumberFormat="1"/>
    <xf numFmtId="4" fontId="32" fillId="6" borderId="0" xfId="4" applyNumberFormat="1" applyAlignment="1">
      <alignment horizontal="right"/>
    </xf>
    <xf numFmtId="0" fontId="32" fillId="6" borderId="0" xfId="4"/>
    <xf numFmtId="0" fontId="14" fillId="0" borderId="6" xfId="0" applyFont="1" applyBorder="1" applyAlignment="1">
      <alignment vertical="center"/>
    </xf>
    <xf numFmtId="4" fontId="8" fillId="0" borderId="7" xfId="0" applyNumberFormat="1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4" fontId="10" fillId="0" borderId="0" xfId="0" applyNumberFormat="1" applyFont="1" applyAlignment="1">
      <alignment vertical="center"/>
    </xf>
    <xf numFmtId="43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4" fontId="9" fillId="0" borderId="0" xfId="0" applyNumberFormat="1" applyFont="1" applyAlignment="1">
      <alignment horizontal="center" vertical="center"/>
    </xf>
    <xf numFmtId="4" fontId="9" fillId="0" borderId="0" xfId="0" applyNumberFormat="1" applyFont="1" applyAlignment="1">
      <alignment vertical="center"/>
    </xf>
    <xf numFmtId="0" fontId="8" fillId="0" borderId="6" xfId="0" applyFont="1" applyBorder="1" applyAlignment="1">
      <alignment vertical="center"/>
    </xf>
    <xf numFmtId="4" fontId="20" fillId="0" borderId="0" xfId="0" applyNumberFormat="1" applyFont="1" applyAlignment="1">
      <alignment vertical="center"/>
    </xf>
    <xf numFmtId="0" fontId="21" fillId="0" borderId="0" xfId="0" applyFont="1" applyAlignment="1">
      <alignment vertical="center"/>
    </xf>
    <xf numFmtId="0" fontId="19" fillId="0" borderId="0" xfId="0" applyFont="1" applyAlignment="1">
      <alignment vertical="center" wrapText="1"/>
    </xf>
    <xf numFmtId="43" fontId="32" fillId="6" borderId="0" xfId="4" applyNumberFormat="1"/>
    <xf numFmtId="0" fontId="32" fillId="6" borderId="0" xfId="4" applyAlignment="1">
      <alignment horizontal="left"/>
    </xf>
    <xf numFmtId="0" fontId="2" fillId="0" borderId="0" xfId="0" applyFont="1" applyAlignment="1">
      <alignment horizontal="left"/>
    </xf>
    <xf numFmtId="164" fontId="4" fillId="0" borderId="0" xfId="1" applyNumberFormat="1" applyFont="1" applyAlignment="1">
      <alignment horizontal="center"/>
    </xf>
    <xf numFmtId="0" fontId="0" fillId="0" borderId="0" xfId="0" applyAlignment="1">
      <alignment horizontal="right"/>
    </xf>
    <xf numFmtId="0" fontId="28" fillId="0" borderId="0" xfId="0" applyFont="1" applyAlignment="1">
      <alignment horizontal="left" vertical="top"/>
    </xf>
    <xf numFmtId="0" fontId="27" fillId="0" borderId="0" xfId="0" applyFont="1" applyAlignment="1">
      <alignment horizontal="center"/>
    </xf>
    <xf numFmtId="0" fontId="2" fillId="2" borderId="0" xfId="0" applyFont="1" applyFill="1" applyAlignment="1">
      <alignment horizontal="right"/>
    </xf>
    <xf numFmtId="43" fontId="2" fillId="2" borderId="0" xfId="0" applyNumberFormat="1" applyFont="1" applyFill="1"/>
    <xf numFmtId="43" fontId="2" fillId="2" borderId="0" xfId="0" applyNumberFormat="1" applyFont="1" applyFill="1" applyAlignment="1">
      <alignment horizontal="right"/>
    </xf>
    <xf numFmtId="43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43" fontId="2" fillId="0" borderId="0" xfId="0" applyNumberFormat="1" applyFont="1"/>
    <xf numFmtId="0" fontId="31" fillId="0" borderId="0" xfId="0" applyFont="1" applyAlignment="1">
      <alignment horizontal="center"/>
    </xf>
    <xf numFmtId="164" fontId="8" fillId="3" borderId="0" xfId="0" applyNumberFormat="1" applyFont="1" applyFill="1" applyAlignment="1">
      <alignment vertical="center"/>
    </xf>
    <xf numFmtId="164" fontId="9" fillId="3" borderId="0" xfId="0" applyNumberFormat="1" applyFont="1" applyFill="1" applyAlignment="1">
      <alignment vertical="center"/>
    </xf>
    <xf numFmtId="164" fontId="13" fillId="3" borderId="0" xfId="0" applyNumberFormat="1" applyFont="1" applyFill="1" applyAlignment="1">
      <alignment vertical="center"/>
    </xf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11" fillId="0" borderId="0" xfId="0" applyNumberFormat="1" applyFont="1"/>
    <xf numFmtId="164" fontId="11" fillId="3" borderId="0" xfId="0" applyNumberFormat="1" applyFont="1" applyFill="1"/>
    <xf numFmtId="164" fontId="14" fillId="3" borderId="0" xfId="0" applyNumberFormat="1" applyFont="1" applyFill="1" applyAlignment="1">
      <alignment vertical="center"/>
    </xf>
    <xf numFmtId="164" fontId="13" fillId="0" borderId="0" xfId="0" applyNumberFormat="1" applyFont="1" applyAlignment="1">
      <alignment vertical="center"/>
    </xf>
    <xf numFmtId="164" fontId="32" fillId="6" borderId="11" xfId="4" applyNumberFormat="1" applyBorder="1" applyAlignment="1">
      <alignment horizontal="center" vertical="center"/>
    </xf>
    <xf numFmtId="0" fontId="0" fillId="0" borderId="12" xfId="0" applyBorder="1"/>
    <xf numFmtId="164" fontId="32" fillId="6" borderId="13" xfId="4" applyNumberFormat="1" applyBorder="1" applyAlignment="1">
      <alignment horizontal="center" vertical="center"/>
    </xf>
    <xf numFmtId="164" fontId="8" fillId="3" borderId="15" xfId="1" applyNumberFormat="1" applyFont="1" applyFill="1" applyBorder="1" applyAlignment="1">
      <alignment horizontal="center" vertical="center"/>
    </xf>
    <xf numFmtId="164" fontId="4" fillId="0" borderId="14" xfId="1" applyNumberFormat="1" applyFont="1" applyBorder="1" applyAlignment="1">
      <alignment horizontal="center"/>
    </xf>
    <xf numFmtId="164" fontId="4" fillId="0" borderId="15" xfId="1" applyNumberFormat="1" applyFont="1" applyBorder="1" applyAlignment="1">
      <alignment horizontal="center"/>
    </xf>
    <xf numFmtId="164" fontId="11" fillId="0" borderId="14" xfId="0" applyNumberFormat="1" applyFont="1" applyBorder="1"/>
    <xf numFmtId="164" fontId="11" fillId="0" borderId="15" xfId="0" applyNumberFormat="1" applyFont="1" applyBorder="1"/>
    <xf numFmtId="164" fontId="8" fillId="3" borderId="14" xfId="0" applyNumberFormat="1" applyFont="1" applyFill="1" applyBorder="1" applyAlignment="1">
      <alignment vertical="center"/>
    </xf>
    <xf numFmtId="164" fontId="8" fillId="3" borderId="15" xfId="0" applyNumberFormat="1" applyFont="1" applyFill="1" applyBorder="1" applyAlignment="1">
      <alignment vertical="center"/>
    </xf>
    <xf numFmtId="164" fontId="13" fillId="0" borderId="14" xfId="0" applyNumberFormat="1" applyFont="1" applyBorder="1" applyAlignment="1">
      <alignment vertical="center"/>
    </xf>
    <xf numFmtId="164" fontId="13" fillId="0" borderId="15" xfId="0" applyNumberFormat="1" applyFont="1" applyBorder="1" applyAlignment="1">
      <alignment vertical="center"/>
    </xf>
    <xf numFmtId="164" fontId="7" fillId="0" borderId="14" xfId="1" applyNumberFormat="1" applyFont="1" applyBorder="1"/>
    <xf numFmtId="164" fontId="7" fillId="0" borderId="15" xfId="1" applyNumberFormat="1" applyFont="1" applyBorder="1"/>
    <xf numFmtId="164" fontId="4" fillId="0" borderId="14" xfId="1" applyNumberFormat="1" applyFont="1" applyBorder="1"/>
    <xf numFmtId="164" fontId="4" fillId="0" borderId="15" xfId="1" applyNumberFormat="1" applyFont="1" applyBorder="1"/>
    <xf numFmtId="164" fontId="13" fillId="3" borderId="14" xfId="0" applyNumberFormat="1" applyFont="1" applyFill="1" applyBorder="1" applyAlignment="1">
      <alignment vertical="center"/>
    </xf>
    <xf numFmtId="164" fontId="13" fillId="3" borderId="15" xfId="0" applyNumberFormat="1" applyFont="1" applyFill="1" applyBorder="1" applyAlignment="1">
      <alignment vertical="center"/>
    </xf>
    <xf numFmtId="164" fontId="9" fillId="3" borderId="14" xfId="0" applyNumberFormat="1" applyFont="1" applyFill="1" applyBorder="1" applyAlignment="1">
      <alignment vertical="center"/>
    </xf>
    <xf numFmtId="164" fontId="9" fillId="3" borderId="15" xfId="0" applyNumberFormat="1" applyFont="1" applyFill="1" applyBorder="1" applyAlignment="1">
      <alignment vertical="center"/>
    </xf>
    <xf numFmtId="164" fontId="4" fillId="0" borderId="16" xfId="1" applyNumberFormat="1" applyFont="1" applyBorder="1"/>
    <xf numFmtId="0" fontId="0" fillId="0" borderId="9" xfId="0" applyBorder="1"/>
    <xf numFmtId="164" fontId="4" fillId="0" borderId="17" xfId="1" applyNumberFormat="1" applyFont="1" applyBorder="1"/>
    <xf numFmtId="164" fontId="8" fillId="3" borderId="0" xfId="1" quotePrefix="1" applyNumberFormat="1" applyFont="1" applyFill="1" applyAlignment="1">
      <alignment horizontal="center" vertical="center"/>
    </xf>
    <xf numFmtId="164" fontId="8" fillId="3" borderId="14" xfId="1" quotePrefix="1" applyNumberFormat="1" applyFont="1" applyFill="1" applyBorder="1" applyAlignment="1">
      <alignment horizontal="center" vertical="center"/>
    </xf>
    <xf numFmtId="164" fontId="0" fillId="0" borderId="0" xfId="1" applyNumberFormat="1" applyFont="1"/>
    <xf numFmtId="164" fontId="2" fillId="0" borderId="10" xfId="1" applyNumberFormat="1" applyFont="1" applyBorder="1" applyAlignment="1">
      <alignment horizontal="center"/>
    </xf>
    <xf numFmtId="164" fontId="2" fillId="0" borderId="0" xfId="0" applyNumberFormat="1" applyFont="1" applyAlignment="1">
      <alignment horizontal="left"/>
    </xf>
    <xf numFmtId="164" fontId="2" fillId="0" borderId="9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center"/>
    </xf>
    <xf numFmtId="164" fontId="2" fillId="0" borderId="9" xfId="0" quotePrefix="1" applyNumberFormat="1" applyFont="1" applyBorder="1" applyAlignment="1">
      <alignment horizontal="center"/>
    </xf>
    <xf numFmtId="164" fontId="0" fillId="0" borderId="0" xfId="1" applyNumberFormat="1" applyFont="1" applyAlignment="1">
      <alignment horizontal="left"/>
    </xf>
    <xf numFmtId="164" fontId="0" fillId="0" borderId="0" xfId="0" applyNumberFormat="1" applyAlignment="1">
      <alignment horizontal="left"/>
    </xf>
    <xf numFmtId="164" fontId="0" fillId="0" borderId="0" xfId="1" applyNumberFormat="1" applyFont="1" applyBorder="1" applyAlignment="1">
      <alignment horizontal="right"/>
    </xf>
    <xf numFmtId="164" fontId="0" fillId="0" borderId="0" xfId="1" applyNumberFormat="1" applyFont="1" applyAlignment="1">
      <alignment horizontal="right"/>
    </xf>
    <xf numFmtId="164" fontId="2" fillId="0" borderId="10" xfId="1" applyNumberFormat="1" applyFont="1" applyBorder="1"/>
    <xf numFmtId="164" fontId="2" fillId="0" borderId="0" xfId="0" applyNumberFormat="1" applyFont="1"/>
    <xf numFmtId="166" fontId="0" fillId="0" borderId="0" xfId="0" applyNumberFormat="1" applyAlignment="1">
      <alignment horizontal="right"/>
    </xf>
    <xf numFmtId="0" fontId="0" fillId="7" borderId="0" xfId="0" applyFill="1"/>
    <xf numFmtId="0" fontId="0" fillId="7" borderId="0" xfId="0" applyFill="1" applyAlignment="1">
      <alignment horizontal="right"/>
    </xf>
    <xf numFmtId="4" fontId="0" fillId="7" borderId="0" xfId="0" applyNumberFormat="1" applyFill="1" applyAlignment="1">
      <alignment horizontal="right"/>
    </xf>
    <xf numFmtId="166" fontId="0" fillId="7" borderId="0" xfId="0" applyNumberFormat="1" applyFill="1" applyAlignment="1">
      <alignment horizontal="right"/>
    </xf>
    <xf numFmtId="4" fontId="0" fillId="7" borderId="0" xfId="0" applyNumberFormat="1" applyFill="1"/>
    <xf numFmtId="4" fontId="7" fillId="0" borderId="0" xfId="0" applyNumberFormat="1" applyFont="1"/>
    <xf numFmtId="0" fontId="2" fillId="7" borderId="0" xfId="0" applyFont="1" applyFill="1"/>
    <xf numFmtId="4" fontId="2" fillId="7" borderId="0" xfId="0" applyNumberFormat="1" applyFont="1" applyFill="1" applyAlignment="1">
      <alignment horizontal="right"/>
    </xf>
    <xf numFmtId="4" fontId="2" fillId="7" borderId="0" xfId="0" applyNumberFormat="1" applyFont="1" applyFill="1"/>
    <xf numFmtId="166" fontId="2" fillId="2" borderId="0" xfId="0" applyNumberFormat="1" applyFont="1" applyFill="1" applyAlignment="1">
      <alignment horizontal="right"/>
    </xf>
    <xf numFmtId="166" fontId="2" fillId="0" borderId="0" xfId="0" applyNumberFormat="1" applyFont="1" applyAlignment="1">
      <alignment horizontal="right"/>
    </xf>
    <xf numFmtId="43" fontId="2" fillId="0" borderId="0" xfId="1" applyFont="1"/>
    <xf numFmtId="164" fontId="0" fillId="7" borderId="0" xfId="1" applyNumberFormat="1" applyFont="1" applyFill="1"/>
    <xf numFmtId="164" fontId="0" fillId="7" borderId="0" xfId="0" applyNumberFormat="1" applyFill="1"/>
    <xf numFmtId="43" fontId="2" fillId="2" borderId="0" xfId="1" applyFont="1" applyFill="1"/>
    <xf numFmtId="0" fontId="2" fillId="7" borderId="0" xfId="0" applyFont="1" applyFill="1" applyAlignment="1">
      <alignment horizontal="right"/>
    </xf>
    <xf numFmtId="166" fontId="2" fillId="7" borderId="0" xfId="0" applyNumberFormat="1" applyFont="1" applyFill="1" applyAlignment="1">
      <alignment horizontal="right"/>
    </xf>
    <xf numFmtId="43" fontId="2" fillId="7" borderId="0" xfId="1" applyFont="1" applyFill="1"/>
    <xf numFmtId="164" fontId="4" fillId="7" borderId="0" xfId="1" applyNumberFormat="1" applyFont="1" applyFill="1" applyAlignment="1">
      <alignment horizontal="right"/>
    </xf>
    <xf numFmtId="4" fontId="29" fillId="4" borderId="0" xfId="2" applyNumberFormat="1"/>
    <xf numFmtId="0" fontId="29" fillId="4" borderId="0" xfId="2"/>
    <xf numFmtId="164" fontId="32" fillId="6" borderId="0" xfId="4" applyNumberFormat="1" applyAlignment="1">
      <alignment horizontal="right"/>
    </xf>
    <xf numFmtId="0" fontId="32" fillId="6" borderId="13" xfId="4" applyBorder="1"/>
    <xf numFmtId="0" fontId="7" fillId="0" borderId="17" xfId="0" applyFont="1" applyBorder="1"/>
    <xf numFmtId="0" fontId="7" fillId="0" borderId="13" xfId="0" applyFont="1" applyBorder="1"/>
    <xf numFmtId="164" fontId="3" fillId="0" borderId="0" xfId="1" applyNumberFormat="1" applyFont="1"/>
    <xf numFmtId="164" fontId="32" fillId="6" borderId="11" xfId="4" applyNumberFormat="1" applyBorder="1"/>
    <xf numFmtId="164" fontId="7" fillId="0" borderId="16" xfId="1" applyNumberFormat="1" applyFont="1" applyBorder="1"/>
    <xf numFmtId="164" fontId="7" fillId="0" borderId="11" xfId="1" applyNumberFormat="1" applyFont="1" applyBorder="1"/>
    <xf numFmtId="4" fontId="32" fillId="6" borderId="0" xfId="4" applyNumberFormat="1" applyAlignment="1">
      <alignment horizontal="center"/>
    </xf>
    <xf numFmtId="164" fontId="7" fillId="0" borderId="9" xfId="1" applyNumberFormat="1" applyFont="1" applyBorder="1"/>
    <xf numFmtId="164" fontId="7" fillId="0" borderId="18" xfId="1" applyNumberFormat="1" applyFont="1" applyBorder="1"/>
    <xf numFmtId="0" fontId="7" fillId="0" borderId="19" xfId="0" applyFont="1" applyBorder="1"/>
    <xf numFmtId="164" fontId="7" fillId="0" borderId="0" xfId="1" applyNumberFormat="1" applyFont="1" applyBorder="1"/>
    <xf numFmtId="4" fontId="7" fillId="0" borderId="16" xfId="0" applyNumberFormat="1" applyFont="1" applyBorder="1"/>
    <xf numFmtId="0" fontId="4" fillId="0" borderId="9" xfId="0" quotePrefix="1" applyFont="1" applyBorder="1" applyAlignment="1">
      <alignment horizontal="right"/>
    </xf>
    <xf numFmtId="0" fontId="7" fillId="0" borderId="0" xfId="0" applyFont="1" applyAlignment="1">
      <alignment horizontal="center" vertical="center"/>
    </xf>
    <xf numFmtId="0" fontId="31" fillId="0" borderId="0" xfId="0" applyFont="1"/>
    <xf numFmtId="164" fontId="35" fillId="0" borderId="0" xfId="1" applyNumberFormat="1" applyFont="1" applyAlignment="1">
      <alignment horizontal="center" vertical="center"/>
    </xf>
    <xf numFmtId="164" fontId="7" fillId="8" borderId="9" xfId="1" applyNumberFormat="1" applyFont="1" applyFill="1" applyBorder="1"/>
    <xf numFmtId="0" fontId="7" fillId="8" borderId="9" xfId="0" applyFont="1" applyFill="1" applyBorder="1"/>
    <xf numFmtId="0" fontId="7" fillId="0" borderId="9" xfId="0" applyFont="1" applyBorder="1"/>
    <xf numFmtId="0" fontId="36" fillId="9" borderId="0" xfId="0" applyFont="1" applyFill="1" applyAlignment="1">
      <alignment horizontal="center"/>
    </xf>
    <xf numFmtId="43" fontId="0" fillId="2" borderId="0" xfId="1" applyFont="1" applyFill="1"/>
    <xf numFmtId="4" fontId="0" fillId="10" borderId="0" xfId="0" applyNumberFormat="1" applyFill="1" applyAlignment="1">
      <alignment horizontal="right"/>
    </xf>
    <xf numFmtId="4" fontId="0" fillId="11" borderId="0" xfId="0" applyNumberFormat="1" applyFill="1" applyAlignment="1">
      <alignment horizontal="right"/>
    </xf>
    <xf numFmtId="0" fontId="0" fillId="12" borderId="0" xfId="0" applyFill="1" applyAlignment="1">
      <alignment horizontal="right"/>
    </xf>
    <xf numFmtId="4" fontId="0" fillId="12" borderId="0" xfId="0" applyNumberFormat="1" applyFill="1" applyAlignment="1">
      <alignment horizontal="right"/>
    </xf>
    <xf numFmtId="4" fontId="0" fillId="13" borderId="0" xfId="0" applyNumberFormat="1" applyFill="1" applyAlignment="1">
      <alignment horizontal="right"/>
    </xf>
    <xf numFmtId="4" fontId="0" fillId="14" borderId="0" xfId="0" applyNumberFormat="1" applyFill="1" applyAlignment="1">
      <alignment horizontal="right"/>
    </xf>
    <xf numFmtId="0" fontId="0" fillId="14" borderId="0" xfId="0" applyFill="1"/>
    <xf numFmtId="0" fontId="0" fillId="13" borderId="0" xfId="0" applyFill="1"/>
    <xf numFmtId="0" fontId="0" fillId="11" borderId="0" xfId="0" applyFill="1"/>
    <xf numFmtId="164" fontId="8" fillId="0" borderId="7" xfId="0" applyNumberFormat="1" applyFont="1" applyBorder="1" applyAlignment="1">
      <alignment horizontal="center" vertical="center"/>
    </xf>
    <xf numFmtId="164" fontId="10" fillId="0" borderId="0" xfId="0" applyNumberFormat="1" applyFont="1" applyAlignment="1">
      <alignment vertical="center"/>
    </xf>
    <xf numFmtId="164" fontId="20" fillId="0" borderId="0" xfId="1" applyNumberFormat="1" applyFont="1" applyAlignment="1">
      <alignment horizontal="center" vertical="center"/>
    </xf>
    <xf numFmtId="164" fontId="9" fillId="0" borderId="0" xfId="1" applyNumberFormat="1" applyFont="1" applyAlignment="1">
      <alignment horizontal="center" vertical="center"/>
    </xf>
    <xf numFmtId="164" fontId="7" fillId="0" borderId="0" xfId="1" applyNumberFormat="1" applyFont="1" applyFill="1" applyAlignment="1">
      <alignment horizontal="center"/>
    </xf>
    <xf numFmtId="164" fontId="10" fillId="0" borderId="0" xfId="1" applyNumberFormat="1" applyFont="1" applyAlignment="1">
      <alignment horizontal="center" vertical="center"/>
    </xf>
    <xf numFmtId="164" fontId="19" fillId="0" borderId="0" xfId="1" applyNumberFormat="1" applyFont="1" applyAlignment="1">
      <alignment horizontal="center" vertical="center"/>
    </xf>
    <xf numFmtId="164" fontId="11" fillId="0" borderId="0" xfId="1" applyNumberFormat="1" applyFont="1" applyAlignment="1">
      <alignment horizontal="center"/>
    </xf>
    <xf numFmtId="164" fontId="11" fillId="0" borderId="0" xfId="1" applyNumberFormat="1" applyFont="1"/>
    <xf numFmtId="164" fontId="9" fillId="0" borderId="0" xfId="1" applyNumberFormat="1" applyFont="1" applyAlignment="1">
      <alignment vertical="center"/>
    </xf>
    <xf numFmtId="164" fontId="8" fillId="0" borderId="7" xfId="1" applyNumberFormat="1" applyFont="1" applyBorder="1" applyAlignment="1">
      <alignment horizontal="center" vertical="center"/>
    </xf>
    <xf numFmtId="164" fontId="10" fillId="0" borderId="0" xfId="1" applyNumberFormat="1" applyFont="1" applyAlignment="1">
      <alignment vertical="center"/>
    </xf>
    <xf numFmtId="164" fontId="20" fillId="0" borderId="0" xfId="1" applyNumberFormat="1" applyFont="1" applyAlignment="1">
      <alignment vertical="center"/>
    </xf>
    <xf numFmtId="164" fontId="19" fillId="0" borderId="0" xfId="1" applyNumberFormat="1" applyFont="1" applyAlignment="1">
      <alignment vertical="center"/>
    </xf>
    <xf numFmtId="43" fontId="3" fillId="0" borderId="0" xfId="0" applyNumberFormat="1" applyFont="1"/>
    <xf numFmtId="164" fontId="38" fillId="0" borderId="0" xfId="1" applyNumberFormat="1" applyFont="1" applyAlignment="1">
      <alignment vertical="center"/>
    </xf>
    <xf numFmtId="164" fontId="39" fillId="0" borderId="0" xfId="1" applyNumberFormat="1" applyFont="1"/>
    <xf numFmtId="164" fontId="40" fillId="0" borderId="0" xfId="1" applyNumberFormat="1" applyFont="1" applyAlignment="1">
      <alignment vertical="center"/>
    </xf>
    <xf numFmtId="164" fontId="37" fillId="0" borderId="7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" fontId="7" fillId="0" borderId="0" xfId="0" applyNumberFormat="1" applyFont="1" applyAlignment="1">
      <alignment horizontal="right" vertical="center"/>
    </xf>
    <xf numFmtId="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vertical="center" wrapText="1"/>
    </xf>
    <xf numFmtId="4" fontId="3" fillId="0" borderId="0" xfId="0" applyNumberFormat="1" applyFont="1"/>
    <xf numFmtId="4" fontId="7" fillId="0" borderId="0" xfId="0" applyNumberFormat="1" applyFont="1" applyAlignment="1">
      <alignment vertical="center"/>
    </xf>
    <xf numFmtId="4" fontId="7" fillId="0" borderId="0" xfId="0" applyNumberFormat="1" applyFont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4" fontId="5" fillId="0" borderId="0" xfId="0" applyNumberFormat="1" applyFont="1" applyAlignment="1">
      <alignment vertical="center"/>
    </xf>
    <xf numFmtId="0" fontId="3" fillId="0" borderId="14" xfId="0" applyFont="1" applyBorder="1"/>
    <xf numFmtId="0" fontId="4" fillId="0" borderId="14" xfId="0" applyFont="1" applyBorder="1" applyAlignment="1">
      <alignment horizontal="center"/>
    </xf>
    <xf numFmtId="4" fontId="6" fillId="0" borderId="14" xfId="0" applyNumberFormat="1" applyFont="1" applyBorder="1"/>
    <xf numFmtId="4" fontId="4" fillId="0" borderId="0" xfId="0" applyNumberFormat="1" applyFont="1" applyAlignment="1">
      <alignment horizontal="center"/>
    </xf>
    <xf numFmtId="4" fontId="3" fillId="0" borderId="14" xfId="0" applyNumberFormat="1" applyFont="1" applyBorder="1"/>
    <xf numFmtId="0" fontId="7" fillId="0" borderId="14" xfId="0" applyFont="1" applyBorder="1"/>
    <xf numFmtId="164" fontId="7" fillId="0" borderId="14" xfId="1" applyNumberFormat="1" applyFont="1" applyFill="1" applyBorder="1"/>
    <xf numFmtId="164" fontId="7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4" fontId="5" fillId="0" borderId="14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164" fontId="1" fillId="0" borderId="0" xfId="1" applyNumberFormat="1" applyFont="1" applyFill="1"/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  <xf numFmtId="0" fontId="34" fillId="0" borderId="0" xfId="0" applyFont="1" applyAlignment="1">
      <alignment horizontal="center" vertical="center"/>
    </xf>
    <xf numFmtId="164" fontId="3" fillId="0" borderId="14" xfId="0" applyNumberFormat="1" applyFont="1" applyBorder="1"/>
    <xf numFmtId="164" fontId="7" fillId="15" borderId="0" xfId="1" applyNumberFormat="1" applyFont="1" applyFill="1"/>
    <xf numFmtId="4" fontId="3" fillId="15" borderId="0" xfId="0" applyNumberFormat="1" applyFont="1" applyFill="1" applyAlignment="1">
      <alignment horizontal="right" vertical="center"/>
    </xf>
    <xf numFmtId="0" fontId="3" fillId="15" borderId="0" xfId="0" applyFont="1" applyFill="1"/>
    <xf numFmtId="4" fontId="5" fillId="15" borderId="0" xfId="0" applyNumberFormat="1" applyFont="1" applyFill="1" applyAlignment="1">
      <alignment horizontal="right" vertical="center"/>
    </xf>
    <xf numFmtId="164" fontId="4" fillId="15" borderId="0" xfId="1" applyNumberFormat="1" applyFont="1" applyFill="1"/>
    <xf numFmtId="4" fontId="32" fillId="15" borderId="0" xfId="4" applyNumberFormat="1" applyFill="1" applyAlignment="1">
      <alignment horizontal="right" vertical="center"/>
    </xf>
    <xf numFmtId="43" fontId="7" fillId="0" borderId="0" xfId="0" applyNumberFormat="1" applyFont="1" applyAlignment="1">
      <alignment horizontal="right"/>
    </xf>
    <xf numFmtId="164" fontId="31" fillId="2" borderId="0" xfId="1" applyNumberFormat="1" applyFont="1" applyFill="1"/>
    <xf numFmtId="164" fontId="31" fillId="15" borderId="0" xfId="1" applyNumberFormat="1" applyFont="1" applyFill="1"/>
    <xf numFmtId="43" fontId="7" fillId="0" borderId="0" xfId="0" applyNumberFormat="1" applyFont="1"/>
    <xf numFmtId="0" fontId="0" fillId="16" borderId="0" xfId="0" applyFill="1"/>
    <xf numFmtId="0" fontId="0" fillId="16" borderId="0" xfId="0" applyFill="1" applyAlignment="1">
      <alignment horizontal="left"/>
    </xf>
    <xf numFmtId="43" fontId="7" fillId="16" borderId="0" xfId="1" applyFont="1" applyFill="1" applyAlignment="1">
      <alignment horizontal="center"/>
    </xf>
    <xf numFmtId="4" fontId="0" fillId="16" borderId="0" xfId="0" applyNumberFormat="1" applyFill="1" applyAlignment="1">
      <alignment horizontal="center"/>
    </xf>
    <xf numFmtId="4" fontId="41" fillId="16" borderId="0" xfId="0" applyNumberFormat="1" applyFont="1" applyFill="1" applyAlignment="1">
      <alignment horizontal="center" vertical="center"/>
    </xf>
    <xf numFmtId="0" fontId="41" fillId="16" borderId="0" xfId="0" applyFont="1" applyFill="1" applyAlignment="1">
      <alignment horizontal="center"/>
    </xf>
    <xf numFmtId="0" fontId="0" fillId="16" borderId="0" xfId="0" applyFill="1" applyAlignment="1">
      <alignment horizontal="center"/>
    </xf>
    <xf numFmtId="0" fontId="41" fillId="16" borderId="0" xfId="0" applyFont="1" applyFill="1" applyAlignment="1">
      <alignment horizontal="center" vertical="center"/>
    </xf>
    <xf numFmtId="0" fontId="42" fillId="16" borderId="0" xfId="0" applyFont="1" applyFill="1" applyAlignment="1">
      <alignment horizontal="left"/>
    </xf>
    <xf numFmtId="0" fontId="43" fillId="16" borderId="0" xfId="0" applyFont="1" applyFill="1" applyAlignment="1">
      <alignment horizontal="left"/>
    </xf>
    <xf numFmtId="0" fontId="44" fillId="16" borderId="0" xfId="0" applyFont="1" applyFill="1" applyAlignment="1">
      <alignment horizontal="left" vertical="center"/>
    </xf>
    <xf numFmtId="14" fontId="2" fillId="16" borderId="0" xfId="0" applyNumberFormat="1" applyFont="1" applyFill="1" applyAlignment="1" applyProtection="1">
      <alignment horizontal="center"/>
      <protection locked="0"/>
    </xf>
    <xf numFmtId="0" fontId="0" fillId="16" borderId="0" xfId="0" applyFill="1" applyAlignment="1" applyProtection="1">
      <alignment vertical="top"/>
      <protection locked="0"/>
    </xf>
    <xf numFmtId="0" fontId="0" fillId="16" borderId="0" xfId="0" applyFill="1" applyAlignment="1" applyProtection="1">
      <alignment horizontal="left" vertical="top"/>
      <protection locked="0"/>
    </xf>
    <xf numFmtId="0" fontId="0" fillId="16" borderId="0" xfId="0" applyFill="1" applyAlignment="1" applyProtection="1">
      <alignment horizontal="center" vertical="top"/>
      <protection locked="0"/>
    </xf>
    <xf numFmtId="0" fontId="23" fillId="16" borderId="0" xfId="0" applyFont="1" applyFill="1" applyAlignment="1" applyProtection="1">
      <alignment horizontal="center" vertical="top"/>
      <protection locked="0"/>
    </xf>
    <xf numFmtId="0" fontId="41" fillId="16" borderId="0" xfId="0" applyFont="1" applyFill="1" applyAlignment="1" applyProtection="1">
      <alignment horizontal="center" vertical="center"/>
      <protection locked="0"/>
    </xf>
    <xf numFmtId="0" fontId="41" fillId="16" borderId="0" xfId="0" applyFont="1" applyFill="1" applyAlignment="1" applyProtection="1">
      <alignment horizontal="center" vertical="top"/>
      <protection locked="0"/>
    </xf>
    <xf numFmtId="0" fontId="2" fillId="16" borderId="0" xfId="0" applyFont="1" applyFill="1"/>
    <xf numFmtId="0" fontId="2" fillId="16" borderId="0" xfId="0" applyFont="1" applyFill="1" applyAlignment="1" applyProtection="1">
      <alignment horizontal="left"/>
      <protection locked="0"/>
    </xf>
    <xf numFmtId="43" fontId="4" fillId="16" borderId="0" xfId="1" applyFont="1" applyFill="1" applyAlignment="1" applyProtection="1">
      <alignment horizontal="center"/>
      <protection locked="0"/>
    </xf>
    <xf numFmtId="43" fontId="2" fillId="16" borderId="0" xfId="0" applyNumberFormat="1" applyFont="1" applyFill="1" applyAlignment="1">
      <alignment horizontal="center"/>
    </xf>
    <xf numFmtId="43" fontId="2" fillId="16" borderId="0" xfId="0" applyNumberFormat="1" applyFont="1" applyFill="1" applyAlignment="1" applyProtection="1">
      <alignment horizontal="center"/>
      <protection locked="0"/>
    </xf>
    <xf numFmtId="0" fontId="2" fillId="16" borderId="0" xfId="0" applyFont="1" applyFill="1" applyAlignment="1" applyProtection="1">
      <alignment vertical="top"/>
      <protection locked="0"/>
    </xf>
    <xf numFmtId="0" fontId="2" fillId="16" borderId="0" xfId="0" applyFont="1" applyFill="1" applyAlignment="1">
      <alignment horizontal="left" vertical="top"/>
    </xf>
    <xf numFmtId="0" fontId="2" fillId="16" borderId="0" xfId="0" applyFont="1" applyFill="1" applyAlignment="1">
      <alignment horizontal="left" vertical="top" wrapText="1"/>
    </xf>
    <xf numFmtId="43" fontId="4" fillId="16" borderId="0" xfId="1" applyFont="1" applyFill="1" applyAlignment="1">
      <alignment horizontal="center" vertical="top"/>
    </xf>
    <xf numFmtId="4" fontId="2" fillId="16" borderId="0" xfId="0" applyNumberFormat="1" applyFont="1" applyFill="1" applyAlignment="1">
      <alignment horizontal="center" vertical="top"/>
    </xf>
    <xf numFmtId="0" fontId="0" fillId="16" borderId="0" xfId="0" applyFill="1" applyAlignment="1">
      <alignment horizontal="left" vertical="top"/>
    </xf>
    <xf numFmtId="0" fontId="0" fillId="16" borderId="0" xfId="0" applyFill="1" applyAlignment="1">
      <alignment horizontal="left" vertical="top" wrapText="1"/>
    </xf>
    <xf numFmtId="43" fontId="7" fillId="16" borderId="0" xfId="1" applyFont="1" applyFill="1" applyAlignment="1">
      <alignment horizontal="center" vertical="top"/>
    </xf>
    <xf numFmtId="4" fontId="0" fillId="16" borderId="0" xfId="0" applyNumberFormat="1" applyFill="1" applyAlignment="1">
      <alignment horizontal="center" vertical="top"/>
    </xf>
    <xf numFmtId="43" fontId="7" fillId="16" borderId="0" xfId="1" applyFont="1" applyFill="1" applyAlignment="1" applyProtection="1">
      <alignment horizontal="center" vertical="top"/>
      <protection locked="0"/>
    </xf>
    <xf numFmtId="0" fontId="4" fillId="16" borderId="0" xfId="0" applyFont="1" applyFill="1" applyAlignment="1">
      <alignment horizontal="left" vertical="top" wrapText="1"/>
    </xf>
    <xf numFmtId="0" fontId="7" fillId="16" borderId="0" xfId="0" applyFont="1" applyFill="1" applyAlignment="1">
      <alignment horizontal="left" vertical="top" wrapText="1"/>
    </xf>
    <xf numFmtId="0" fontId="45" fillId="16" borderId="0" xfId="0" applyFont="1" applyFill="1" applyAlignment="1">
      <alignment horizontal="center" vertical="center"/>
    </xf>
    <xf numFmtId="0" fontId="23" fillId="16" borderId="0" xfId="0" applyFont="1" applyFill="1" applyAlignment="1" applyProtection="1">
      <alignment horizontal="center" vertical="center"/>
      <protection locked="0"/>
    </xf>
    <xf numFmtId="0" fontId="0" fillId="17" borderId="0" xfId="0" applyFill="1" applyAlignment="1">
      <alignment horizontal="left" vertical="top"/>
    </xf>
    <xf numFmtId="0" fontId="0" fillId="17" borderId="0" xfId="0" applyFill="1" applyAlignment="1">
      <alignment horizontal="left" vertical="top" wrapText="1"/>
    </xf>
    <xf numFmtId="43" fontId="7" fillId="17" borderId="0" xfId="1" applyFont="1" applyFill="1" applyAlignment="1">
      <alignment horizontal="center" vertical="top"/>
    </xf>
    <xf numFmtId="4" fontId="0" fillId="17" borderId="0" xfId="0" applyNumberFormat="1" applyFill="1" applyAlignment="1">
      <alignment horizontal="center" vertical="top"/>
    </xf>
    <xf numFmtId="0" fontId="0" fillId="16" borderId="0" xfId="0" applyFill="1" applyProtection="1">
      <protection locked="0"/>
    </xf>
    <xf numFmtId="0" fontId="0" fillId="16" borderId="0" xfId="0" applyFill="1" applyAlignment="1" applyProtection="1">
      <alignment horizontal="left"/>
      <protection locked="0"/>
    </xf>
    <xf numFmtId="43" fontId="0" fillId="16" borderId="0" xfId="1" applyFont="1" applyFill="1" applyAlignment="1">
      <alignment horizontal="center" vertical="top"/>
    </xf>
    <xf numFmtId="0" fontId="46" fillId="16" borderId="0" xfId="0" applyFont="1" applyFill="1" applyAlignment="1">
      <alignment horizontal="right" vertical="center"/>
    </xf>
    <xf numFmtId="0" fontId="2" fillId="16" borderId="0" xfId="0" applyFont="1" applyFill="1" applyProtection="1">
      <protection locked="0"/>
    </xf>
    <xf numFmtId="43" fontId="7" fillId="16" borderId="0" xfId="1" applyFont="1" applyFill="1" applyAlignment="1" applyProtection="1">
      <alignment horizontal="center"/>
      <protection locked="0"/>
    </xf>
    <xf numFmtId="0" fontId="5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5" fillId="3" borderId="0" xfId="0" applyFont="1" applyFill="1" applyAlignment="1">
      <alignment horizontal="center" vertical="center"/>
    </xf>
    <xf numFmtId="49" fontId="5" fillId="3" borderId="0" xfId="0" applyNumberFormat="1" applyFont="1" applyFill="1" applyAlignment="1">
      <alignment horizontal="center" vertical="center"/>
    </xf>
    <xf numFmtId="4" fontId="5" fillId="3" borderId="0" xfId="0" applyNumberFormat="1" applyFont="1" applyFill="1" applyAlignment="1">
      <alignment horizontal="right" vertical="center"/>
    </xf>
    <xf numFmtId="4" fontId="7" fillId="3" borderId="0" xfId="0" applyNumberFormat="1" applyFont="1" applyFill="1" applyAlignment="1">
      <alignment horizontal="right" vertical="center"/>
    </xf>
    <xf numFmtId="0" fontId="3" fillId="3" borderId="0" xfId="0" applyFont="1" applyFill="1"/>
    <xf numFmtId="4" fontId="7" fillId="3" borderId="0" xfId="0" applyNumberFormat="1" applyFont="1" applyFill="1" applyAlignment="1">
      <alignment vertical="center"/>
    </xf>
    <xf numFmtId="4" fontId="7" fillId="3" borderId="0" xfId="0" applyNumberFormat="1" applyFont="1" applyFill="1" applyAlignment="1">
      <alignment horizontal="center" vertical="center"/>
    </xf>
    <xf numFmtId="4" fontId="5" fillId="3" borderId="0" xfId="0" applyNumberFormat="1" applyFont="1" applyFill="1" applyAlignment="1">
      <alignment horizontal="center" vertical="center"/>
    </xf>
    <xf numFmtId="4" fontId="5" fillId="3" borderId="0" xfId="0" applyNumberFormat="1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43" fontId="3" fillId="0" borderId="0" xfId="1" applyFont="1" applyAlignment="1">
      <alignment horizontal="right" vertical="center"/>
    </xf>
    <xf numFmtId="4" fontId="3" fillId="3" borderId="0" xfId="0" applyNumberFormat="1" applyFont="1" applyFill="1" applyAlignment="1">
      <alignment horizontal="right" vertical="center"/>
    </xf>
    <xf numFmtId="164" fontId="7" fillId="16" borderId="0" xfId="1" applyNumberFormat="1" applyFont="1" applyFill="1" applyBorder="1"/>
    <xf numFmtId="164" fontId="7" fillId="16" borderId="0" xfId="1" applyNumberFormat="1" applyFont="1" applyFill="1"/>
    <xf numFmtId="164" fontId="4" fillId="16" borderId="0" xfId="1" applyNumberFormat="1" applyFont="1" applyFill="1"/>
    <xf numFmtId="0" fontId="14" fillId="3" borderId="6" xfId="0" applyFont="1" applyFill="1" applyBorder="1" applyAlignment="1">
      <alignment vertical="center"/>
    </xf>
    <xf numFmtId="4" fontId="8" fillId="3" borderId="7" xfId="0" applyNumberFormat="1" applyFont="1" applyFill="1" applyBorder="1" applyAlignment="1">
      <alignment horizontal="center" vertical="center"/>
    </xf>
    <xf numFmtId="0" fontId="8" fillId="3" borderId="6" xfId="0" applyFont="1" applyFill="1" applyBorder="1" applyAlignment="1">
      <alignment vertical="center"/>
    </xf>
    <xf numFmtId="4" fontId="3" fillId="16" borderId="0" xfId="0" applyNumberFormat="1" applyFont="1" applyFill="1" applyAlignment="1">
      <alignment horizontal="right" vertical="center"/>
    </xf>
    <xf numFmtId="4" fontId="5" fillId="16" borderId="0" xfId="0" applyNumberFormat="1" applyFont="1" applyFill="1" applyAlignment="1">
      <alignment horizontal="right" vertical="center"/>
    </xf>
    <xf numFmtId="4" fontId="0" fillId="16" borderId="0" xfId="0" applyNumberFormat="1" applyFill="1" applyAlignment="1" applyProtection="1">
      <alignment vertical="top"/>
      <protection locked="0"/>
    </xf>
    <xf numFmtId="4" fontId="2" fillId="15" borderId="0" xfId="0" applyNumberFormat="1" applyFont="1" applyFill="1" applyAlignment="1">
      <alignment horizontal="center" vertical="top"/>
    </xf>
    <xf numFmtId="4" fontId="0" fillId="15" borderId="0" xfId="0" applyNumberFormat="1" applyFill="1" applyAlignment="1">
      <alignment horizontal="center" vertical="top"/>
    </xf>
    <xf numFmtId="43" fontId="4" fillId="0" borderId="0" xfId="1" applyFont="1" applyAlignment="1">
      <alignment horizontal="center"/>
    </xf>
    <xf numFmtId="43" fontId="3" fillId="0" borderId="0" xfId="1" applyFont="1"/>
    <xf numFmtId="43" fontId="3" fillId="0" borderId="0" xfId="1" applyFont="1" applyAlignment="1">
      <alignment horizontal="left"/>
    </xf>
    <xf numFmtId="43" fontId="5" fillId="3" borderId="0" xfId="1" applyFont="1" applyFill="1" applyAlignment="1">
      <alignment horizontal="center" vertical="center"/>
    </xf>
    <xf numFmtId="43" fontId="5" fillId="3" borderId="0" xfId="1" applyFont="1" applyFill="1" applyAlignment="1">
      <alignment horizontal="right" vertical="center"/>
    </xf>
    <xf numFmtId="43" fontId="5" fillId="0" borderId="0" xfId="1" applyFont="1" applyAlignment="1">
      <alignment horizontal="right" vertical="center"/>
    </xf>
    <xf numFmtId="43" fontId="7" fillId="0" borderId="0" xfId="1" applyFont="1" applyFill="1"/>
    <xf numFmtId="0" fontId="2" fillId="15" borderId="0" xfId="0" applyFont="1" applyFill="1" applyAlignment="1">
      <alignment horizontal="left" vertical="top"/>
    </xf>
    <xf numFmtId="0" fontId="2" fillId="15" borderId="0" xfId="0" applyFont="1" applyFill="1" applyAlignment="1">
      <alignment horizontal="left" vertical="top" wrapText="1"/>
    </xf>
    <xf numFmtId="43" fontId="4" fillId="15" borderId="0" xfId="1" applyFont="1" applyFill="1" applyAlignment="1">
      <alignment horizontal="center" vertical="top"/>
    </xf>
    <xf numFmtId="4" fontId="4" fillId="15" borderId="0" xfId="0" applyNumberFormat="1" applyFont="1" applyFill="1" applyAlignment="1">
      <alignment horizontal="center" vertical="top"/>
    </xf>
    <xf numFmtId="0" fontId="0" fillId="15" borderId="0" xfId="0" applyFill="1" applyAlignment="1">
      <alignment horizontal="left" vertical="top"/>
    </xf>
    <xf numFmtId="0" fontId="0" fillId="15" borderId="0" xfId="0" applyFill="1" applyAlignment="1">
      <alignment horizontal="left" vertical="top" wrapText="1"/>
    </xf>
    <xf numFmtId="43" fontId="7" fillId="15" borderId="0" xfId="1" applyFont="1" applyFill="1" applyAlignment="1">
      <alignment horizontal="center" vertical="top"/>
    </xf>
    <xf numFmtId="4" fontId="7" fillId="15" borderId="0" xfId="0" applyNumberFormat="1" applyFont="1" applyFill="1" applyAlignment="1">
      <alignment horizontal="center" vertical="top"/>
    </xf>
    <xf numFmtId="43" fontId="7" fillId="15" borderId="0" xfId="1" applyFont="1" applyFill="1" applyAlignment="1" applyProtection="1">
      <alignment horizontal="center" vertical="top"/>
      <protection locked="0"/>
    </xf>
    <xf numFmtId="0" fontId="2" fillId="18" borderId="0" xfId="0" applyFont="1" applyFill="1" applyAlignment="1">
      <alignment horizontal="left" vertical="top"/>
    </xf>
    <xf numFmtId="0" fontId="2" fillId="18" borderId="0" xfId="0" applyFont="1" applyFill="1" applyAlignment="1">
      <alignment horizontal="left" vertical="top" wrapText="1"/>
    </xf>
    <xf numFmtId="43" fontId="4" fillId="18" borderId="0" xfId="1" applyFont="1" applyFill="1" applyAlignment="1">
      <alignment horizontal="center" vertical="top"/>
    </xf>
    <xf numFmtId="4" fontId="2" fillId="18" borderId="0" xfId="0" applyNumberFormat="1" applyFont="1" applyFill="1" applyAlignment="1">
      <alignment horizontal="center" vertical="top"/>
    </xf>
    <xf numFmtId="0" fontId="0" fillId="18" borderId="0" xfId="0" applyFill="1" applyAlignment="1">
      <alignment horizontal="left" vertical="top"/>
    </xf>
    <xf numFmtId="0" fontId="0" fillId="18" borderId="0" xfId="0" applyFill="1" applyAlignment="1">
      <alignment horizontal="left" vertical="top" wrapText="1"/>
    </xf>
    <xf numFmtId="43" fontId="7" fillId="18" borderId="0" xfId="1" applyFont="1" applyFill="1" applyAlignment="1">
      <alignment horizontal="center" vertical="top"/>
    </xf>
    <xf numFmtId="4" fontId="0" fillId="18" borderId="0" xfId="0" applyNumberFormat="1" applyFill="1" applyAlignment="1">
      <alignment horizontal="center" vertical="top"/>
    </xf>
    <xf numFmtId="4" fontId="4" fillId="18" borderId="0" xfId="0" applyNumberFormat="1" applyFont="1" applyFill="1" applyAlignment="1">
      <alignment horizontal="center" vertical="top"/>
    </xf>
    <xf numFmtId="4" fontId="7" fillId="18" borderId="0" xfId="0" applyNumberFormat="1" applyFont="1" applyFill="1" applyAlignment="1">
      <alignment horizontal="center" vertical="top"/>
    </xf>
    <xf numFmtId="0" fontId="2" fillId="17" borderId="0" xfId="0" applyFont="1" applyFill="1" applyAlignment="1">
      <alignment horizontal="left" vertical="top"/>
    </xf>
    <xf numFmtId="0" fontId="2" fillId="17" borderId="0" xfId="0" applyFont="1" applyFill="1" applyAlignment="1">
      <alignment horizontal="left" vertical="top" wrapText="1"/>
    </xf>
    <xf numFmtId="43" fontId="4" fillId="17" borderId="0" xfId="1" applyFont="1" applyFill="1" applyAlignment="1">
      <alignment horizontal="center" vertical="top"/>
    </xf>
    <xf numFmtId="4" fontId="2" fillId="17" borderId="0" xfId="0" applyNumberFormat="1" applyFont="1" applyFill="1" applyAlignment="1">
      <alignment horizontal="center" vertical="top"/>
    </xf>
    <xf numFmtId="43" fontId="7" fillId="17" borderId="0" xfId="1" applyFont="1" applyFill="1" applyAlignment="1" applyProtection="1">
      <alignment horizontal="center" vertical="top"/>
      <protection locked="0"/>
    </xf>
    <xf numFmtId="0" fontId="2" fillId="19" borderId="0" xfId="0" applyFont="1" applyFill="1" applyAlignment="1">
      <alignment horizontal="left" vertical="top"/>
    </xf>
    <xf numFmtId="0" fontId="2" fillId="19" borderId="0" xfId="0" applyFont="1" applyFill="1" applyAlignment="1">
      <alignment horizontal="left" vertical="top" wrapText="1"/>
    </xf>
    <xf numFmtId="43" fontId="4" fillId="19" borderId="0" xfId="1" applyFont="1" applyFill="1" applyAlignment="1">
      <alignment horizontal="center" vertical="top"/>
    </xf>
    <xf numFmtId="4" fontId="2" fillId="19" borderId="0" xfId="0" applyNumberFormat="1" applyFont="1" applyFill="1" applyAlignment="1">
      <alignment horizontal="center" vertical="top"/>
    </xf>
    <xf numFmtId="0" fontId="0" fillId="19" borderId="0" xfId="0" applyFill="1" applyAlignment="1">
      <alignment horizontal="left" vertical="top"/>
    </xf>
    <xf numFmtId="0" fontId="0" fillId="19" borderId="0" xfId="0" applyFill="1" applyAlignment="1">
      <alignment horizontal="left" vertical="top" wrapText="1"/>
    </xf>
    <xf numFmtId="43" fontId="7" fillId="19" borderId="0" xfId="1" applyFont="1" applyFill="1" applyAlignment="1">
      <alignment horizontal="center" vertical="top"/>
    </xf>
    <xf numFmtId="4" fontId="0" fillId="19" borderId="0" xfId="0" applyNumberFormat="1" applyFill="1" applyAlignment="1">
      <alignment horizontal="center" vertical="top"/>
    </xf>
    <xf numFmtId="0" fontId="0" fillId="19" borderId="0" xfId="0" applyFill="1" applyProtection="1">
      <protection locked="0"/>
    </xf>
    <xf numFmtId="0" fontId="0" fillId="19" borderId="0" xfId="0" applyFill="1" applyAlignment="1" applyProtection="1">
      <alignment horizontal="left"/>
      <protection locked="0"/>
    </xf>
    <xf numFmtId="43" fontId="7" fillId="19" borderId="0" xfId="1" applyFont="1" applyFill="1" applyAlignment="1" applyProtection="1">
      <alignment horizontal="center" vertical="top"/>
      <protection locked="0"/>
    </xf>
    <xf numFmtId="4" fontId="2" fillId="20" borderId="0" xfId="0" applyNumberFormat="1" applyFont="1" applyFill="1" applyAlignment="1">
      <alignment horizontal="center" vertical="top"/>
    </xf>
    <xf numFmtId="0" fontId="2" fillId="20" borderId="0" xfId="0" applyFont="1" applyFill="1" applyAlignment="1">
      <alignment horizontal="left" vertical="top"/>
    </xf>
    <xf numFmtId="0" fontId="2" fillId="20" borderId="0" xfId="0" applyFont="1" applyFill="1" applyAlignment="1">
      <alignment horizontal="left" vertical="top" wrapText="1"/>
    </xf>
    <xf numFmtId="43" fontId="4" fillId="20" borderId="0" xfId="1" applyFont="1" applyFill="1" applyAlignment="1">
      <alignment horizontal="center" vertical="top"/>
    </xf>
    <xf numFmtId="0" fontId="0" fillId="20" borderId="0" xfId="0" applyFill="1" applyAlignment="1">
      <alignment horizontal="left" vertical="top"/>
    </xf>
    <xf numFmtId="0" fontId="0" fillId="20" borderId="0" xfId="0" applyFill="1" applyAlignment="1">
      <alignment horizontal="left" vertical="top" wrapText="1"/>
    </xf>
    <xf numFmtId="43" fontId="7" fillId="20" borderId="0" xfId="1" applyFont="1" applyFill="1" applyAlignment="1">
      <alignment horizontal="center" vertical="top"/>
    </xf>
    <xf numFmtId="4" fontId="0" fillId="20" borderId="0" xfId="0" applyNumberFormat="1" applyFill="1" applyAlignment="1">
      <alignment horizontal="center" vertical="top"/>
    </xf>
    <xf numFmtId="43" fontId="7" fillId="20" borderId="0" xfId="1" applyFont="1" applyFill="1" applyAlignment="1" applyProtection="1">
      <alignment horizontal="center" vertical="top"/>
      <protection locked="0"/>
    </xf>
    <xf numFmtId="0" fontId="36" fillId="14" borderId="0" xfId="0" applyFont="1" applyFill="1" applyAlignment="1">
      <alignment horizontal="left" vertical="top"/>
    </xf>
    <xf numFmtId="0" fontId="36" fillId="14" borderId="0" xfId="0" applyFont="1" applyFill="1" applyAlignment="1">
      <alignment horizontal="left" vertical="top" wrapText="1"/>
    </xf>
    <xf numFmtId="43" fontId="36" fillId="14" borderId="0" xfId="1" applyFont="1" applyFill="1" applyAlignment="1">
      <alignment horizontal="center" vertical="top"/>
    </xf>
    <xf numFmtId="4" fontId="36" fillId="14" borderId="0" xfId="0" applyNumberFormat="1" applyFont="1" applyFill="1" applyAlignment="1">
      <alignment horizontal="center" vertical="top"/>
    </xf>
    <xf numFmtId="0" fontId="47" fillId="14" borderId="0" xfId="0" applyFont="1" applyFill="1" applyAlignment="1">
      <alignment horizontal="left" vertical="top"/>
    </xf>
    <xf numFmtId="0" fontId="47" fillId="14" borderId="0" xfId="0" applyFont="1" applyFill="1" applyAlignment="1">
      <alignment horizontal="left" vertical="top" wrapText="1"/>
    </xf>
    <xf numFmtId="43" fontId="47" fillId="14" borderId="0" xfId="1" applyFont="1" applyFill="1" applyAlignment="1">
      <alignment horizontal="center" vertical="top"/>
    </xf>
    <xf numFmtId="4" fontId="47" fillId="14" borderId="0" xfId="0" applyNumberFormat="1" applyFont="1" applyFill="1" applyAlignment="1">
      <alignment horizontal="center" vertical="top"/>
    </xf>
    <xf numFmtId="0" fontId="22" fillId="0" borderId="0" xfId="0" applyFont="1" applyAlignment="1">
      <alignment horizontal="center"/>
    </xf>
    <xf numFmtId="43" fontId="0" fillId="16" borderId="0" xfId="1" applyFont="1" applyFill="1" applyAlignment="1">
      <alignment horizontal="left"/>
    </xf>
    <xf numFmtId="43" fontId="43" fillId="16" borderId="0" xfId="1" applyFont="1" applyFill="1" applyAlignment="1">
      <alignment horizontal="left"/>
    </xf>
    <xf numFmtId="43" fontId="0" fillId="16" borderId="0" xfId="1" applyFont="1" applyFill="1" applyAlignment="1" applyProtection="1">
      <alignment horizontal="left" vertical="top"/>
      <protection locked="0"/>
    </xf>
    <xf numFmtId="43" fontId="2" fillId="16" borderId="0" xfId="1" applyFont="1" applyFill="1" applyAlignment="1">
      <alignment horizontal="left" vertical="top" wrapText="1"/>
    </xf>
    <xf numFmtId="4" fontId="2" fillId="21" borderId="0" xfId="0" applyNumberFormat="1" applyFont="1" applyFill="1" applyAlignment="1">
      <alignment horizontal="center" vertical="top"/>
    </xf>
    <xf numFmtId="0" fontId="2" fillId="21" borderId="0" xfId="0" applyFont="1" applyFill="1" applyAlignment="1">
      <alignment horizontal="left" vertical="top"/>
    </xf>
    <xf numFmtId="0" fontId="2" fillId="21" borderId="0" xfId="0" applyFont="1" applyFill="1" applyAlignment="1">
      <alignment horizontal="left" vertical="top" wrapText="1"/>
    </xf>
    <xf numFmtId="43" fontId="2" fillId="21" borderId="0" xfId="1" applyFont="1" applyFill="1" applyAlignment="1">
      <alignment horizontal="left" vertical="top" wrapText="1"/>
    </xf>
    <xf numFmtId="43" fontId="4" fillId="21" borderId="0" xfId="1" applyFont="1" applyFill="1" applyAlignment="1">
      <alignment horizontal="center" vertical="top"/>
    </xf>
    <xf numFmtId="0" fontId="0" fillId="21" borderId="0" xfId="0" applyFill="1" applyAlignment="1">
      <alignment horizontal="left" vertical="top"/>
    </xf>
    <xf numFmtId="0" fontId="0" fillId="21" borderId="0" xfId="0" applyFill="1" applyAlignment="1">
      <alignment horizontal="left" vertical="top" wrapText="1"/>
    </xf>
    <xf numFmtId="43" fontId="7" fillId="21" borderId="0" xfId="1" applyFont="1" applyFill="1" applyAlignment="1">
      <alignment horizontal="center" vertical="top"/>
    </xf>
    <xf numFmtId="4" fontId="0" fillId="21" borderId="0" xfId="0" applyNumberFormat="1" applyFill="1" applyAlignment="1">
      <alignment horizontal="center" vertical="top"/>
    </xf>
    <xf numFmtId="164" fontId="7" fillId="0" borderId="0" xfId="1" applyNumberFormat="1" applyFont="1" applyFill="1" applyAlignment="1">
      <alignment horizontal="right"/>
    </xf>
    <xf numFmtId="0" fontId="10" fillId="3" borderId="0" xfId="0" applyFont="1" applyFill="1" applyAlignment="1">
      <alignment horizontal="right" vertical="center"/>
    </xf>
    <xf numFmtId="164" fontId="4" fillId="0" borderId="8" xfId="1" applyNumberFormat="1" applyFont="1" applyFill="1" applyBorder="1" applyAlignment="1">
      <alignment horizontal="right"/>
    </xf>
    <xf numFmtId="43" fontId="41" fillId="16" borderId="0" xfId="0" applyNumberFormat="1" applyFont="1" applyFill="1" applyAlignment="1" applyProtection="1">
      <alignment horizontal="center" vertical="center"/>
      <protection locked="0"/>
    </xf>
    <xf numFmtId="0" fontId="4" fillId="3" borderId="0" xfId="0" applyFont="1" applyFill="1" applyAlignment="1">
      <alignment horizontal="right" vertical="center"/>
    </xf>
    <xf numFmtId="0" fontId="48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4" fontId="2" fillId="22" borderId="0" xfId="0" applyNumberFormat="1" applyFont="1" applyFill="1" applyAlignment="1">
      <alignment horizontal="center" vertical="top"/>
    </xf>
    <xf numFmtId="4" fontId="0" fillId="22" borderId="0" xfId="0" applyNumberFormat="1" applyFill="1" applyAlignment="1">
      <alignment horizontal="center" vertical="top"/>
    </xf>
    <xf numFmtId="4" fontId="41" fillId="16" borderId="0" xfId="0" applyNumberFormat="1" applyFont="1" applyFill="1" applyAlignment="1" applyProtection="1">
      <alignment horizontal="center" vertical="center"/>
      <protection locked="0"/>
    </xf>
    <xf numFmtId="0" fontId="50" fillId="3" borderId="0" xfId="0" applyFont="1" applyFill="1" applyAlignment="1">
      <alignment vertical="center"/>
    </xf>
    <xf numFmtId="0" fontId="50" fillId="3" borderId="20" xfId="0" applyFont="1" applyFill="1" applyBorder="1" applyAlignment="1">
      <alignment horizontal="center" vertical="center"/>
    </xf>
    <xf numFmtId="0" fontId="50" fillId="3" borderId="0" xfId="0" applyFont="1" applyFill="1" applyAlignment="1">
      <alignment horizontal="center" vertical="center"/>
    </xf>
    <xf numFmtId="0" fontId="50" fillId="3" borderId="20" xfId="0" applyFont="1" applyFill="1" applyBorder="1" applyAlignment="1">
      <alignment horizontal="center" vertical="center" wrapText="1"/>
    </xf>
    <xf numFmtId="0" fontId="50" fillId="3" borderId="0" xfId="0" applyFont="1" applyFill="1" applyAlignment="1">
      <alignment horizontal="center" vertical="center" wrapText="1"/>
    </xf>
    <xf numFmtId="0" fontId="52" fillId="0" borderId="0" xfId="0" applyFont="1" applyAlignment="1">
      <alignment vertical="center"/>
    </xf>
    <xf numFmtId="0" fontId="51" fillId="0" borderId="0" xfId="0" applyFont="1" applyAlignment="1">
      <alignment vertical="center"/>
    </xf>
    <xf numFmtId="4" fontId="52" fillId="0" borderId="0" xfId="0" applyNumberFormat="1" applyFont="1" applyAlignment="1">
      <alignment horizontal="right" vertical="center"/>
    </xf>
    <xf numFmtId="4" fontId="51" fillId="0" borderId="10" xfId="0" applyNumberFormat="1" applyFont="1" applyBorder="1" applyAlignment="1">
      <alignment horizontal="center" vertical="center"/>
    </xf>
    <xf numFmtId="0" fontId="53" fillId="0" borderId="0" xfId="0" applyFont="1"/>
    <xf numFmtId="4" fontId="54" fillId="0" borderId="0" xfId="0" applyNumberFormat="1" applyFont="1" applyAlignment="1">
      <alignment horizontal="right" vertical="center"/>
    </xf>
    <xf numFmtId="4" fontId="51" fillId="0" borderId="10" xfId="0" applyNumberFormat="1" applyFont="1" applyBorder="1" applyAlignment="1">
      <alignment horizontal="right" vertical="center"/>
    </xf>
    <xf numFmtId="0" fontId="7" fillId="0" borderId="0" xfId="0" applyFont="1" applyAlignment="1" applyProtection="1">
      <alignment vertical="top"/>
      <protection locked="0"/>
    </xf>
    <xf numFmtId="0" fontId="55" fillId="23" borderId="0" xfId="0" applyFont="1" applyFill="1" applyAlignment="1" applyProtection="1">
      <alignment horizontal="center" vertical="center"/>
      <protection locked="0"/>
    </xf>
    <xf numFmtId="0" fontId="56" fillId="0" borderId="0" xfId="0" applyFont="1" applyAlignment="1">
      <alignment horizontal="left" vertical="top"/>
    </xf>
    <xf numFmtId="0" fontId="28" fillId="0" borderId="0" xfId="0" applyFont="1" applyAlignment="1">
      <alignment horizontal="left" vertical="top" wrapText="1"/>
    </xf>
    <xf numFmtId="4" fontId="28" fillId="0" borderId="0" xfId="0" applyNumberFormat="1" applyFont="1" applyAlignment="1">
      <alignment horizontal="center" vertical="top"/>
    </xf>
    <xf numFmtId="0" fontId="41" fillId="0" borderId="0" xfId="0" applyFont="1" applyAlignment="1" applyProtection="1">
      <alignment horizontal="center" vertical="center"/>
      <protection locked="0"/>
    </xf>
    <xf numFmtId="0" fontId="56" fillId="0" borderId="0" xfId="0" applyFont="1" applyAlignment="1">
      <alignment horizontal="left" vertical="top" wrapText="1"/>
    </xf>
    <xf numFmtId="0" fontId="56" fillId="0" borderId="0" xfId="0" applyFont="1" applyAlignment="1">
      <alignment horizontal="center" vertical="top"/>
    </xf>
    <xf numFmtId="4" fontId="56" fillId="0" borderId="0" xfId="0" applyNumberFormat="1" applyFont="1" applyAlignment="1">
      <alignment horizontal="center" vertical="top"/>
    </xf>
    <xf numFmtId="0" fontId="28" fillId="0" borderId="0" xfId="0" applyFont="1" applyAlignment="1">
      <alignment horizontal="center" vertical="top"/>
    </xf>
    <xf numFmtId="0" fontId="7" fillId="0" borderId="0" xfId="0" applyFont="1" applyAlignment="1" applyProtection="1">
      <alignment horizontal="center" vertical="top"/>
      <protection locked="0"/>
    </xf>
    <xf numFmtId="0" fontId="42" fillId="0" borderId="0" xfId="0" applyFont="1" applyAlignment="1" applyProtection="1">
      <alignment vertical="center"/>
      <protection locked="0"/>
    </xf>
    <xf numFmtId="0" fontId="23" fillId="0" borderId="0" xfId="0" applyFont="1" applyAlignment="1">
      <alignment horizontal="center" vertical="center"/>
    </xf>
    <xf numFmtId="0" fontId="5" fillId="16" borderId="0" xfId="0" applyFont="1" applyFill="1" applyAlignment="1">
      <alignment vertical="center"/>
    </xf>
    <xf numFmtId="0" fontId="5" fillId="16" borderId="0" xfId="0" applyFont="1" applyFill="1" applyAlignment="1">
      <alignment horizontal="center" vertical="center"/>
    </xf>
    <xf numFmtId="0" fontId="3" fillId="16" borderId="0" xfId="0" applyFont="1" applyFill="1" applyAlignment="1">
      <alignment vertical="center"/>
    </xf>
    <xf numFmtId="4" fontId="7" fillId="16" borderId="0" xfId="0" applyNumberFormat="1" applyFont="1" applyFill="1" applyAlignment="1">
      <alignment vertical="center"/>
    </xf>
    <xf numFmtId="4" fontId="7" fillId="16" borderId="0" xfId="0" applyNumberFormat="1" applyFont="1" applyFill="1" applyAlignment="1">
      <alignment horizontal="right" vertical="center"/>
    </xf>
    <xf numFmtId="4" fontId="3" fillId="16" borderId="0" xfId="0" applyNumberFormat="1" applyFont="1" applyFill="1"/>
    <xf numFmtId="4" fontId="5" fillId="16" borderId="0" xfId="0" applyNumberFormat="1" applyFont="1" applyFill="1" applyAlignment="1">
      <alignment vertical="center"/>
    </xf>
    <xf numFmtId="43" fontId="7" fillId="16" borderId="0" xfId="1" applyFont="1" applyFill="1" applyAlignment="1">
      <alignment vertical="center"/>
    </xf>
    <xf numFmtId="4" fontId="7" fillId="16" borderId="0" xfId="0" applyNumberFormat="1" applyFont="1" applyFill="1" applyAlignment="1">
      <alignment horizontal="center" vertical="center"/>
    </xf>
    <xf numFmtId="0" fontId="3" fillId="16" borderId="0" xfId="0" applyFont="1" applyFill="1"/>
    <xf numFmtId="43" fontId="3" fillId="16" borderId="0" xfId="1" applyFont="1" applyFill="1"/>
    <xf numFmtId="4" fontId="6" fillId="16" borderId="14" xfId="0" applyNumberFormat="1" applyFont="1" applyFill="1" applyBorder="1"/>
    <xf numFmtId="4" fontId="3" fillId="16" borderId="14" xfId="0" applyNumberFormat="1" applyFont="1" applyFill="1" applyBorder="1"/>
    <xf numFmtId="4" fontId="5" fillId="16" borderId="0" xfId="0" applyNumberFormat="1" applyFont="1" applyFill="1" applyAlignment="1">
      <alignment horizontal="center" vertical="center"/>
    </xf>
    <xf numFmtId="0" fontId="3" fillId="16" borderId="14" xfId="0" applyFont="1" applyFill="1" applyBorder="1"/>
    <xf numFmtId="0" fontId="7" fillId="16" borderId="14" xfId="0" applyFont="1" applyFill="1" applyBorder="1"/>
    <xf numFmtId="43" fontId="3" fillId="16" borderId="0" xfId="1" applyFont="1" applyFill="1" applyAlignment="1">
      <alignment horizontal="right" vertical="center"/>
    </xf>
    <xf numFmtId="43" fontId="7" fillId="16" borderId="0" xfId="1" applyFont="1" applyFill="1" applyAlignment="1">
      <alignment horizontal="right" vertical="center"/>
    </xf>
    <xf numFmtId="164" fontId="7" fillId="16" borderId="14" xfId="1" applyNumberFormat="1" applyFont="1" applyFill="1" applyBorder="1"/>
    <xf numFmtId="4" fontId="4" fillId="16" borderId="0" xfId="0" applyNumberFormat="1" applyFont="1" applyFill="1" applyAlignment="1">
      <alignment horizontal="right" vertical="center"/>
    </xf>
    <xf numFmtId="4" fontId="4" fillId="16" borderId="14" xfId="0" applyNumberFormat="1" applyFont="1" applyFill="1" applyBorder="1"/>
    <xf numFmtId="0" fontId="3" fillId="16" borderId="0" xfId="0" applyFont="1" applyFill="1" applyAlignment="1">
      <alignment horizontal="center" vertical="center"/>
    </xf>
    <xf numFmtId="164" fontId="31" fillId="16" borderId="0" xfId="1" applyNumberFormat="1" applyFont="1" applyFill="1"/>
    <xf numFmtId="164" fontId="3" fillId="16" borderId="14" xfId="0" applyNumberFormat="1" applyFont="1" applyFill="1" applyBorder="1"/>
    <xf numFmtId="0" fontId="4" fillId="16" borderId="0" xfId="0" applyFont="1" applyFill="1" applyAlignment="1">
      <alignment horizontal="center"/>
    </xf>
    <xf numFmtId="4" fontId="0" fillId="16" borderId="0" xfId="1" applyNumberFormat="1" applyFont="1" applyFill="1"/>
    <xf numFmtId="43" fontId="7" fillId="0" borderId="0" xfId="1" applyFont="1"/>
    <xf numFmtId="0" fontId="56" fillId="2" borderId="0" xfId="0" applyFont="1" applyFill="1" applyAlignment="1">
      <alignment horizontal="left" vertical="top"/>
    </xf>
    <xf numFmtId="0" fontId="56" fillId="2" borderId="0" xfId="0" applyFont="1" applyFill="1" applyAlignment="1">
      <alignment horizontal="left" vertical="top" wrapText="1"/>
    </xf>
    <xf numFmtId="0" fontId="56" fillId="2" borderId="0" xfId="0" applyFont="1" applyFill="1" applyAlignment="1">
      <alignment horizontal="center" vertical="top"/>
    </xf>
    <xf numFmtId="4" fontId="56" fillId="2" borderId="0" xfId="0" applyNumberFormat="1" applyFont="1" applyFill="1" applyAlignment="1">
      <alignment horizontal="center" vertical="top"/>
    </xf>
    <xf numFmtId="43" fontId="4" fillId="0" borderId="0" xfId="1" applyFont="1"/>
    <xf numFmtId="4" fontId="32" fillId="16" borderId="0" xfId="4" applyNumberFormat="1" applyFill="1" applyAlignment="1">
      <alignment horizontal="right" vertical="center"/>
    </xf>
    <xf numFmtId="0" fontId="36" fillId="24" borderId="19" xfId="0" applyFont="1" applyFill="1" applyBorder="1" applyAlignment="1" applyProtection="1">
      <alignment vertical="center"/>
      <protection locked="0"/>
    </xf>
    <xf numFmtId="43" fontId="36" fillId="24" borderId="17" xfId="1" applyFont="1" applyFill="1" applyBorder="1" applyAlignment="1" applyProtection="1">
      <alignment vertical="top"/>
      <protection locked="0"/>
    </xf>
    <xf numFmtId="43" fontId="47" fillId="24" borderId="15" xfId="1" applyFont="1" applyFill="1" applyBorder="1" applyAlignment="1" applyProtection="1">
      <alignment vertical="top"/>
      <protection locked="0"/>
    </xf>
    <xf numFmtId="0" fontId="56" fillId="16" borderId="0" xfId="0" applyFont="1" applyFill="1" applyAlignment="1">
      <alignment horizontal="left" vertical="top"/>
    </xf>
    <xf numFmtId="0" fontId="56" fillId="16" borderId="0" xfId="0" applyFont="1" applyFill="1" applyAlignment="1">
      <alignment horizontal="left" vertical="top" wrapText="1"/>
    </xf>
    <xf numFmtId="4" fontId="56" fillId="16" borderId="0" xfId="0" applyNumberFormat="1" applyFont="1" applyFill="1" applyAlignment="1">
      <alignment horizontal="center" vertical="top"/>
    </xf>
    <xf numFmtId="4" fontId="57" fillId="16" borderId="0" xfId="0" applyNumberFormat="1" applyFont="1" applyFill="1" applyAlignment="1" applyProtection="1">
      <alignment horizontal="center" vertical="center"/>
      <protection locked="0"/>
    </xf>
    <xf numFmtId="0" fontId="48" fillId="0" borderId="0" xfId="0" applyFont="1" applyAlignment="1">
      <alignment horizontal="right" vertical="center"/>
    </xf>
    <xf numFmtId="0" fontId="5" fillId="3" borderId="0" xfId="0" applyFont="1" applyFill="1" applyAlignment="1">
      <alignment horizontal="right" vertical="center"/>
    </xf>
    <xf numFmtId="0" fontId="5" fillId="16" borderId="0" xfId="0" applyFont="1" applyFill="1" applyAlignment="1">
      <alignment horizontal="right" vertical="center"/>
    </xf>
    <xf numFmtId="164" fontId="4" fillId="16" borderId="0" xfId="1" applyNumberFormat="1" applyFont="1" applyFill="1" applyAlignment="1">
      <alignment horizontal="right"/>
    </xf>
    <xf numFmtId="0" fontId="3" fillId="16" borderId="0" xfId="0" applyFont="1" applyFill="1" applyAlignment="1">
      <alignment horizontal="right" vertical="center"/>
    </xf>
    <xf numFmtId="164" fontId="31" fillId="16" borderId="0" xfId="1" applyNumberFormat="1" applyFont="1" applyFill="1" applyAlignment="1">
      <alignment horizontal="right"/>
    </xf>
    <xf numFmtId="0" fontId="3" fillId="16" borderId="0" xfId="0" applyFont="1" applyFill="1" applyAlignment="1">
      <alignment horizontal="right"/>
    </xf>
    <xf numFmtId="0" fontId="3" fillId="3" borderId="0" xfId="0" applyFont="1" applyFill="1" applyAlignment="1">
      <alignment horizontal="right" vertical="center"/>
    </xf>
    <xf numFmtId="0" fontId="3" fillId="0" borderId="0" xfId="0" applyFont="1" applyAlignment="1">
      <alignment horizontal="right"/>
    </xf>
    <xf numFmtId="4" fontId="3" fillId="16" borderId="0" xfId="0" applyNumberFormat="1" applyFont="1" applyFill="1" applyAlignment="1">
      <alignment horizontal="right"/>
    </xf>
    <xf numFmtId="164" fontId="7" fillId="16" borderId="0" xfId="1" applyNumberFormat="1" applyFont="1" applyFill="1" applyAlignment="1">
      <alignment horizontal="right"/>
    </xf>
    <xf numFmtId="4" fontId="4" fillId="16" borderId="0" xfId="0" applyNumberFormat="1" applyFont="1" applyFill="1" applyAlignment="1">
      <alignment horizontal="center" vertical="top"/>
    </xf>
    <xf numFmtId="4" fontId="7" fillId="16" borderId="0" xfId="0" applyNumberFormat="1" applyFont="1" applyFill="1" applyAlignment="1">
      <alignment horizontal="center" vertical="top"/>
    </xf>
    <xf numFmtId="0" fontId="7" fillId="16" borderId="0" xfId="0" applyFont="1" applyFill="1" applyAlignment="1" applyProtection="1">
      <alignment vertical="top"/>
      <protection locked="0"/>
    </xf>
    <xf numFmtId="0" fontId="7" fillId="16" borderId="0" xfId="0" applyFont="1" applyFill="1" applyAlignment="1" applyProtection="1">
      <alignment horizontal="left" vertical="top"/>
      <protection locked="0"/>
    </xf>
    <xf numFmtId="43" fontId="7" fillId="16" borderId="0" xfId="1" applyFont="1" applyFill="1" applyAlignment="1" applyProtection="1">
      <alignment horizontal="left" vertical="top"/>
      <protection locked="0"/>
    </xf>
    <xf numFmtId="0" fontId="7" fillId="16" borderId="0" xfId="0" applyFont="1" applyFill="1" applyAlignment="1" applyProtection="1">
      <alignment horizontal="center" vertical="top"/>
      <protection locked="0"/>
    </xf>
    <xf numFmtId="0" fontId="42" fillId="16" borderId="0" xfId="0" applyFont="1" applyFill="1" applyAlignment="1" applyProtection="1">
      <alignment horizontal="center" vertical="center"/>
      <protection locked="0"/>
    </xf>
    <xf numFmtId="0" fontId="42" fillId="16" borderId="0" xfId="0" applyFont="1" applyFill="1" applyAlignment="1" applyProtection="1">
      <alignment horizontal="center" vertical="top"/>
      <protection locked="0"/>
    </xf>
    <xf numFmtId="0" fontId="7" fillId="16" borderId="0" xfId="0" applyFont="1" applyFill="1"/>
    <xf numFmtId="0" fontId="7" fillId="16" borderId="0" xfId="0" applyFont="1" applyFill="1" applyAlignment="1">
      <alignment horizontal="left"/>
    </xf>
    <xf numFmtId="43" fontId="7" fillId="16" borderId="0" xfId="1" applyFont="1" applyFill="1" applyAlignment="1">
      <alignment horizontal="left"/>
    </xf>
    <xf numFmtId="4" fontId="7" fillId="16" borderId="0" xfId="0" applyNumberFormat="1" applyFont="1" applyFill="1" applyAlignment="1">
      <alignment horizontal="center"/>
    </xf>
    <xf numFmtId="4" fontId="42" fillId="16" borderId="0" xfId="0" applyNumberFormat="1" applyFont="1" applyFill="1" applyAlignment="1">
      <alignment horizontal="center" vertical="center"/>
    </xf>
    <xf numFmtId="0" fontId="42" fillId="16" borderId="0" xfId="0" applyFont="1" applyFill="1" applyAlignment="1">
      <alignment horizontal="center"/>
    </xf>
    <xf numFmtId="0" fontId="7" fillId="16" borderId="0" xfId="0" applyFont="1" applyFill="1" applyAlignment="1">
      <alignment horizontal="center"/>
    </xf>
    <xf numFmtId="0" fontId="42" fillId="16" borderId="0" xfId="0" applyFont="1" applyFill="1" applyAlignment="1">
      <alignment horizontal="center" vertical="center"/>
    </xf>
    <xf numFmtId="0" fontId="58" fillId="16" borderId="0" xfId="0" applyFont="1" applyFill="1" applyAlignment="1">
      <alignment horizontal="left"/>
    </xf>
    <xf numFmtId="43" fontId="58" fillId="16" borderId="0" xfId="1" applyFont="1" applyFill="1" applyAlignment="1">
      <alignment horizontal="left"/>
    </xf>
    <xf numFmtId="0" fontId="42" fillId="16" borderId="0" xfId="0" applyFont="1" applyFill="1" applyAlignment="1">
      <alignment horizontal="left" vertical="center"/>
    </xf>
    <xf numFmtId="14" fontId="4" fillId="16" borderId="0" xfId="0" applyNumberFormat="1" applyFont="1" applyFill="1" applyAlignment="1" applyProtection="1">
      <alignment horizontal="center"/>
      <protection locked="0"/>
    </xf>
    <xf numFmtId="0" fontId="4" fillId="16" borderId="0" xfId="0" applyFont="1" applyFill="1" applyAlignment="1" applyProtection="1">
      <alignment horizontal="center" vertical="top"/>
      <protection locked="0"/>
    </xf>
    <xf numFmtId="0" fontId="4" fillId="16" borderId="0" xfId="0" applyFont="1" applyFill="1" applyAlignment="1" applyProtection="1">
      <alignment vertical="top"/>
      <protection locked="0"/>
    </xf>
    <xf numFmtId="0" fontId="4" fillId="16" borderId="0" xfId="0" applyFont="1" applyFill="1"/>
    <xf numFmtId="0" fontId="4" fillId="16" borderId="0" xfId="0" applyFont="1" applyFill="1" applyAlignment="1" applyProtection="1">
      <alignment horizontal="left"/>
      <protection locked="0"/>
    </xf>
    <xf numFmtId="43" fontId="4" fillId="16" borderId="0" xfId="0" applyNumberFormat="1" applyFont="1" applyFill="1" applyAlignment="1">
      <alignment horizontal="center"/>
    </xf>
    <xf numFmtId="43" fontId="4" fillId="16" borderId="0" xfId="0" applyNumberFormat="1" applyFont="1" applyFill="1" applyAlignment="1" applyProtection="1">
      <alignment horizontal="center"/>
      <protection locked="0"/>
    </xf>
    <xf numFmtId="0" fontId="4" fillId="16" borderId="0" xfId="0" applyFont="1" applyFill="1" applyAlignment="1">
      <alignment horizontal="left" vertical="top"/>
    </xf>
    <xf numFmtId="43" fontId="4" fillId="16" borderId="0" xfId="1" applyFont="1" applyFill="1" applyAlignment="1">
      <alignment horizontal="left" vertical="top" wrapText="1"/>
    </xf>
    <xf numFmtId="0" fontId="7" fillId="16" borderId="0" xfId="0" applyFont="1" applyFill="1" applyAlignment="1">
      <alignment horizontal="left" vertical="top"/>
    </xf>
    <xf numFmtId="43" fontId="42" fillId="16" borderId="0" xfId="0" applyNumberFormat="1" applyFont="1" applyFill="1" applyAlignment="1" applyProtection="1">
      <alignment horizontal="center" vertical="center"/>
      <protection locked="0"/>
    </xf>
    <xf numFmtId="4" fontId="7" fillId="16" borderId="0" xfId="0" applyNumberFormat="1" applyFont="1" applyFill="1" applyAlignment="1" applyProtection="1">
      <alignment vertical="top"/>
      <protection locked="0"/>
    </xf>
    <xf numFmtId="4" fontId="42" fillId="16" borderId="0" xfId="0" applyNumberFormat="1" applyFont="1" applyFill="1" applyAlignment="1" applyProtection="1">
      <alignment horizontal="center" vertical="center"/>
      <protection locked="0"/>
    </xf>
    <xf numFmtId="0" fontId="4" fillId="16" borderId="0" xfId="0" applyFont="1" applyFill="1" applyAlignment="1" applyProtection="1">
      <alignment horizontal="center" vertical="center"/>
      <protection locked="0"/>
    </xf>
    <xf numFmtId="0" fontId="7" fillId="16" borderId="0" xfId="0" applyFont="1" applyFill="1" applyProtection="1">
      <protection locked="0"/>
    </xf>
    <xf numFmtId="0" fontId="7" fillId="16" borderId="0" xfId="0" applyFont="1" applyFill="1" applyAlignment="1" applyProtection="1">
      <alignment horizontal="left"/>
      <protection locked="0"/>
    </xf>
    <xf numFmtId="0" fontId="4" fillId="16" borderId="0" xfId="0" applyFont="1" applyFill="1" applyProtection="1">
      <protection locked="0"/>
    </xf>
    <xf numFmtId="43" fontId="23" fillId="16" borderId="0" xfId="0" applyNumberFormat="1" applyFont="1" applyFill="1" applyAlignment="1" applyProtection="1">
      <alignment horizontal="center"/>
      <protection locked="0"/>
    </xf>
    <xf numFmtId="4" fontId="23" fillId="16" borderId="0" xfId="0" applyNumberFormat="1" applyFont="1" applyFill="1" applyAlignment="1">
      <alignment horizontal="center" vertical="top"/>
    </xf>
    <xf numFmtId="4" fontId="31" fillId="16" borderId="0" xfId="0" applyNumberFormat="1" applyFont="1" applyFill="1" applyAlignment="1">
      <alignment horizontal="center" vertical="top"/>
    </xf>
    <xf numFmtId="4" fontId="60" fillId="16" borderId="0" xfId="0" applyNumberFormat="1" applyFont="1" applyFill="1" applyAlignment="1">
      <alignment horizontal="center" vertical="top"/>
    </xf>
    <xf numFmtId="4" fontId="59" fillId="16" borderId="0" xfId="0" applyNumberFormat="1" applyFont="1" applyFill="1" applyAlignment="1">
      <alignment horizontal="center" vertical="top"/>
    </xf>
    <xf numFmtId="43" fontId="14" fillId="16" borderId="0" xfId="1" applyFont="1" applyFill="1" applyAlignment="1">
      <alignment horizontal="left" vertical="top" wrapText="1"/>
    </xf>
    <xf numFmtId="0" fontId="14" fillId="16" borderId="0" xfId="0" applyFont="1" applyFill="1" applyAlignment="1">
      <alignment horizontal="left" vertical="top"/>
    </xf>
    <xf numFmtId="0" fontId="14" fillId="16" borderId="0" xfId="0" applyFont="1" applyFill="1" applyAlignment="1">
      <alignment horizontal="left" vertical="top" wrapText="1"/>
    </xf>
    <xf numFmtId="43" fontId="14" fillId="16" borderId="0" xfId="1" applyFont="1" applyFill="1" applyAlignment="1">
      <alignment horizontal="center" vertical="top"/>
    </xf>
    <xf numFmtId="4" fontId="14" fillId="16" borderId="0" xfId="0" applyNumberFormat="1" applyFont="1" applyFill="1" applyAlignment="1">
      <alignment horizontal="center" vertical="top"/>
    </xf>
    <xf numFmtId="0" fontId="13" fillId="16" borderId="0" xfId="0" applyFont="1" applyFill="1" applyAlignment="1">
      <alignment horizontal="left" vertical="top"/>
    </xf>
    <xf numFmtId="0" fontId="13" fillId="16" borderId="0" xfId="0" applyFont="1" applyFill="1" applyAlignment="1">
      <alignment horizontal="left" vertical="top" wrapText="1"/>
    </xf>
    <xf numFmtId="4" fontId="13" fillId="16" borderId="0" xfId="0" applyNumberFormat="1" applyFont="1" applyFill="1" applyAlignment="1">
      <alignment horizontal="center" vertical="top"/>
    </xf>
    <xf numFmtId="4" fontId="62" fillId="16" borderId="0" xfId="0" applyNumberFormat="1" applyFont="1" applyFill="1" applyAlignment="1">
      <alignment horizontal="center" vertical="top"/>
    </xf>
    <xf numFmtId="0" fontId="7" fillId="25" borderId="0" xfId="0" applyFont="1" applyFill="1" applyAlignment="1">
      <alignment horizontal="left" vertical="top"/>
    </xf>
    <xf numFmtId="0" fontId="7" fillId="25" borderId="0" xfId="0" applyFont="1" applyFill="1" applyAlignment="1">
      <alignment horizontal="left" vertical="top" wrapText="1"/>
    </xf>
    <xf numFmtId="43" fontId="4" fillId="25" borderId="0" xfId="1" applyFont="1" applyFill="1" applyAlignment="1">
      <alignment horizontal="left" vertical="top" wrapText="1"/>
    </xf>
    <xf numFmtId="43" fontId="7" fillId="25" borderId="0" xfId="1" applyFont="1" applyFill="1" applyAlignment="1">
      <alignment horizontal="center" vertical="top"/>
    </xf>
    <xf numFmtId="4" fontId="7" fillId="25" borderId="0" xfId="0" applyNumberFormat="1" applyFont="1" applyFill="1" applyAlignment="1">
      <alignment horizontal="center" vertical="top"/>
    </xf>
    <xf numFmtId="4" fontId="59" fillId="25" borderId="0" xfId="0" applyNumberFormat="1" applyFont="1" applyFill="1" applyAlignment="1">
      <alignment horizontal="center" vertical="top"/>
    </xf>
    <xf numFmtId="4" fontId="60" fillId="25" borderId="0" xfId="0" applyNumberFormat="1" applyFont="1" applyFill="1" applyAlignment="1">
      <alignment horizontal="center" vertical="top"/>
    </xf>
    <xf numFmtId="4" fontId="4" fillId="25" borderId="0" xfId="0" applyNumberFormat="1" applyFont="1" applyFill="1" applyAlignment="1">
      <alignment horizontal="center" vertical="top"/>
    </xf>
    <xf numFmtId="43" fontId="7" fillId="16" borderId="0" xfId="1" applyFont="1" applyFill="1" applyAlignment="1">
      <alignment horizontal="left" vertical="top" wrapText="1"/>
    </xf>
    <xf numFmtId="43" fontId="7" fillId="25" borderId="0" xfId="1" applyFont="1" applyFill="1" applyAlignment="1">
      <alignment horizontal="left" vertical="top" wrapText="1"/>
    </xf>
    <xf numFmtId="0" fontId="7" fillId="25" borderId="0" xfId="0" applyFont="1" applyFill="1" applyAlignment="1" applyProtection="1">
      <alignment vertical="top"/>
      <protection locked="0"/>
    </xf>
    <xf numFmtId="0" fontId="7" fillId="25" borderId="0" xfId="0" applyFont="1" applyFill="1" applyProtection="1">
      <protection locked="0"/>
    </xf>
    <xf numFmtId="0" fontId="7" fillId="25" borderId="0" xfId="0" applyFont="1" applyFill="1" applyAlignment="1" applyProtection="1">
      <alignment horizontal="left"/>
      <protection locked="0"/>
    </xf>
    <xf numFmtId="0" fontId="13" fillId="25" borderId="0" xfId="0" applyFont="1" applyFill="1" applyAlignment="1">
      <alignment horizontal="left" vertical="top"/>
    </xf>
    <xf numFmtId="0" fontId="13" fillId="25" borderId="0" xfId="0" applyFont="1" applyFill="1" applyAlignment="1">
      <alignment horizontal="left" vertical="top" wrapText="1"/>
    </xf>
    <xf numFmtId="43" fontId="14" fillId="25" borderId="0" xfId="1" applyFont="1" applyFill="1" applyAlignment="1">
      <alignment horizontal="left" vertical="top" wrapText="1"/>
    </xf>
    <xf numFmtId="4" fontId="62" fillId="25" borderId="0" xfId="0" applyNumberFormat="1" applyFont="1" applyFill="1" applyAlignment="1">
      <alignment horizontal="center" vertical="top"/>
    </xf>
    <xf numFmtId="4" fontId="13" fillId="25" borderId="0" xfId="0" applyNumberFormat="1" applyFont="1" applyFill="1" applyAlignment="1">
      <alignment horizontal="center" vertical="top"/>
    </xf>
    <xf numFmtId="4" fontId="7" fillId="16" borderId="0" xfId="0" applyNumberFormat="1" applyFont="1" applyFill="1" applyAlignment="1" applyProtection="1">
      <alignment horizontal="center" vertical="top"/>
      <protection locked="0"/>
    </xf>
    <xf numFmtId="14" fontId="60" fillId="25" borderId="0" xfId="1" applyNumberFormat="1" applyFont="1" applyFill="1" applyAlignment="1">
      <alignment horizontal="center" vertical="top"/>
    </xf>
    <xf numFmtId="43" fontId="60" fillId="25" borderId="0" xfId="1" applyFont="1" applyFill="1" applyAlignment="1">
      <alignment horizontal="center" vertical="top"/>
    </xf>
    <xf numFmtId="14" fontId="60" fillId="25" borderId="0" xfId="0" applyNumberFormat="1" applyFont="1" applyFill="1" applyAlignment="1">
      <alignment horizontal="center" vertical="top"/>
    </xf>
    <xf numFmtId="14" fontId="60" fillId="16" borderId="0" xfId="1" applyNumberFormat="1" applyFont="1" applyFill="1" applyAlignment="1">
      <alignment horizontal="center" vertical="top"/>
    </xf>
    <xf numFmtId="0" fontId="7" fillId="25" borderId="0" xfId="0" applyFont="1" applyFill="1" applyAlignment="1" applyProtection="1">
      <alignment horizontal="center" vertical="top"/>
      <protection locked="0"/>
    </xf>
    <xf numFmtId="14" fontId="61" fillId="25" borderId="0" xfId="1" applyNumberFormat="1" applyFont="1" applyFill="1" applyAlignment="1">
      <alignment horizontal="center" vertical="top"/>
    </xf>
    <xf numFmtId="43" fontId="7" fillId="16" borderId="0" xfId="0" applyNumberFormat="1" applyFont="1" applyFill="1" applyAlignment="1" applyProtection="1">
      <alignment horizontal="center" vertical="top"/>
      <protection locked="0"/>
    </xf>
    <xf numFmtId="0" fontId="2" fillId="16" borderId="0" xfId="0" applyFont="1" applyFill="1" applyAlignment="1" applyProtection="1">
      <alignment horizontal="center" vertical="top"/>
      <protection locked="0"/>
    </xf>
    <xf numFmtId="4" fontId="48" fillId="16" borderId="0" xfId="0" applyNumberFormat="1" applyFont="1" applyFill="1" applyAlignment="1">
      <alignment horizontal="center" vertical="top"/>
    </xf>
    <xf numFmtId="14" fontId="60" fillId="16" borderId="0" xfId="0" applyNumberFormat="1" applyFont="1" applyFill="1" applyAlignment="1">
      <alignment horizontal="center" vertical="top"/>
    </xf>
    <xf numFmtId="43" fontId="60" fillId="16" borderId="0" xfId="1" applyFont="1" applyFill="1" applyAlignment="1">
      <alignment horizontal="center" vertical="top"/>
    </xf>
    <xf numFmtId="4" fontId="4" fillId="16" borderId="0" xfId="0" applyNumberFormat="1" applyFont="1" applyFill="1" applyAlignment="1" applyProtection="1">
      <alignment vertical="top"/>
      <protection locked="0"/>
    </xf>
    <xf numFmtId="14" fontId="61" fillId="16" borderId="0" xfId="1" applyNumberFormat="1" applyFont="1" applyFill="1" applyAlignment="1">
      <alignment horizontal="center" vertical="top"/>
    </xf>
    <xf numFmtId="4" fontId="4" fillId="16" borderId="0" xfId="0" applyNumberFormat="1" applyFont="1" applyFill="1" applyAlignment="1" applyProtection="1">
      <alignment horizontal="center" vertical="top"/>
      <protection locked="0"/>
    </xf>
    <xf numFmtId="0" fontId="46" fillId="16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5" fillId="3" borderId="0" xfId="0" applyFont="1" applyFill="1" applyAlignment="1">
      <alignment horizontal="right" vertical="center" wrapText="1"/>
    </xf>
    <xf numFmtId="0" fontId="58" fillId="16" borderId="0" xfId="0" applyFont="1" applyFill="1" applyAlignment="1" applyProtection="1">
      <alignment horizontal="center" vertical="center"/>
      <protection locked="0"/>
    </xf>
    <xf numFmtId="164" fontId="4" fillId="0" borderId="0" xfId="1" applyNumberFormat="1" applyFont="1" applyFill="1" applyBorder="1"/>
    <xf numFmtId="164" fontId="4" fillId="0" borderId="0" xfId="1" applyNumberFormat="1" applyFont="1" applyFill="1" applyBorder="1" applyAlignment="1">
      <alignment horizontal="right"/>
    </xf>
    <xf numFmtId="164" fontId="7" fillId="0" borderId="0" xfId="1" applyNumberFormat="1" applyFont="1" applyFill="1" applyBorder="1"/>
    <xf numFmtId="164" fontId="7" fillId="0" borderId="0" xfId="1" applyNumberFormat="1" applyFont="1" applyFill="1" applyBorder="1" applyAlignment="1">
      <alignment horizontal="right"/>
    </xf>
    <xf numFmtId="0" fontId="4" fillId="26" borderId="0" xfId="0" applyFont="1" applyFill="1"/>
    <xf numFmtId="0" fontId="4" fillId="26" borderId="0" xfId="0" applyFont="1" applyFill="1" applyAlignment="1">
      <alignment horizontal="center"/>
    </xf>
    <xf numFmtId="43" fontId="3" fillId="26" borderId="0" xfId="1" applyFont="1" applyFill="1"/>
    <xf numFmtId="0" fontId="3" fillId="26" borderId="0" xfId="0" applyFont="1" applyFill="1"/>
    <xf numFmtId="4" fontId="3" fillId="26" borderId="0" xfId="0" applyNumberFormat="1" applyFont="1" applyFill="1"/>
    <xf numFmtId="0" fontId="5" fillId="26" borderId="0" xfId="0" applyFont="1" applyFill="1" applyAlignment="1">
      <alignment horizontal="center" vertical="center"/>
    </xf>
    <xf numFmtId="0" fontId="3" fillId="26" borderId="0" xfId="0" applyFont="1" applyFill="1" applyAlignment="1">
      <alignment vertical="center"/>
    </xf>
    <xf numFmtId="0" fontId="3" fillId="26" borderId="0" xfId="0" applyFont="1" applyFill="1" applyAlignment="1">
      <alignment horizontal="center" vertical="center"/>
    </xf>
    <xf numFmtId="4" fontId="23" fillId="16" borderId="0" xfId="0" applyNumberFormat="1" applyFont="1" applyFill="1" applyAlignment="1">
      <alignment horizontal="right" vertical="center"/>
    </xf>
    <xf numFmtId="4" fontId="31" fillId="0" borderId="0" xfId="0" applyNumberFormat="1" applyFont="1" applyAlignment="1">
      <alignment horizontal="right" vertical="center"/>
    </xf>
    <xf numFmtId="43" fontId="31" fillId="16" borderId="0" xfId="1" applyFont="1" applyFill="1"/>
    <xf numFmtId="4" fontId="31" fillId="16" borderId="0" xfId="0" applyNumberFormat="1" applyFont="1" applyFill="1" applyAlignment="1">
      <alignment horizontal="right" vertical="center"/>
    </xf>
    <xf numFmtId="0" fontId="31" fillId="16" borderId="0" xfId="0" applyFont="1" applyFill="1"/>
    <xf numFmtId="4" fontId="31" fillId="16" borderId="0" xfId="0" applyNumberFormat="1" applyFont="1" applyFill="1"/>
    <xf numFmtId="0" fontId="23" fillId="3" borderId="0" xfId="0" applyFont="1" applyFill="1" applyAlignment="1">
      <alignment horizontal="center" vertical="center"/>
    </xf>
    <xf numFmtId="0" fontId="31" fillId="3" borderId="0" xfId="0" applyFont="1" applyFill="1" applyAlignment="1">
      <alignment vertical="center"/>
    </xf>
    <xf numFmtId="0" fontId="31" fillId="3" borderId="0" xfId="0" applyFont="1" applyFill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/>
    <xf numFmtId="0" fontId="65" fillId="0" borderId="0" xfId="0" applyFont="1"/>
    <xf numFmtId="0" fontId="65" fillId="0" borderId="0" xfId="0" applyFont="1" applyAlignment="1">
      <alignment horizontal="center" vertical="center"/>
    </xf>
    <xf numFmtId="4" fontId="28" fillId="17" borderId="0" xfId="0" applyNumberFormat="1" applyFont="1" applyFill="1" applyAlignment="1">
      <alignment horizontal="center" vertical="top"/>
    </xf>
    <xf numFmtId="43" fontId="0" fillId="0" borderId="0" xfId="1" applyFont="1" applyAlignment="1">
      <alignment horizontal="center"/>
    </xf>
    <xf numFmtId="0" fontId="2" fillId="0" borderId="0" xfId="0" applyFont="1" applyAlignment="1">
      <alignment horizontal="center" vertical="center"/>
    </xf>
    <xf numFmtId="43" fontId="2" fillId="0" borderId="0" xfId="1" applyFont="1" applyAlignment="1">
      <alignment horizontal="center" vertical="center"/>
    </xf>
    <xf numFmtId="4" fontId="66" fillId="16" borderId="0" xfId="0" applyNumberFormat="1" applyFont="1" applyFill="1" applyAlignment="1">
      <alignment horizontal="right" vertical="center"/>
    </xf>
    <xf numFmtId="43" fontId="2" fillId="0" borderId="10" xfId="1" applyFont="1" applyBorder="1" applyAlignment="1">
      <alignment horizontal="right"/>
    </xf>
    <xf numFmtId="43" fontId="2" fillId="0" borderId="0" xfId="1" applyFont="1" applyBorder="1" applyAlignment="1">
      <alignment horizontal="right"/>
    </xf>
    <xf numFmtId="43" fontId="4" fillId="0" borderId="0" xfId="1" applyFont="1" applyBorder="1"/>
    <xf numFmtId="43" fontId="0" fillId="27" borderId="0" xfId="1" applyFont="1" applyFill="1" applyAlignment="1">
      <alignment horizontal="center"/>
    </xf>
    <xf numFmtId="43" fontId="0" fillId="27" borderId="0" xfId="1" applyFont="1" applyFill="1"/>
    <xf numFmtId="43" fontId="1" fillId="27" borderId="0" xfId="1" applyFont="1" applyFill="1" applyBorder="1" applyAlignment="1">
      <alignment horizontal="right"/>
    </xf>
    <xf numFmtId="4" fontId="2" fillId="27" borderId="0" xfId="0" applyNumberFormat="1" applyFont="1" applyFill="1" applyAlignment="1">
      <alignment horizontal="center" vertical="top"/>
    </xf>
    <xf numFmtId="0" fontId="52" fillId="0" borderId="0" xfId="0" applyFont="1"/>
    <xf numFmtId="0" fontId="52" fillId="0" borderId="0" xfId="0" applyFont="1" applyAlignment="1">
      <alignment vertical="center" wrapText="1"/>
    </xf>
    <xf numFmtId="164" fontId="32" fillId="16" borderId="0" xfId="4" applyNumberFormat="1" applyFill="1" applyAlignment="1">
      <alignment horizontal="right"/>
    </xf>
    <xf numFmtId="164" fontId="7" fillId="16" borderId="0" xfId="4" applyNumberFormat="1" applyFont="1" applyFill="1" applyAlignment="1">
      <alignment horizontal="right"/>
    </xf>
    <xf numFmtId="4" fontId="28" fillId="28" borderId="0" xfId="0" applyNumberFormat="1" applyFont="1" applyFill="1" applyAlignment="1">
      <alignment horizontal="center" vertical="top"/>
    </xf>
    <xf numFmtId="0" fontId="41" fillId="28" borderId="0" xfId="0" applyFont="1" applyFill="1" applyAlignment="1" applyProtection="1">
      <alignment horizontal="center" vertical="center"/>
      <protection locked="0"/>
    </xf>
    <xf numFmtId="0" fontId="64" fillId="3" borderId="0" xfId="0" applyFont="1" applyFill="1" applyAlignment="1">
      <alignment horizontal="center" vertical="center"/>
    </xf>
    <xf numFmtId="0" fontId="31" fillId="16" borderId="0" xfId="0" applyFont="1" applyFill="1" applyAlignment="1">
      <alignment vertical="center"/>
    </xf>
    <xf numFmtId="43" fontId="31" fillId="16" borderId="0" xfId="1" applyFont="1" applyFill="1" applyAlignment="1">
      <alignment horizontal="right" vertical="center"/>
    </xf>
    <xf numFmtId="0" fontId="67" fillId="16" borderId="0" xfId="0" applyFont="1" applyFill="1" applyAlignment="1">
      <alignment vertical="center"/>
    </xf>
    <xf numFmtId="0" fontId="68" fillId="16" borderId="0" xfId="0" applyFont="1" applyFill="1" applyAlignment="1">
      <alignment horizontal="center" vertical="center"/>
    </xf>
    <xf numFmtId="43" fontId="68" fillId="16" borderId="0" xfId="1" applyFont="1" applyFill="1" applyAlignment="1">
      <alignment horizontal="right" vertical="center"/>
    </xf>
    <xf numFmtId="43" fontId="67" fillId="16" borderId="0" xfId="1" applyFont="1" applyFill="1" applyAlignment="1">
      <alignment horizontal="right" vertical="center"/>
    </xf>
    <xf numFmtId="4" fontId="3" fillId="15" borderId="0" xfId="0" applyNumberFormat="1" applyFont="1" applyFill="1"/>
    <xf numFmtId="4" fontId="4" fillId="0" borderId="0" xfId="0" applyNumberFormat="1" applyFont="1"/>
    <xf numFmtId="4" fontId="4" fillId="0" borderId="0" xfId="0" applyNumberFormat="1" applyFont="1" applyAlignment="1">
      <alignment horizontal="right" vertical="center"/>
    </xf>
    <xf numFmtId="164" fontId="1" fillId="16" borderId="0" xfId="1" applyNumberFormat="1" applyFont="1" applyFill="1" applyAlignment="1">
      <alignment horizontal="right"/>
    </xf>
    <xf numFmtId="0" fontId="4" fillId="16" borderId="0" xfId="0" applyFont="1" applyFill="1" applyAlignment="1">
      <alignment horizontal="center" vertical="center"/>
    </xf>
    <xf numFmtId="0" fontId="31" fillId="7" borderId="0" xfId="0" applyFont="1" applyFill="1"/>
    <xf numFmtId="0" fontId="9" fillId="3" borderId="0" xfId="0" applyFont="1" applyFill="1" applyAlignment="1">
      <alignment vertical="center" wrapText="1"/>
    </xf>
    <xf numFmtId="4" fontId="41" fillId="0" borderId="0" xfId="0" applyNumberFormat="1" applyFont="1" applyAlignment="1" applyProtection="1">
      <alignment horizontal="center" vertical="center"/>
      <protection locked="0"/>
    </xf>
    <xf numFmtId="164" fontId="23" fillId="16" borderId="0" xfId="1" applyNumberFormat="1" applyFont="1" applyFill="1" applyAlignment="1">
      <alignment horizontal="right"/>
    </xf>
    <xf numFmtId="164" fontId="31" fillId="0" borderId="0" xfId="1" applyNumberFormat="1" applyFont="1"/>
    <xf numFmtId="164" fontId="23" fillId="0" borderId="0" xfId="1" applyNumberFormat="1" applyFont="1" applyAlignment="1">
      <alignment horizontal="right"/>
    </xf>
    <xf numFmtId="164" fontId="54" fillId="0" borderId="0" xfId="0" applyNumberFormat="1" applyFont="1" applyAlignment="1">
      <alignment horizontal="right" vertical="center"/>
    </xf>
    <xf numFmtId="164" fontId="52" fillId="0" borderId="0" xfId="0" applyNumberFormat="1" applyFont="1" applyAlignment="1">
      <alignment vertical="center"/>
    </xf>
    <xf numFmtId="164" fontId="53" fillId="0" borderId="0" xfId="0" applyNumberFormat="1" applyFont="1"/>
    <xf numFmtId="164" fontId="51" fillId="0" borderId="10" xfId="0" applyNumberFormat="1" applyFont="1" applyBorder="1" applyAlignment="1">
      <alignment horizontal="center" vertical="center"/>
    </xf>
    <xf numFmtId="164" fontId="51" fillId="0" borderId="0" xfId="0" applyNumberFormat="1" applyFont="1" applyAlignment="1">
      <alignment vertical="center"/>
    </xf>
    <xf numFmtId="0" fontId="4" fillId="16" borderId="0" xfId="0" applyFont="1" applyFill="1" applyAlignment="1">
      <alignment vertical="center"/>
    </xf>
    <xf numFmtId="0" fontId="23" fillId="16" borderId="0" xfId="0" applyFont="1" applyFill="1" applyAlignment="1">
      <alignment vertical="center"/>
    </xf>
    <xf numFmtId="164" fontId="0" fillId="16" borderId="0" xfId="1" applyNumberFormat="1" applyFont="1" applyFill="1"/>
    <xf numFmtId="0" fontId="32" fillId="3" borderId="0" xfId="0" applyFont="1" applyFill="1" applyAlignment="1">
      <alignment vertical="center"/>
    </xf>
    <xf numFmtId="0" fontId="64" fillId="0" borderId="0" xfId="0" applyFont="1" applyAlignment="1">
      <alignment vertical="center" wrapText="1"/>
    </xf>
    <xf numFmtId="0" fontId="32" fillId="3" borderId="0" xfId="0" applyFont="1" applyFill="1" applyAlignment="1">
      <alignment horizontal="center" vertical="center"/>
    </xf>
    <xf numFmtId="4" fontId="3" fillId="3" borderId="0" xfId="1" applyNumberFormat="1" applyFont="1" applyFill="1" applyAlignment="1">
      <alignment vertical="center"/>
    </xf>
    <xf numFmtId="0" fontId="32" fillId="16" borderId="0" xfId="0" applyFont="1" applyFill="1" applyAlignment="1">
      <alignment vertical="center"/>
    </xf>
    <xf numFmtId="4" fontId="3" fillId="16" borderId="0" xfId="1" applyNumberFormat="1" applyFont="1" applyFill="1" applyBorder="1" applyAlignment="1">
      <alignment horizontal="center" vertical="center"/>
    </xf>
    <xf numFmtId="1" fontId="5" fillId="16" borderId="0" xfId="1" applyNumberFormat="1" applyFont="1" applyFill="1" applyBorder="1" applyAlignment="1">
      <alignment horizontal="right" vertical="center"/>
    </xf>
    <xf numFmtId="0" fontId="64" fillId="16" borderId="0" xfId="0" applyFont="1" applyFill="1" applyAlignment="1">
      <alignment vertical="center" wrapText="1"/>
    </xf>
    <xf numFmtId="0" fontId="7" fillId="16" borderId="0" xfId="0" applyFont="1" applyFill="1" applyAlignment="1">
      <alignment vertical="center"/>
    </xf>
    <xf numFmtId="0" fontId="64" fillId="16" borderId="0" xfId="0" applyFont="1" applyFill="1"/>
    <xf numFmtId="4" fontId="64" fillId="16" borderId="0" xfId="0" applyNumberFormat="1" applyFont="1" applyFill="1"/>
    <xf numFmtId="4" fontId="7" fillId="16" borderId="0" xfId="0" applyNumberFormat="1" applyFont="1" applyFill="1"/>
    <xf numFmtId="4" fontId="4" fillId="16" borderId="0" xfId="0" applyNumberFormat="1" applyFont="1" applyFill="1" applyAlignment="1">
      <alignment vertical="center"/>
    </xf>
    <xf numFmtId="0" fontId="31" fillId="16" borderId="0" xfId="0" applyFont="1" applyFill="1" applyAlignment="1">
      <alignment horizontal="center" vertical="center"/>
    </xf>
    <xf numFmtId="4" fontId="3" fillId="16" borderId="0" xfId="0" applyNumberFormat="1" applyFont="1" applyFill="1" applyAlignment="1">
      <alignment vertical="center"/>
    </xf>
    <xf numFmtId="0" fontId="2" fillId="16" borderId="0" xfId="0" applyFont="1" applyFill="1" applyAlignment="1">
      <alignment vertical="center"/>
    </xf>
    <xf numFmtId="0" fontId="0" fillId="16" borderId="0" xfId="0" applyFill="1" applyAlignment="1">
      <alignment horizontal="center" vertical="center"/>
    </xf>
    <xf numFmtId="0" fontId="0" fillId="16" borderId="0" xfId="0" applyFill="1" applyAlignment="1">
      <alignment vertical="center"/>
    </xf>
    <xf numFmtId="4" fontId="3" fillId="3" borderId="0" xfId="1" applyNumberFormat="1" applyFont="1" applyFill="1" applyAlignment="1">
      <alignment horizontal="center" vertical="center"/>
    </xf>
    <xf numFmtId="1" fontId="5" fillId="3" borderId="0" xfId="1" applyNumberFormat="1" applyFont="1" applyFill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64" fillId="3" borderId="0" xfId="0" applyFont="1" applyFill="1"/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70" fillId="0" borderId="0" xfId="0" applyFont="1" applyAlignment="1">
      <alignment vertical="center"/>
    </xf>
    <xf numFmtId="0" fontId="6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3" fillId="16" borderId="0" xfId="0" applyFont="1" applyFill="1" applyAlignment="1">
      <alignment horizontal="center" vertical="center"/>
    </xf>
    <xf numFmtId="0" fontId="7" fillId="16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/>
    <xf numFmtId="0" fontId="5" fillId="0" borderId="0" xfId="0" applyFont="1" applyAlignment="1">
      <alignment horizontal="center" vertical="center"/>
    </xf>
    <xf numFmtId="4" fontId="5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1" fillId="0" borderId="0" xfId="0" applyFont="1" applyAlignment="1">
      <alignment vertical="center"/>
    </xf>
    <xf numFmtId="0" fontId="32" fillId="0" borderId="14" xfId="4" applyFill="1" applyBorder="1" applyAlignment="1">
      <alignment horizontal="center"/>
    </xf>
    <xf numFmtId="0" fontId="32" fillId="0" borderId="0" xfId="4" applyFill="1" applyBorder="1" applyAlignment="1">
      <alignment horizontal="center"/>
    </xf>
    <xf numFmtId="4" fontId="3" fillId="0" borderId="14" xfId="0" applyNumberFormat="1" applyFont="1" applyBorder="1" applyAlignment="1">
      <alignment horizontal="left" vertical="center"/>
    </xf>
    <xf numFmtId="0" fontId="8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164" fontId="33" fillId="3" borderId="9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2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2" fillId="19" borderId="18" xfId="0" applyFont="1" applyFill="1" applyBorder="1" applyAlignment="1" applyProtection="1">
      <alignment horizontal="center" vertical="center" wrapText="1"/>
      <protection locked="0"/>
    </xf>
    <xf numFmtId="0" fontId="42" fillId="19" borderId="21" xfId="0" applyFont="1" applyFill="1" applyBorder="1" applyAlignment="1" applyProtection="1">
      <alignment horizontal="center" vertical="center" wrapText="1"/>
      <protection locked="0"/>
    </xf>
    <xf numFmtId="0" fontId="42" fillId="19" borderId="19" xfId="0" applyFont="1" applyFill="1" applyBorder="1" applyAlignment="1" applyProtection="1">
      <alignment horizontal="center" vertical="center" wrapText="1"/>
      <protection locked="0"/>
    </xf>
    <xf numFmtId="0" fontId="5" fillId="16" borderId="0" xfId="0" applyFont="1" applyFill="1" applyAlignment="1">
      <alignment horizontal="center" vertical="center"/>
    </xf>
    <xf numFmtId="4" fontId="5" fillId="16" borderId="0" xfId="0" applyNumberFormat="1" applyFont="1" applyFill="1" applyAlignment="1">
      <alignment horizontal="right" vertical="center"/>
    </xf>
    <xf numFmtId="4" fontId="3" fillId="16" borderId="14" xfId="0" applyNumberFormat="1" applyFont="1" applyFill="1" applyBorder="1" applyAlignment="1">
      <alignment horizontal="left" vertical="center"/>
    </xf>
    <xf numFmtId="0" fontId="5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3" fillId="3" borderId="0" xfId="0" applyFont="1" applyFill="1"/>
    <xf numFmtId="0" fontId="5" fillId="3" borderId="0" xfId="0" applyFont="1" applyFill="1" applyAlignment="1">
      <alignment horizontal="center" vertical="center"/>
    </xf>
    <xf numFmtId="4" fontId="4" fillId="0" borderId="0" xfId="0" applyNumberFormat="1" applyFont="1" applyAlignment="1">
      <alignment horizontal="right" vertical="center"/>
    </xf>
    <xf numFmtId="4" fontId="5" fillId="3" borderId="0" xfId="0" applyNumberFormat="1" applyFont="1" applyFill="1" applyAlignment="1">
      <alignment horizontal="right" vertical="center"/>
    </xf>
    <xf numFmtId="0" fontId="3" fillId="3" borderId="0" xfId="0" applyFont="1" applyFill="1" applyAlignment="1">
      <alignment horizontal="left" vertical="center"/>
    </xf>
    <xf numFmtId="0" fontId="48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4" fillId="0" borderId="0" xfId="0" applyFont="1"/>
    <xf numFmtId="0" fontId="32" fillId="3" borderId="0" xfId="0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32" fillId="3" borderId="0" xfId="0" applyFont="1" applyFill="1" applyAlignment="1">
      <alignment horizontal="center" vertical="center"/>
    </xf>
    <xf numFmtId="0" fontId="64" fillId="3" borderId="0" xfId="0" applyFont="1" applyFill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24" fillId="0" borderId="0" xfId="0" applyFont="1" applyAlignment="1">
      <alignment horizontal="center"/>
    </xf>
    <xf numFmtId="164" fontId="72" fillId="0" borderId="10" xfId="0" applyNumberFormat="1" applyFont="1" applyBorder="1" applyAlignment="1">
      <alignment horizontal="center" vertical="center"/>
    </xf>
    <xf numFmtId="164" fontId="74" fillId="0" borderId="0" xfId="0" applyNumberFormat="1" applyFont="1" applyAlignment="1">
      <alignment horizontal="right" vertical="center"/>
    </xf>
    <xf numFmtId="43" fontId="7" fillId="0" borderId="0" xfId="1" applyFont="1" applyAlignment="1" applyProtection="1">
      <alignment vertical="top"/>
      <protection locked="0"/>
    </xf>
    <xf numFmtId="43" fontId="36" fillId="24" borderId="22" xfId="1" applyFont="1" applyFill="1" applyBorder="1" applyAlignment="1" applyProtection="1">
      <alignment horizontal="center" vertical="center"/>
      <protection locked="0"/>
    </xf>
    <xf numFmtId="43" fontId="47" fillId="24" borderId="14" xfId="1" applyFont="1" applyFill="1" applyBorder="1" applyAlignment="1" applyProtection="1">
      <alignment vertical="top"/>
      <protection locked="0"/>
    </xf>
    <xf numFmtId="43" fontId="36" fillId="24" borderId="16" xfId="1" applyFont="1" applyFill="1" applyBorder="1" applyAlignment="1" applyProtection="1">
      <alignment vertical="top"/>
      <protection locked="0"/>
    </xf>
  </cellXfs>
  <cellStyles count="5">
    <cellStyle name="Bom" xfId="4" builtinId="26"/>
    <cellStyle name="Neutro" xfId="3" builtinId="28"/>
    <cellStyle name="Normal" xfId="0" builtinId="0"/>
    <cellStyle name="Ruim" xfId="2" builtinId="27"/>
    <cellStyle name="Vírgula" xfId="1" builtinId="3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image" Target="../media/image8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1</xdr:row>
      <xdr:rowOff>0</xdr:rowOff>
    </xdr:from>
    <xdr:to>
      <xdr:col>0</xdr:col>
      <xdr:colOff>2647950</xdr:colOff>
      <xdr:row>4</xdr:row>
      <xdr:rowOff>133350</xdr:rowOff>
    </xdr:to>
    <xdr:pic>
      <xdr:nvPicPr>
        <xdr:cNvPr id="2" name="Imagem 1" descr="logo-iquego-b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90500"/>
          <a:ext cx="2181225" cy="7048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28575</xdr:colOff>
      <xdr:row>1</xdr:row>
      <xdr:rowOff>0</xdr:rowOff>
    </xdr:from>
    <xdr:to>
      <xdr:col>7</xdr:col>
      <xdr:colOff>1031875</xdr:colOff>
      <xdr:row>5</xdr:row>
      <xdr:rowOff>85725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58225" y="190500"/>
          <a:ext cx="1660525" cy="84772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590550</xdr:colOff>
      <xdr:row>5</xdr:row>
      <xdr:rowOff>47625</xdr:rowOff>
    </xdr:to>
    <xdr:pic>
      <xdr:nvPicPr>
        <xdr:cNvPr id="2" name="Imagem 1" descr="logo-iquego-b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81000"/>
          <a:ext cx="2228850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752475</xdr:colOff>
      <xdr:row>0</xdr:row>
      <xdr:rowOff>180975</xdr:rowOff>
    </xdr:from>
    <xdr:to>
      <xdr:col>9</xdr:col>
      <xdr:colOff>28575</xdr:colOff>
      <xdr:row>3</xdr:row>
      <xdr:rowOff>170180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D5FF446-D735-4EBE-B6C9-D910A9892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80975"/>
          <a:ext cx="1809750" cy="5607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714375</xdr:colOff>
      <xdr:row>1</xdr:row>
      <xdr:rowOff>133350</xdr:rowOff>
    </xdr:from>
    <xdr:to>
      <xdr:col>5</xdr:col>
      <xdr:colOff>904875</xdr:colOff>
      <xdr:row>4</xdr:row>
      <xdr:rowOff>122555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A9B8F99-7A39-4554-8C7B-E877F53258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323850"/>
          <a:ext cx="1619250" cy="56070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390525</xdr:colOff>
      <xdr:row>1</xdr:row>
      <xdr:rowOff>133350</xdr:rowOff>
    </xdr:from>
    <xdr:to>
      <xdr:col>0</xdr:col>
      <xdr:colOff>2124075</xdr:colOff>
      <xdr:row>4</xdr:row>
      <xdr:rowOff>180975</xdr:rowOff>
    </xdr:to>
    <xdr:pic>
      <xdr:nvPicPr>
        <xdr:cNvPr id="3" name="Imagem 2" descr="logo-iquego-b">
          <a:extLst>
            <a:ext uri="{FF2B5EF4-FFF2-40B4-BE49-F238E27FC236}">
              <a16:creationId xmlns:a16="http://schemas.microsoft.com/office/drawing/2014/main" id="{63B99408-B121-4475-9B44-B5FD7EC37A9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323850"/>
          <a:ext cx="1733550" cy="619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1838325</xdr:colOff>
      <xdr:row>5</xdr:row>
      <xdr:rowOff>133350</xdr:rowOff>
    </xdr:to>
    <xdr:pic>
      <xdr:nvPicPr>
        <xdr:cNvPr id="2" name="Imagem 1" descr="logo-iquego-b">
          <a:extLst>
            <a:ext uri="{FF2B5EF4-FFF2-40B4-BE49-F238E27FC236}">
              <a16:creationId xmlns:a16="http://schemas.microsoft.com/office/drawing/2014/main" id="{CD2D2664-FDC1-434A-9584-D853C8CF6C8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" y="365760"/>
          <a:ext cx="1838325" cy="68199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381001</xdr:colOff>
      <xdr:row>1</xdr:row>
      <xdr:rowOff>89648</xdr:rowOff>
    </xdr:from>
    <xdr:to>
      <xdr:col>6</xdr:col>
      <xdr:colOff>1036545</xdr:colOff>
      <xdr:row>5</xdr:row>
      <xdr:rowOff>123678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E3EC3FB7-5A0E-417B-805A-230D3C8CEC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0913" y="280148"/>
          <a:ext cx="1809750" cy="7960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142875</xdr:rowOff>
    </xdr:from>
    <xdr:to>
      <xdr:col>5</xdr:col>
      <xdr:colOff>339725</xdr:colOff>
      <xdr:row>3</xdr:row>
      <xdr:rowOff>106680</xdr:rowOff>
    </xdr:to>
    <xdr:pic>
      <xdr:nvPicPr>
        <xdr:cNvPr id="2" name="Imagem 1" descr="logo-iquego-b">
          <a:extLst>
            <a:ext uri="{FF2B5EF4-FFF2-40B4-BE49-F238E27FC236}">
              <a16:creationId xmlns:a16="http://schemas.microsoft.com/office/drawing/2014/main" id="{8D33CCD1-943C-47BA-BD76-ECC33B33B4D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42875"/>
          <a:ext cx="2477135" cy="5124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32</xdr:col>
      <xdr:colOff>304800</xdr:colOff>
      <xdr:row>43</xdr:row>
      <xdr:rowOff>154029</xdr:rowOff>
    </xdr:from>
    <xdr:to>
      <xdr:col>45</xdr:col>
      <xdr:colOff>308254</xdr:colOff>
      <xdr:row>55</xdr:row>
      <xdr:rowOff>30890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27FCC346-8284-4CFA-8E13-ED914B46E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69782" y="7538502"/>
          <a:ext cx="7928254" cy="2038170"/>
        </a:xfrm>
        <a:prstGeom prst="rect">
          <a:avLst/>
        </a:prstGeom>
      </xdr:spPr>
    </xdr:pic>
    <xdr:clientData/>
  </xdr:twoCellAnchor>
  <xdr:twoCellAnchor editAs="oneCell">
    <xdr:from>
      <xdr:col>9</xdr:col>
      <xdr:colOff>1476375</xdr:colOff>
      <xdr:row>1</xdr:row>
      <xdr:rowOff>133350</xdr:rowOff>
    </xdr:from>
    <xdr:to>
      <xdr:col>12</xdr:col>
      <xdr:colOff>19050</xdr:colOff>
      <xdr:row>4</xdr:row>
      <xdr:rowOff>132080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68AB44A8-A5FB-4843-BF27-452E4BD58F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550" y="323850"/>
          <a:ext cx="1809750" cy="5607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123824</xdr:colOff>
      <xdr:row>1</xdr:row>
      <xdr:rowOff>57539</xdr:rowOff>
    </xdr:from>
    <xdr:to>
      <xdr:col>3</xdr:col>
      <xdr:colOff>1695450</xdr:colOff>
      <xdr:row>5</xdr:row>
      <xdr:rowOff>38100</xdr:rowOff>
    </xdr:to>
    <xdr:pic>
      <xdr:nvPicPr>
        <xdr:cNvPr id="2" name="Imagem 1" descr="logo-iquego-b">
          <a:extLst>
            <a:ext uri="{FF2B5EF4-FFF2-40B4-BE49-F238E27FC236}">
              <a16:creationId xmlns:a16="http://schemas.microsoft.com/office/drawing/2014/main" id="{EE661088-278F-42A2-B2A2-275AB3B6B61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4" y="248039"/>
          <a:ext cx="2647951" cy="74256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28575</xdr:colOff>
      <xdr:row>1</xdr:row>
      <xdr:rowOff>114300</xdr:rowOff>
    </xdr:from>
    <xdr:to>
      <xdr:col>11</xdr:col>
      <xdr:colOff>904875</xdr:colOff>
      <xdr:row>4</xdr:row>
      <xdr:rowOff>103505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6958114A-6B3B-0187-E6BB-33712828D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8250" y="304800"/>
          <a:ext cx="1809750" cy="5607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533399</xdr:colOff>
      <xdr:row>0</xdr:row>
      <xdr:rowOff>181364</xdr:rowOff>
    </xdr:from>
    <xdr:to>
      <xdr:col>3</xdr:col>
      <xdr:colOff>2114550</xdr:colOff>
      <xdr:row>4</xdr:row>
      <xdr:rowOff>171450</xdr:rowOff>
    </xdr:to>
    <xdr:pic>
      <xdr:nvPicPr>
        <xdr:cNvPr id="4" name="Imagem 3" descr="logo-iquego-b">
          <a:extLst>
            <a:ext uri="{FF2B5EF4-FFF2-40B4-BE49-F238E27FC236}">
              <a16:creationId xmlns:a16="http://schemas.microsoft.com/office/drawing/2014/main" id="{6D377325-BC5F-4173-ACA4-4C431A0895F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4" y="181364"/>
          <a:ext cx="2647951" cy="74256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1323975</xdr:colOff>
      <xdr:row>1</xdr:row>
      <xdr:rowOff>28575</xdr:rowOff>
    </xdr:from>
    <xdr:to>
      <xdr:col>11</xdr:col>
      <xdr:colOff>1310640</xdr:colOff>
      <xdr:row>4</xdr:row>
      <xdr:rowOff>21590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7BBE20C2-3AC9-4817-A2FC-46E436305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19075"/>
          <a:ext cx="1809750" cy="5607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3</xdr:col>
      <xdr:colOff>95250</xdr:colOff>
      <xdr:row>5</xdr:row>
      <xdr:rowOff>57150</xdr:rowOff>
    </xdr:to>
    <xdr:pic>
      <xdr:nvPicPr>
        <xdr:cNvPr id="2" name="Imagem 1" descr="logo-iquego-b">
          <a:extLst>
            <a:ext uri="{FF2B5EF4-FFF2-40B4-BE49-F238E27FC236}">
              <a16:creationId xmlns:a16="http://schemas.microsoft.com/office/drawing/2014/main" id="{DF10A693-06F4-4E92-9A49-2C00BF28AAE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81000"/>
          <a:ext cx="2324100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554130</xdr:colOff>
      <xdr:row>1</xdr:row>
      <xdr:rowOff>67796</xdr:rowOff>
    </xdr:from>
    <xdr:to>
      <xdr:col>6</xdr:col>
      <xdr:colOff>1163617</xdr:colOff>
      <xdr:row>4</xdr:row>
      <xdr:rowOff>60811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A0EBF1D1-9753-BAF7-7019-D24911BAE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4218" y="258296"/>
          <a:ext cx="1812551" cy="5607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0</xdr:row>
      <xdr:rowOff>91440</xdr:rowOff>
    </xdr:from>
    <xdr:to>
      <xdr:col>2</xdr:col>
      <xdr:colOff>2567940</xdr:colOff>
      <xdr:row>4</xdr:row>
      <xdr:rowOff>38100</xdr:rowOff>
    </xdr:to>
    <xdr:pic>
      <xdr:nvPicPr>
        <xdr:cNvPr id="4" name="Imagem 3" descr="logo-iquego-b">
          <a:extLst>
            <a:ext uri="{FF2B5EF4-FFF2-40B4-BE49-F238E27FC236}">
              <a16:creationId xmlns:a16="http://schemas.microsoft.com/office/drawing/2014/main" id="{BB696848-2424-452E-A31A-9FA9051A9AE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91440"/>
          <a:ext cx="2705100" cy="6991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533400</xdr:colOff>
      <xdr:row>1</xdr:row>
      <xdr:rowOff>28575</xdr:rowOff>
    </xdr:from>
    <xdr:to>
      <xdr:col>9</xdr:col>
      <xdr:colOff>95250</xdr:colOff>
      <xdr:row>4</xdr:row>
      <xdr:rowOff>21590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CE6A38D-F6EB-8D3C-5CA0-A46DCD27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4575" y="219075"/>
          <a:ext cx="1809750" cy="5607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166776</xdr:colOff>
      <xdr:row>1</xdr:row>
      <xdr:rowOff>146857</xdr:rowOff>
    </xdr:from>
    <xdr:to>
      <xdr:col>9</xdr:col>
      <xdr:colOff>17080</xdr:colOff>
      <xdr:row>4</xdr:row>
      <xdr:rowOff>117549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83FF4A3-04C8-8098-B901-96939E91B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1667" y="337357"/>
          <a:ext cx="1109923" cy="54219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</xdr:colOff>
      <xdr:row>1</xdr:row>
      <xdr:rowOff>175846</xdr:rowOff>
    </xdr:from>
    <xdr:to>
      <xdr:col>3</xdr:col>
      <xdr:colOff>1732672</xdr:colOff>
      <xdr:row>4</xdr:row>
      <xdr:rowOff>93931</xdr:rowOff>
    </xdr:to>
    <xdr:pic>
      <xdr:nvPicPr>
        <xdr:cNvPr id="3" name="Imagem 2" descr="logo-iquego-b">
          <a:extLst>
            <a:ext uri="{FF2B5EF4-FFF2-40B4-BE49-F238E27FC236}">
              <a16:creationId xmlns:a16="http://schemas.microsoft.com/office/drawing/2014/main" id="{83DE26A9-1E96-424B-B601-2209BE53704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405" y="175846"/>
          <a:ext cx="1736481" cy="4991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2</xdr:row>
      <xdr:rowOff>104775</xdr:rowOff>
    </xdr:from>
    <xdr:to>
      <xdr:col>2</xdr:col>
      <xdr:colOff>114300</xdr:colOff>
      <xdr:row>6</xdr:row>
      <xdr:rowOff>53340</xdr:rowOff>
    </xdr:to>
    <xdr:pic>
      <xdr:nvPicPr>
        <xdr:cNvPr id="2" name="Imagem 1" descr="logo-iquego-b">
          <a:extLst>
            <a:ext uri="{FF2B5EF4-FFF2-40B4-BE49-F238E27FC236}">
              <a16:creationId xmlns:a16="http://schemas.microsoft.com/office/drawing/2014/main" id="{D16A0273-885D-41BC-9904-B250C63506D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533400"/>
          <a:ext cx="2628900" cy="7048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438150</xdr:colOff>
      <xdr:row>2</xdr:row>
      <xdr:rowOff>123825</xdr:rowOff>
    </xdr:from>
    <xdr:to>
      <xdr:col>6</xdr:col>
      <xdr:colOff>1083945</xdr:colOff>
      <xdr:row>5</xdr:row>
      <xdr:rowOff>113030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F350B7EC-9D0E-B982-1CA3-8146EBF65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552450"/>
          <a:ext cx="1809750" cy="5607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15240</xdr:rowOff>
    </xdr:from>
    <xdr:to>
      <xdr:col>3</xdr:col>
      <xdr:colOff>2265680</xdr:colOff>
      <xdr:row>3</xdr:row>
      <xdr:rowOff>152400</xdr:rowOff>
    </xdr:to>
    <xdr:pic>
      <xdr:nvPicPr>
        <xdr:cNvPr id="2" name="Imagem 1" descr="logo-iquego-b">
          <a:extLst>
            <a:ext uri="{FF2B5EF4-FFF2-40B4-BE49-F238E27FC236}">
              <a16:creationId xmlns:a16="http://schemas.microsoft.com/office/drawing/2014/main" id="{43D3F51F-B116-4005-BA52-BEE1B108A19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05740"/>
          <a:ext cx="2477135" cy="4991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28</xdr:col>
      <xdr:colOff>304800</xdr:colOff>
      <xdr:row>44</xdr:row>
      <xdr:rowOff>0</xdr:rowOff>
    </xdr:from>
    <xdr:to>
      <xdr:col>35</xdr:col>
      <xdr:colOff>251104</xdr:colOff>
      <xdr:row>55</xdr:row>
      <xdr:rowOff>55931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28BA539B-4085-4DED-B324-D3BD02F70E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782300" y="7955004"/>
          <a:ext cx="7680604" cy="2162861"/>
        </a:xfrm>
        <a:prstGeom prst="rect">
          <a:avLst/>
        </a:prstGeom>
      </xdr:spPr>
    </xdr:pic>
    <xdr:clientData/>
  </xdr:twoCellAnchor>
  <xdr:twoCellAnchor editAs="oneCell">
    <xdr:from>
      <xdr:col>6</xdr:col>
      <xdr:colOff>1236345</xdr:colOff>
      <xdr:row>1</xdr:row>
      <xdr:rowOff>59055</xdr:rowOff>
    </xdr:from>
    <xdr:to>
      <xdr:col>11</xdr:col>
      <xdr:colOff>630555</xdr:colOff>
      <xdr:row>4</xdr:row>
      <xdr:rowOff>76835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269FF038-6040-F0D8-7EA2-ED0534E56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8720" y="249555"/>
          <a:ext cx="1809750" cy="5607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142875</xdr:rowOff>
    </xdr:from>
    <xdr:to>
      <xdr:col>5</xdr:col>
      <xdr:colOff>333375</xdr:colOff>
      <xdr:row>3</xdr:row>
      <xdr:rowOff>95250</xdr:rowOff>
    </xdr:to>
    <xdr:pic>
      <xdr:nvPicPr>
        <xdr:cNvPr id="2" name="Imagem 1" descr="logo-iquego-b">
          <a:extLst>
            <a:ext uri="{FF2B5EF4-FFF2-40B4-BE49-F238E27FC236}">
              <a16:creationId xmlns:a16="http://schemas.microsoft.com/office/drawing/2014/main" id="{7E7DB98D-73BD-4CAF-A632-24630F1B503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42875"/>
          <a:ext cx="2419350" cy="5143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104775</xdr:colOff>
      <xdr:row>1</xdr:row>
      <xdr:rowOff>38100</xdr:rowOff>
    </xdr:from>
    <xdr:to>
      <xdr:col>11</xdr:col>
      <xdr:colOff>1304925</xdr:colOff>
      <xdr:row>5</xdr:row>
      <xdr:rowOff>99060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921A1EA-B8D6-4917-BB5F-FAC869E8AAF4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8375" y="228600"/>
          <a:ext cx="1200150" cy="8134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1838325</xdr:colOff>
      <xdr:row>5</xdr:row>
      <xdr:rowOff>133350</xdr:rowOff>
    </xdr:to>
    <xdr:pic>
      <xdr:nvPicPr>
        <xdr:cNvPr id="4" name="Imagem 3" descr="logo-iquego-b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81000"/>
          <a:ext cx="1838325" cy="7048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47625</xdr:colOff>
      <xdr:row>1</xdr:row>
      <xdr:rowOff>152400</xdr:rowOff>
    </xdr:from>
    <xdr:to>
      <xdr:col>6</xdr:col>
      <xdr:colOff>969</xdr:colOff>
      <xdr:row>6</xdr:row>
      <xdr:rowOff>32385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1650" y="342900"/>
          <a:ext cx="1104900" cy="8324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Ano%202022\Auditoria\Empresas\GO%20-%20IQUEGO\Corresp.%20e%20Docs%20Recebidos\1%20DCs\1.1%20Copia%20oficial%20das%20DCs%20e%20NEs%20do%20exercicio%20em%20analise\BALAN&#199;O%20FINAL%202021%20-%20IQUEGO.xlsx" TargetMode="External"/><Relationship Id="rId1" Type="http://schemas.openxmlformats.org/officeDocument/2006/relationships/externalLinkPath" Target="file:///Z:\Ano%202022\Auditoria\Empresas\GO%20-%20IQUEGO\Corresp.%20e%20Docs%20Recebidos\1%20DCs\1.1%20Copia%20oficial%20das%20DCs%20e%20NEs%20do%20exercicio%20em%20analise\BALAN&#199;O%20FINAL%202021%20-%20IQUEG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Fs%20-%20IQUEGO%20-%202022BALAN&#199;O%202022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K:\CONTABILIDADE\DEMONSTRA&#199;&#213;ES%20CONTABEIS\DEMONTRA&#199;&#213;ES%202023%20-%2018-04-2024.xlsx" TargetMode="External"/><Relationship Id="rId1" Type="http://schemas.openxmlformats.org/officeDocument/2006/relationships/externalLinkPath" Target="https://d.docs.live.net/CONTABILIDADE/DEMONSTRA&#199;&#213;ES%20CONTABEIS/DEMONTRA&#199;&#213;ES%202023%20-%2018-04-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P"/>
      <sheetName val="DRE"/>
      <sheetName val="DFC"/>
      <sheetName val="DRA"/>
      <sheetName val="DMPL"/>
      <sheetName val="BALANCETE 2021"/>
      <sheetName val="BALANCETE DEZEMBRO DE 2020"/>
      <sheetName val="BALANCETE 2018"/>
      <sheetName val="BALANCETE DEZEMBRO DE 2019"/>
      <sheetName val="BALANCETE 2022"/>
    </sheetNames>
    <sheetDataSet>
      <sheetData sheetId="0"/>
      <sheetData sheetId="1"/>
      <sheetData sheetId="2"/>
      <sheetData sheetId="3"/>
      <sheetData sheetId="4"/>
      <sheetData sheetId="5"/>
      <sheetData sheetId="6">
        <row r="668">
          <cell r="P668">
            <v>92553</v>
          </cell>
        </row>
        <row r="675">
          <cell r="P675">
            <v>25588696.789999999</v>
          </cell>
        </row>
        <row r="686">
          <cell r="P686">
            <v>1796292.4599999995</v>
          </cell>
        </row>
        <row r="701">
          <cell r="Q701">
            <v>5544765.2599999979</v>
          </cell>
        </row>
        <row r="725">
          <cell r="Q725">
            <v>1627604.89</v>
          </cell>
        </row>
        <row r="730">
          <cell r="Q730">
            <v>8600974.5700000003</v>
          </cell>
        </row>
        <row r="739">
          <cell r="Q739">
            <v>2365908.41</v>
          </cell>
        </row>
        <row r="777">
          <cell r="Q777">
            <v>2570591.0500000003</v>
          </cell>
        </row>
        <row r="790">
          <cell r="Q790">
            <v>760141.36</v>
          </cell>
        </row>
        <row r="806">
          <cell r="Q806">
            <v>-29381585.190000001</v>
          </cell>
        </row>
        <row r="817">
          <cell r="Q817">
            <v>0</v>
          </cell>
        </row>
        <row r="820">
          <cell r="Q820">
            <v>-163.94</v>
          </cell>
        </row>
        <row r="824">
          <cell r="Q824">
            <v>-17228.64</v>
          </cell>
        </row>
        <row r="825">
          <cell r="Q825">
            <v>0</v>
          </cell>
        </row>
        <row r="826">
          <cell r="Q826">
            <v>0</v>
          </cell>
        </row>
        <row r="827">
          <cell r="Q827">
            <v>0</v>
          </cell>
        </row>
        <row r="828">
          <cell r="Q828">
            <v>0</v>
          </cell>
        </row>
        <row r="830">
          <cell r="Q830">
            <v>-1503000</v>
          </cell>
        </row>
        <row r="831">
          <cell r="Q831">
            <v>-53305.21</v>
          </cell>
        </row>
        <row r="843">
          <cell r="Q843">
            <v>-84129.49</v>
          </cell>
        </row>
        <row r="844">
          <cell r="Q844">
            <v>2717392.7</v>
          </cell>
        </row>
      </sheetData>
      <sheetData sheetId="7"/>
      <sheetData sheetId="8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Fs - IQUEGO - 2022BALANÇO 202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TE 2020 2021"/>
      <sheetName val="BALANCETE 2022"/>
      <sheetName val="BALANÇO 2022"/>
      <sheetName val="DMPL 2022"/>
      <sheetName val="DRE 2022"/>
      <sheetName val="DFC 2022"/>
      <sheetName val="BALANCETE 2023"/>
      <sheetName val="BALANÇO 2023"/>
      <sheetName val="DRE 2023"/>
      <sheetName val="DMPL 2023"/>
      <sheetName val="DFC 202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4">
          <cell r="E14">
            <v>2861198.37</v>
          </cell>
        </row>
        <row r="37">
          <cell r="E37">
            <v>1889386.78</v>
          </cell>
        </row>
        <row r="103">
          <cell r="E103">
            <v>100920.1</v>
          </cell>
        </row>
        <row r="107">
          <cell r="E107">
            <v>2331952.69</v>
          </cell>
        </row>
        <row r="122">
          <cell r="E122">
            <v>120930.33</v>
          </cell>
        </row>
        <row r="132">
          <cell r="E132">
            <v>16372.58</v>
          </cell>
        </row>
        <row r="137">
          <cell r="E137">
            <v>349578.28</v>
          </cell>
        </row>
        <row r="142">
          <cell r="E142">
            <v>9891466.0500000007</v>
          </cell>
        </row>
        <row r="157">
          <cell r="E157">
            <v>1465155.6</v>
          </cell>
        </row>
        <row r="166">
          <cell r="E166">
            <v>3574860.45</v>
          </cell>
        </row>
        <row r="172">
          <cell r="E172">
            <v>7496348.6299999999</v>
          </cell>
        </row>
        <row r="186">
          <cell r="E186">
            <v>48785.07</v>
          </cell>
        </row>
        <row r="198">
          <cell r="E198">
            <v>0</v>
          </cell>
        </row>
        <row r="201">
          <cell r="E201">
            <v>28341193.789999999</v>
          </cell>
        </row>
        <row r="283">
          <cell r="E283">
            <v>22911739.98</v>
          </cell>
        </row>
        <row r="429">
          <cell r="E429">
            <v>85063.1</v>
          </cell>
        </row>
        <row r="452">
          <cell r="E452">
            <v>1157924.8500000001</v>
          </cell>
        </row>
        <row r="471">
          <cell r="E471">
            <v>8816074.5700000003</v>
          </cell>
        </row>
        <row r="476">
          <cell r="E476">
            <v>13427.19</v>
          </cell>
        </row>
        <row r="479">
          <cell r="E479">
            <v>188783.22</v>
          </cell>
        </row>
        <row r="484">
          <cell r="E484">
            <v>1003895.78</v>
          </cell>
        </row>
        <row r="490">
          <cell r="E490">
            <v>2596139.36</v>
          </cell>
        </row>
        <row r="499">
          <cell r="E499">
            <v>439113.51</v>
          </cell>
        </row>
        <row r="504">
          <cell r="E504">
            <v>2094201.41</v>
          </cell>
        </row>
        <row r="512">
          <cell r="E512">
            <v>1368040.47</v>
          </cell>
        </row>
        <row r="514">
          <cell r="E514">
            <v>44813865.57</v>
          </cell>
        </row>
        <row r="521">
          <cell r="E521">
            <v>240000000</v>
          </cell>
        </row>
        <row r="530">
          <cell r="E530">
            <v>3638625.42</v>
          </cell>
        </row>
        <row r="533">
          <cell r="E533">
            <v>229521963.03</v>
          </cell>
        </row>
        <row r="536">
          <cell r="E536">
            <v>16516253.32</v>
          </cell>
        </row>
        <row r="542">
          <cell r="E542">
            <v>10221462.6</v>
          </cell>
          <cell r="H542">
            <v>6933038.9000000004</v>
          </cell>
        </row>
        <row r="595">
          <cell r="E595">
            <v>6873819.5999999996</v>
          </cell>
        </row>
        <row r="616">
          <cell r="E616">
            <v>2138053.7799999998</v>
          </cell>
        </row>
        <row r="622">
          <cell r="E622">
            <v>11427131.630000001</v>
          </cell>
        </row>
        <row r="631">
          <cell r="E631">
            <v>8095344.54</v>
          </cell>
        </row>
        <row r="666">
          <cell r="E666">
            <v>1394186.2</v>
          </cell>
        </row>
        <row r="673">
          <cell r="E673">
            <v>1310464.8999999999</v>
          </cell>
        </row>
        <row r="677">
          <cell r="E677">
            <v>464555.57</v>
          </cell>
        </row>
        <row r="693">
          <cell r="E693">
            <v>8317112.1200000001</v>
          </cell>
        </row>
        <row r="702">
          <cell r="E702">
            <v>0</v>
          </cell>
        </row>
        <row r="706">
          <cell r="E706">
            <v>1917986.65</v>
          </cell>
        </row>
        <row r="709">
          <cell r="E709">
            <v>226.68</v>
          </cell>
        </row>
        <row r="714">
          <cell r="E714">
            <v>60032.06</v>
          </cell>
        </row>
        <row r="719">
          <cell r="E719">
            <v>14579422.34</v>
          </cell>
        </row>
        <row r="721">
          <cell r="E721">
            <v>545869.67000000004</v>
          </cell>
        </row>
        <row r="737">
          <cell r="E737">
            <v>818837.26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6:P693"/>
  <sheetViews>
    <sheetView workbookViewId="0">
      <pane ySplit="9" topLeftCell="A55" activePane="bottomLeft" state="frozen"/>
      <selection activeCell="E22" sqref="E22"/>
      <selection pane="bottomLeft" activeCell="E22" sqref="E22"/>
    </sheetView>
  </sheetViews>
  <sheetFormatPr defaultColWidth="9.109375" defaultRowHeight="14.4" x14ac:dyDescent="0.3"/>
  <cols>
    <col min="1" max="1" width="67.44140625" customWidth="1"/>
    <col min="2" max="2" width="18.109375" customWidth="1"/>
    <col min="3" max="3" width="3" customWidth="1"/>
    <col min="4" max="4" width="5.6640625" bestFit="1" customWidth="1"/>
    <col min="5" max="5" width="20.5546875" style="115" customWidth="1"/>
    <col min="6" max="6" width="4.88671875" customWidth="1"/>
    <col min="7" max="7" width="18.44140625" style="16" customWidth="1"/>
    <col min="8" max="8" width="19" style="50" customWidth="1"/>
    <col min="9" max="9" width="19.6640625" style="50" customWidth="1"/>
    <col min="10" max="10" width="20" style="50" customWidth="1"/>
    <col min="11" max="11" width="3.6640625" style="50" bestFit="1" customWidth="1"/>
    <col min="12" max="12" width="20" style="50" customWidth="1"/>
    <col min="13" max="13" width="9.109375" style="52"/>
    <col min="15" max="15" width="9.109375" style="67"/>
  </cols>
  <sheetData>
    <row r="6" spans="1:16" x14ac:dyDescent="0.3">
      <c r="A6" s="1" t="s">
        <v>0</v>
      </c>
    </row>
    <row r="8" spans="1:16" x14ac:dyDescent="0.3">
      <c r="A8" s="116" t="s">
        <v>1</v>
      </c>
      <c r="E8" s="52">
        <v>2020</v>
      </c>
      <c r="G8" s="117"/>
      <c r="I8" s="52">
        <v>2021</v>
      </c>
      <c r="J8" s="52"/>
      <c r="K8" s="52"/>
      <c r="L8" s="52"/>
    </row>
    <row r="9" spans="1:16" x14ac:dyDescent="0.3">
      <c r="A9" s="1" t="s">
        <v>2</v>
      </c>
      <c r="B9" s="1" t="s">
        <v>3</v>
      </c>
      <c r="C9" s="1" t="s">
        <v>4</v>
      </c>
      <c r="D9" s="1" t="s">
        <v>5</v>
      </c>
      <c r="E9" s="122" t="s">
        <v>6</v>
      </c>
      <c r="F9" s="1"/>
      <c r="G9" s="123" t="s">
        <v>7</v>
      </c>
      <c r="H9" s="121" t="s">
        <v>8</v>
      </c>
      <c r="I9" s="121" t="s">
        <v>9</v>
      </c>
      <c r="J9" s="121" t="s">
        <v>9</v>
      </c>
      <c r="K9" s="121"/>
      <c r="L9" s="121"/>
      <c r="N9" s="1" t="s">
        <v>10</v>
      </c>
      <c r="O9" s="113" t="s">
        <v>10</v>
      </c>
      <c r="P9" s="1"/>
    </row>
    <row r="10" spans="1:16" x14ac:dyDescent="0.3">
      <c r="A10" s="51" t="s">
        <v>11</v>
      </c>
      <c r="B10" s="51" t="s">
        <v>12</v>
      </c>
      <c r="C10" s="51">
        <f t="shared" ref="C10:C73" si="0">(LEFT(SUBSTITUTE(B10,"[",""),1))+0</f>
        <v>1</v>
      </c>
      <c r="D10" s="1" t="str">
        <f t="shared" ref="D10:D73" si="1">IF((LEN(B10)+0)&lt;15,"s","A")</f>
        <v>s</v>
      </c>
      <c r="E10" s="118" t="s">
        <v>13</v>
      </c>
      <c r="F10" s="51" t="s">
        <v>14</v>
      </c>
      <c r="G10" s="119">
        <v>281524826.06</v>
      </c>
      <c r="H10" s="120">
        <v>265969587.08000001</v>
      </c>
      <c r="I10" s="120" t="s">
        <v>15</v>
      </c>
      <c r="J10" s="121" t="s">
        <v>15</v>
      </c>
      <c r="K10" s="121" t="str">
        <f t="shared" ref="K10:K73" si="2">RIGHT(J10)</f>
        <v>D</v>
      </c>
      <c r="L10" s="121">
        <f t="shared" ref="L10:L73" si="3">(SUBSTITUTE(SUBSTITUTE(J10,"D","",1),"C","",1)+0)*IF(K10=F10,1,-1)</f>
        <v>91091292.629999995</v>
      </c>
      <c r="N10" s="1">
        <f>_xlfn.XLOOKUP(B10,'BALANCETE 2022'!B:B,'BALANCETE 2022'!J:J)</f>
        <v>0</v>
      </c>
      <c r="O10" s="1">
        <f>_xlfn.XLOOKUP(B10,'BALANCETE 2022'!B:B,'BALANCETE 2022'!J:J,0)</f>
        <v>0</v>
      </c>
      <c r="P10" s="1"/>
    </row>
    <row r="11" spans="1:16" x14ac:dyDescent="0.3">
      <c r="A11" s="1" t="s">
        <v>16</v>
      </c>
      <c r="B11" s="1" t="s">
        <v>17</v>
      </c>
      <c r="C11" s="1">
        <f t="shared" si="0"/>
        <v>1</v>
      </c>
      <c r="D11" s="1" t="str">
        <f t="shared" si="1"/>
        <v>s</v>
      </c>
      <c r="E11" s="122" t="s">
        <v>18</v>
      </c>
      <c r="F11" s="1" t="s">
        <v>14</v>
      </c>
      <c r="G11" s="123">
        <v>234146844.53</v>
      </c>
      <c r="H11" s="121">
        <v>246760857.53999999</v>
      </c>
      <c r="I11" s="121" t="s">
        <v>19</v>
      </c>
      <c r="J11" s="121" t="s">
        <v>19</v>
      </c>
      <c r="K11" s="121" t="str">
        <f t="shared" si="2"/>
        <v>D</v>
      </c>
      <c r="L11" s="121">
        <f t="shared" si="3"/>
        <v>23522890.949999999</v>
      </c>
      <c r="N11" s="1"/>
      <c r="O11" s="1">
        <f>_xlfn.XLOOKUP(B11,'BALANCETE 2022'!B:B,'BALANCETE 2022'!J:J,0)</f>
        <v>0</v>
      </c>
      <c r="P11" s="1"/>
    </row>
    <row r="12" spans="1:16" x14ac:dyDescent="0.3">
      <c r="A12" s="1" t="s">
        <v>20</v>
      </c>
      <c r="B12" s="1" t="s">
        <v>21</v>
      </c>
      <c r="C12" s="1">
        <f t="shared" si="0"/>
        <v>1</v>
      </c>
      <c r="D12" s="1" t="str">
        <f t="shared" si="1"/>
        <v>s</v>
      </c>
      <c r="E12" s="59">
        <v>10042027.689999999</v>
      </c>
      <c r="F12" s="1" t="s">
        <v>14</v>
      </c>
      <c r="G12" s="123">
        <v>134625471.06</v>
      </c>
      <c r="H12" s="121">
        <v>137763679.66</v>
      </c>
      <c r="I12" s="121">
        <v>6903819.0899999999</v>
      </c>
      <c r="J12" s="121">
        <v>6903819.0899999999</v>
      </c>
      <c r="K12" s="121" t="str">
        <f t="shared" si="2"/>
        <v>9</v>
      </c>
      <c r="L12" s="121">
        <f t="shared" si="3"/>
        <v>-6903819.0899999999</v>
      </c>
      <c r="M12" s="52">
        <v>4</v>
      </c>
      <c r="N12" s="1"/>
      <c r="O12" s="1">
        <f>_xlfn.XLOOKUP(B12,'BALANCETE 2022'!B:B,'BALANCETE 2022'!J:J,0)</f>
        <v>0</v>
      </c>
      <c r="P12" s="1"/>
    </row>
    <row r="13" spans="1:16" x14ac:dyDescent="0.3">
      <c r="A13" s="1" t="s">
        <v>22</v>
      </c>
      <c r="B13" s="1" t="s">
        <v>23</v>
      </c>
      <c r="C13" s="1">
        <f t="shared" si="0"/>
        <v>1</v>
      </c>
      <c r="D13" s="1" t="str">
        <f t="shared" si="1"/>
        <v>s</v>
      </c>
      <c r="E13" s="122" t="s">
        <v>24</v>
      </c>
      <c r="F13" s="1" t="s">
        <v>14</v>
      </c>
      <c r="G13" s="123">
        <v>0</v>
      </c>
      <c r="H13" s="121">
        <v>330.62</v>
      </c>
      <c r="I13" s="121" t="s">
        <v>25</v>
      </c>
      <c r="J13" s="121" t="s">
        <v>25</v>
      </c>
      <c r="K13" s="121" t="str">
        <f t="shared" si="2"/>
        <v>D</v>
      </c>
      <c r="L13" s="121">
        <f t="shared" si="3"/>
        <v>0</v>
      </c>
      <c r="N13" s="1"/>
      <c r="O13" s="1">
        <f>_xlfn.XLOOKUP(B13,'BALANCETE 2022'!B:B,'BALANCETE 2022'!J:J,0)</f>
        <v>0</v>
      </c>
      <c r="P13" s="1"/>
    </row>
    <row r="14" spans="1:16" x14ac:dyDescent="0.3">
      <c r="A14" t="s">
        <v>26</v>
      </c>
      <c r="B14" t="s">
        <v>27</v>
      </c>
      <c r="C14">
        <f t="shared" si="0"/>
        <v>1</v>
      </c>
      <c r="D14" t="str">
        <f t="shared" si="1"/>
        <v>A</v>
      </c>
      <c r="E14" s="115" t="s">
        <v>28</v>
      </c>
      <c r="F14" t="s">
        <v>14</v>
      </c>
      <c r="G14" s="16">
        <v>0</v>
      </c>
      <c r="H14" s="50">
        <v>330.62</v>
      </c>
      <c r="I14" s="50" t="s">
        <v>25</v>
      </c>
      <c r="J14" s="50" t="s">
        <v>25</v>
      </c>
      <c r="K14" s="50" t="str">
        <f t="shared" si="2"/>
        <v>D</v>
      </c>
      <c r="L14" s="50">
        <f t="shared" si="3"/>
        <v>0</v>
      </c>
      <c r="M14" s="124"/>
      <c r="O14">
        <f>_xlfn.XLOOKUP(B14,'BALANCETE 2022'!B:B,'BALANCETE 2022'!J:J,0)</f>
        <v>0</v>
      </c>
    </row>
    <row r="15" spans="1:16" x14ac:dyDescent="0.3">
      <c r="A15" s="1" t="s">
        <v>29</v>
      </c>
      <c r="B15" s="1" t="s">
        <v>30</v>
      </c>
      <c r="C15" s="1">
        <f t="shared" si="0"/>
        <v>1</v>
      </c>
      <c r="D15" s="1" t="str">
        <f t="shared" si="1"/>
        <v>s</v>
      </c>
      <c r="E15" s="122" t="s">
        <v>31</v>
      </c>
      <c r="F15" s="1" t="s">
        <v>14</v>
      </c>
      <c r="G15" s="123">
        <v>126667025.39</v>
      </c>
      <c r="H15" s="121">
        <v>134329440.87</v>
      </c>
      <c r="I15" s="121" t="s">
        <v>32</v>
      </c>
      <c r="J15" s="121" t="s">
        <v>32</v>
      </c>
      <c r="K15" s="121" t="str">
        <f t="shared" si="2"/>
        <v>D</v>
      </c>
      <c r="L15" s="121">
        <f t="shared" si="3"/>
        <v>161619.26</v>
      </c>
      <c r="N15" s="1"/>
      <c r="O15" s="1">
        <f>_xlfn.XLOOKUP(B15,'BALANCETE 2022'!B:B,'BALANCETE 2022'!J:J,0)</f>
        <v>0</v>
      </c>
      <c r="P15" s="1"/>
    </row>
    <row r="16" spans="1:16" x14ac:dyDescent="0.3">
      <c r="A16" t="s">
        <v>33</v>
      </c>
      <c r="B16" t="s">
        <v>34</v>
      </c>
      <c r="C16">
        <f t="shared" si="0"/>
        <v>1</v>
      </c>
      <c r="D16" t="str">
        <f t="shared" si="1"/>
        <v>A</v>
      </c>
      <c r="E16" s="115" t="s">
        <v>25</v>
      </c>
      <c r="F16" t="s">
        <v>14</v>
      </c>
      <c r="G16" s="16">
        <v>111257.64</v>
      </c>
      <c r="H16" s="50">
        <v>111257.64</v>
      </c>
      <c r="I16" s="50" t="s">
        <v>25</v>
      </c>
      <c r="J16" s="50" t="s">
        <v>25</v>
      </c>
      <c r="K16" s="50" t="str">
        <f t="shared" si="2"/>
        <v>D</v>
      </c>
      <c r="L16" s="50">
        <f t="shared" si="3"/>
        <v>0</v>
      </c>
      <c r="M16" s="124"/>
      <c r="O16">
        <f>_xlfn.XLOOKUP(B16,'BALANCETE 2022'!B:B,'BALANCETE 2022'!J:J,0)</f>
        <v>0</v>
      </c>
    </row>
    <row r="17" spans="1:16" x14ac:dyDescent="0.3">
      <c r="A17" t="s">
        <v>35</v>
      </c>
      <c r="B17" t="s">
        <v>36</v>
      </c>
      <c r="C17">
        <f t="shared" si="0"/>
        <v>1</v>
      </c>
      <c r="D17" t="str">
        <f t="shared" si="1"/>
        <v>A</v>
      </c>
      <c r="E17" s="115" t="s">
        <v>37</v>
      </c>
      <c r="F17" t="s">
        <v>14</v>
      </c>
      <c r="G17" s="16">
        <v>31671898.93</v>
      </c>
      <c r="H17" s="50">
        <v>31671898.93</v>
      </c>
      <c r="I17" s="50" t="s">
        <v>37</v>
      </c>
      <c r="J17" s="50" t="s">
        <v>37</v>
      </c>
      <c r="K17" s="50" t="str">
        <f t="shared" si="2"/>
        <v>D</v>
      </c>
      <c r="L17" s="50">
        <f t="shared" si="3"/>
        <v>10</v>
      </c>
      <c r="M17" s="124"/>
      <c r="O17">
        <f>_xlfn.XLOOKUP(B17,'BALANCETE 2022'!B:B,'BALANCETE 2022'!J:J,0)</f>
        <v>0</v>
      </c>
    </row>
    <row r="18" spans="1:16" x14ac:dyDescent="0.3">
      <c r="A18" t="s">
        <v>38</v>
      </c>
      <c r="B18" t="s">
        <v>39</v>
      </c>
      <c r="C18">
        <f t="shared" si="0"/>
        <v>1</v>
      </c>
      <c r="D18" t="str">
        <f t="shared" si="1"/>
        <v>A</v>
      </c>
      <c r="E18" s="115" t="s">
        <v>40</v>
      </c>
      <c r="F18" t="s">
        <v>14</v>
      </c>
      <c r="G18" s="16">
        <v>137103.6</v>
      </c>
      <c r="H18" s="50">
        <v>153362.79999999999</v>
      </c>
      <c r="I18" s="50" t="s">
        <v>41</v>
      </c>
      <c r="J18" s="50" t="s">
        <v>41</v>
      </c>
      <c r="K18" s="50" t="str">
        <f t="shared" si="2"/>
        <v>D</v>
      </c>
      <c r="L18" s="50">
        <f t="shared" si="3"/>
        <v>11601.75</v>
      </c>
      <c r="M18" s="124"/>
      <c r="O18">
        <f>_xlfn.XLOOKUP(B18,'BALANCETE 2022'!B:B,'BALANCETE 2022'!J:J,0)</f>
        <v>0</v>
      </c>
    </row>
    <row r="19" spans="1:16" x14ac:dyDescent="0.3">
      <c r="A19" t="s">
        <v>42</v>
      </c>
      <c r="B19" t="s">
        <v>43</v>
      </c>
      <c r="C19">
        <f t="shared" si="0"/>
        <v>1</v>
      </c>
      <c r="D19" t="str">
        <f t="shared" si="1"/>
        <v>A</v>
      </c>
      <c r="E19" s="115" t="s">
        <v>44</v>
      </c>
      <c r="F19" t="s">
        <v>14</v>
      </c>
      <c r="G19" s="16">
        <v>2418210.0699999998</v>
      </c>
      <c r="H19" s="50">
        <v>2422682.9700000002</v>
      </c>
      <c r="I19" s="50" t="s">
        <v>45</v>
      </c>
      <c r="J19" s="50" t="s">
        <v>45</v>
      </c>
      <c r="K19" s="50" t="str">
        <f t="shared" si="2"/>
        <v>D</v>
      </c>
      <c r="L19" s="50">
        <f t="shared" si="3"/>
        <v>149894.91</v>
      </c>
      <c r="M19" s="124"/>
      <c r="O19">
        <f>_xlfn.XLOOKUP(B19,'BALANCETE 2022'!B:B,'BALANCETE 2022'!J:J,0)</f>
        <v>0</v>
      </c>
    </row>
    <row r="20" spans="1:16" x14ac:dyDescent="0.3">
      <c r="A20" t="s">
        <v>46</v>
      </c>
      <c r="B20" t="s">
        <v>47</v>
      </c>
      <c r="C20">
        <f t="shared" si="0"/>
        <v>1</v>
      </c>
      <c r="D20" t="str">
        <f t="shared" si="1"/>
        <v>A</v>
      </c>
      <c r="E20" s="115" t="s">
        <v>48</v>
      </c>
      <c r="F20" t="s">
        <v>14</v>
      </c>
      <c r="G20" s="16">
        <v>19728982.710000001</v>
      </c>
      <c r="H20" s="50">
        <v>19740004.879999999</v>
      </c>
      <c r="I20" s="50" t="s">
        <v>49</v>
      </c>
      <c r="J20" s="50" t="s">
        <v>49</v>
      </c>
      <c r="K20" s="50" t="str">
        <f t="shared" si="2"/>
        <v>D</v>
      </c>
      <c r="L20" s="50">
        <f t="shared" si="3"/>
        <v>102.6</v>
      </c>
      <c r="M20" s="124"/>
      <c r="O20">
        <f>_xlfn.XLOOKUP(B20,'BALANCETE 2022'!B:B,'BALANCETE 2022'!J:J,0)</f>
        <v>0</v>
      </c>
    </row>
    <row r="21" spans="1:16" x14ac:dyDescent="0.3">
      <c r="A21" t="s">
        <v>50</v>
      </c>
      <c r="B21" t="s">
        <v>51</v>
      </c>
      <c r="C21">
        <f t="shared" si="0"/>
        <v>1</v>
      </c>
      <c r="D21" t="str">
        <f t="shared" si="1"/>
        <v>A</v>
      </c>
      <c r="E21" s="115" t="s">
        <v>52</v>
      </c>
      <c r="F21" t="s">
        <v>14</v>
      </c>
      <c r="G21" s="16">
        <v>30342523.620000001</v>
      </c>
      <c r="H21" s="50">
        <v>37973194.829999998</v>
      </c>
      <c r="I21" s="50" t="s">
        <v>25</v>
      </c>
      <c r="J21" s="50" t="s">
        <v>25</v>
      </c>
      <c r="K21" s="50" t="str">
        <f t="shared" si="2"/>
        <v>D</v>
      </c>
      <c r="L21" s="50">
        <f t="shared" si="3"/>
        <v>0</v>
      </c>
      <c r="M21" s="124"/>
      <c r="O21">
        <f>_xlfn.XLOOKUP(B21,'BALANCETE 2022'!B:B,'BALANCETE 2022'!J:J,0)</f>
        <v>0</v>
      </c>
    </row>
    <row r="22" spans="1:16" x14ac:dyDescent="0.3">
      <c r="A22" t="s">
        <v>53</v>
      </c>
      <c r="B22" t="s">
        <v>54</v>
      </c>
      <c r="C22">
        <f t="shared" si="0"/>
        <v>1</v>
      </c>
      <c r="D22" t="str">
        <f t="shared" si="1"/>
        <v>A</v>
      </c>
      <c r="E22" s="115" t="s">
        <v>25</v>
      </c>
      <c r="F22" t="s">
        <v>14</v>
      </c>
      <c r="G22" s="16">
        <v>42257048.82</v>
      </c>
      <c r="H22" s="50">
        <v>42257038.82</v>
      </c>
      <c r="I22" s="50" t="s">
        <v>37</v>
      </c>
      <c r="J22" s="50" t="s">
        <v>37</v>
      </c>
      <c r="K22" s="50" t="str">
        <f t="shared" si="2"/>
        <v>D</v>
      </c>
      <c r="L22" s="50">
        <f t="shared" si="3"/>
        <v>10</v>
      </c>
      <c r="M22" s="124"/>
      <c r="O22">
        <f>_xlfn.XLOOKUP(B22,'BALANCETE 2022'!B:B,'BALANCETE 2022'!J:J,0)</f>
        <v>0</v>
      </c>
    </row>
    <row r="23" spans="1:16" x14ac:dyDescent="0.3">
      <c r="A23" s="1" t="s">
        <v>55</v>
      </c>
      <c r="B23" s="1" t="s">
        <v>56</v>
      </c>
      <c r="C23" s="1">
        <f t="shared" si="0"/>
        <v>1</v>
      </c>
      <c r="D23" s="1" t="str">
        <f t="shared" si="1"/>
        <v>s</v>
      </c>
      <c r="E23" s="122" t="s">
        <v>57</v>
      </c>
      <c r="F23" s="1" t="s">
        <v>14</v>
      </c>
      <c r="G23" s="123">
        <v>7901809.1699999999</v>
      </c>
      <c r="H23" s="121">
        <v>3421165</v>
      </c>
      <c r="I23" s="121" t="s">
        <v>58</v>
      </c>
      <c r="J23" s="121" t="s">
        <v>58</v>
      </c>
      <c r="K23" s="121" t="str">
        <f t="shared" si="2"/>
        <v>D</v>
      </c>
      <c r="L23" s="121">
        <f t="shared" si="3"/>
        <v>4526808.2</v>
      </c>
      <c r="N23" s="1"/>
      <c r="O23" s="1">
        <f>_xlfn.XLOOKUP(B23,'BALANCETE 2022'!B:B,'BALANCETE 2022'!J:J,0)</f>
        <v>0</v>
      </c>
      <c r="P23" s="1"/>
    </row>
    <row r="24" spans="1:16" x14ac:dyDescent="0.3">
      <c r="A24" t="s">
        <v>59</v>
      </c>
      <c r="B24" t="s">
        <v>60</v>
      </c>
      <c r="C24">
        <f t="shared" si="0"/>
        <v>1</v>
      </c>
      <c r="D24" t="str">
        <f t="shared" si="1"/>
        <v>A</v>
      </c>
      <c r="E24" s="115" t="s">
        <v>61</v>
      </c>
      <c r="F24" t="s">
        <v>14</v>
      </c>
      <c r="G24" s="16">
        <v>3383817.32</v>
      </c>
      <c r="H24" s="50">
        <v>3384744.24</v>
      </c>
      <c r="I24" s="50" t="s">
        <v>62</v>
      </c>
      <c r="J24" s="50" t="s">
        <v>62</v>
      </c>
      <c r="K24" s="50" t="str">
        <f t="shared" si="2"/>
        <v>D</v>
      </c>
      <c r="L24" s="50">
        <f t="shared" si="3"/>
        <v>5268</v>
      </c>
      <c r="M24" s="124"/>
      <c r="O24">
        <f>_xlfn.XLOOKUP(B24,'BALANCETE 2022'!B:B,'BALANCETE 2022'!J:J,0)</f>
        <v>0</v>
      </c>
    </row>
    <row r="25" spans="1:16" x14ac:dyDescent="0.3">
      <c r="A25" t="s">
        <v>63</v>
      </c>
      <c r="B25" t="s">
        <v>64</v>
      </c>
      <c r="C25">
        <f t="shared" si="0"/>
        <v>1</v>
      </c>
      <c r="D25" t="str">
        <f t="shared" si="1"/>
        <v>A</v>
      </c>
      <c r="E25" s="115" t="s">
        <v>65</v>
      </c>
      <c r="F25" t="s">
        <v>14</v>
      </c>
      <c r="G25" s="16">
        <v>3123.95</v>
      </c>
      <c r="H25" s="50">
        <v>36420.480000000003</v>
      </c>
      <c r="I25" s="50" t="s">
        <v>66</v>
      </c>
      <c r="J25" s="50" t="s">
        <v>66</v>
      </c>
      <c r="K25" s="50" t="str">
        <f t="shared" si="2"/>
        <v>D</v>
      </c>
      <c r="L25" s="50">
        <f t="shared" si="3"/>
        <v>6594.61</v>
      </c>
      <c r="M25" s="124"/>
      <c r="O25">
        <f>_xlfn.XLOOKUP(B25,'BALANCETE 2022'!B:B,'BALANCETE 2022'!J:J,0)</f>
        <v>0</v>
      </c>
    </row>
    <row r="26" spans="1:16" x14ac:dyDescent="0.3">
      <c r="A26" t="s">
        <v>67</v>
      </c>
      <c r="B26" t="s">
        <v>68</v>
      </c>
      <c r="C26">
        <f t="shared" si="0"/>
        <v>1</v>
      </c>
      <c r="D26" t="str">
        <f t="shared" si="1"/>
        <v>A</v>
      </c>
      <c r="E26" s="115" t="s">
        <v>69</v>
      </c>
      <c r="F26" t="s">
        <v>14</v>
      </c>
      <c r="G26" s="16">
        <v>1.86</v>
      </c>
      <c r="H26" s="50">
        <v>0.28000000000000003</v>
      </c>
      <c r="I26" s="50" t="s">
        <v>70</v>
      </c>
      <c r="J26" s="50" t="s">
        <v>70</v>
      </c>
      <c r="K26" s="50" t="str">
        <f t="shared" si="2"/>
        <v>D</v>
      </c>
      <c r="L26" s="50">
        <f t="shared" si="3"/>
        <v>79.55</v>
      </c>
      <c r="M26" s="124"/>
      <c r="O26">
        <f>_xlfn.XLOOKUP(B26,'BALANCETE 2022'!B:B,'BALANCETE 2022'!J:J,0)</f>
        <v>0</v>
      </c>
    </row>
    <row r="27" spans="1:16" x14ac:dyDescent="0.3">
      <c r="A27" t="s">
        <v>71</v>
      </c>
      <c r="B27" t="s">
        <v>72</v>
      </c>
      <c r="C27">
        <f t="shared" si="0"/>
        <v>1</v>
      </c>
      <c r="D27" t="str">
        <f t="shared" si="1"/>
        <v>A</v>
      </c>
      <c r="E27" s="115">
        <v>0</v>
      </c>
      <c r="F27" t="s">
        <v>14</v>
      </c>
      <c r="G27" s="16">
        <v>4514866.04</v>
      </c>
      <c r="H27" s="50">
        <v>0</v>
      </c>
      <c r="I27" s="50" t="s">
        <v>73</v>
      </c>
      <c r="J27" s="50" t="s">
        <v>73</v>
      </c>
      <c r="K27" s="50" t="str">
        <f t="shared" si="2"/>
        <v>D</v>
      </c>
      <c r="L27" s="50">
        <f t="shared" si="3"/>
        <v>4514866.04</v>
      </c>
      <c r="M27" s="124"/>
      <c r="O27">
        <f>_xlfn.XLOOKUP(B27,'BALANCETE 2022'!B:B,'BALANCETE 2022'!J:J,0)</f>
        <v>0</v>
      </c>
    </row>
    <row r="28" spans="1:16" x14ac:dyDescent="0.3">
      <c r="A28" s="1" t="s">
        <v>74</v>
      </c>
      <c r="B28" s="1" t="s">
        <v>75</v>
      </c>
      <c r="C28" s="1">
        <f t="shared" si="0"/>
        <v>1</v>
      </c>
      <c r="D28" s="1" t="str">
        <f t="shared" si="1"/>
        <v>s</v>
      </c>
      <c r="E28" s="122" t="s">
        <v>76</v>
      </c>
      <c r="F28" s="1" t="s">
        <v>14</v>
      </c>
      <c r="G28" s="123">
        <v>56636.5</v>
      </c>
      <c r="H28" s="121">
        <v>12743.17</v>
      </c>
      <c r="I28" s="121" t="s">
        <v>77</v>
      </c>
      <c r="J28" s="121" t="s">
        <v>77</v>
      </c>
      <c r="K28" s="121" t="str">
        <f t="shared" si="2"/>
        <v>D</v>
      </c>
      <c r="L28" s="121">
        <f t="shared" si="3"/>
        <v>2215391.63</v>
      </c>
      <c r="N28" s="1"/>
      <c r="O28" s="1">
        <f>_xlfn.XLOOKUP(B28,'BALANCETE 2022'!B:B,'BALANCETE 2022'!J:J,0)</f>
        <v>0</v>
      </c>
      <c r="P28" s="1"/>
    </row>
    <row r="29" spans="1:16" x14ac:dyDescent="0.3">
      <c r="A29" t="s">
        <v>78</v>
      </c>
      <c r="B29" t="s">
        <v>79</v>
      </c>
      <c r="C29">
        <f t="shared" si="0"/>
        <v>1</v>
      </c>
      <c r="D29" t="str">
        <f t="shared" si="1"/>
        <v>A</v>
      </c>
      <c r="E29" s="115" t="s">
        <v>80</v>
      </c>
      <c r="F29" t="s">
        <v>14</v>
      </c>
      <c r="G29" s="16">
        <v>56636.5</v>
      </c>
      <c r="H29" s="50">
        <v>12743.17</v>
      </c>
      <c r="I29" s="50" t="s">
        <v>77</v>
      </c>
      <c r="J29" s="50" t="s">
        <v>77</v>
      </c>
      <c r="K29" s="50" t="str">
        <f t="shared" si="2"/>
        <v>D</v>
      </c>
      <c r="L29" s="50">
        <f t="shared" si="3"/>
        <v>2215391.63</v>
      </c>
      <c r="M29" s="124"/>
      <c r="O29">
        <f>_xlfn.XLOOKUP(B29,'BALANCETE 2022'!B:B,'BALANCETE 2022'!J:J,0)</f>
        <v>0</v>
      </c>
    </row>
    <row r="30" spans="1:16" x14ac:dyDescent="0.3">
      <c r="A30" s="1" t="s">
        <v>81</v>
      </c>
      <c r="B30" s="1" t="s">
        <v>82</v>
      </c>
      <c r="C30" s="1">
        <f t="shared" si="0"/>
        <v>1</v>
      </c>
      <c r="D30" s="1" t="str">
        <f t="shared" si="1"/>
        <v>s</v>
      </c>
      <c r="E30" s="122" t="s">
        <v>83</v>
      </c>
      <c r="F30" s="1" t="s">
        <v>14</v>
      </c>
      <c r="G30" s="123">
        <v>23892126.280000001</v>
      </c>
      <c r="H30" s="121">
        <v>21424266.23</v>
      </c>
      <c r="I30" s="121">
        <v>7597374.3799999999</v>
      </c>
      <c r="J30" s="121">
        <v>7597374.3799999999</v>
      </c>
      <c r="K30" s="121" t="str">
        <f t="shared" si="2"/>
        <v>8</v>
      </c>
      <c r="L30" s="121">
        <f t="shared" si="3"/>
        <v>-7597374.3799999999</v>
      </c>
      <c r="M30" s="52">
        <v>5</v>
      </c>
      <c r="N30" s="1"/>
      <c r="O30" s="1">
        <f>_xlfn.XLOOKUP(B30,'BALANCETE 2022'!B:B,'BALANCETE 2022'!J:J,0)</f>
        <v>0</v>
      </c>
      <c r="P30" s="1"/>
    </row>
    <row r="31" spans="1:16" x14ac:dyDescent="0.3">
      <c r="A31" s="1" t="s">
        <v>84</v>
      </c>
      <c r="B31" s="1" t="s">
        <v>85</v>
      </c>
      <c r="C31" s="1">
        <f t="shared" si="0"/>
        <v>1</v>
      </c>
      <c r="D31" s="1" t="str">
        <f t="shared" si="1"/>
        <v>s</v>
      </c>
      <c r="E31" s="122" t="s">
        <v>86</v>
      </c>
      <c r="F31" s="1" t="s">
        <v>14</v>
      </c>
      <c r="G31" s="123">
        <v>21992760</v>
      </c>
      <c r="H31" s="121">
        <v>21318670.41</v>
      </c>
      <c r="I31" s="121" t="s">
        <v>87</v>
      </c>
      <c r="J31" s="121" t="s">
        <v>87</v>
      </c>
      <c r="K31" s="121" t="str">
        <f t="shared" si="2"/>
        <v>D</v>
      </c>
      <c r="L31" s="121">
        <f t="shared" si="3"/>
        <v>7597374.3799999999</v>
      </c>
      <c r="N31" s="1"/>
      <c r="O31" s="1">
        <f>_xlfn.XLOOKUP(B31,'BALANCETE 2022'!B:B,'BALANCETE 2022'!J:J,0)</f>
        <v>0</v>
      </c>
      <c r="P31" s="1"/>
    </row>
    <row r="32" spans="1:16" x14ac:dyDescent="0.3">
      <c r="A32" t="s">
        <v>88</v>
      </c>
      <c r="B32" t="s">
        <v>89</v>
      </c>
      <c r="C32">
        <f t="shared" si="0"/>
        <v>1</v>
      </c>
      <c r="D32" t="str">
        <f t="shared" si="1"/>
        <v>A</v>
      </c>
      <c r="E32" s="115" t="s">
        <v>90</v>
      </c>
      <c r="F32" t="s">
        <v>14</v>
      </c>
      <c r="G32" s="16">
        <v>0</v>
      </c>
      <c r="H32" s="50">
        <v>91092.02</v>
      </c>
      <c r="I32" s="50" t="s">
        <v>25</v>
      </c>
      <c r="J32" s="50" t="s">
        <v>25</v>
      </c>
      <c r="K32" s="50" t="str">
        <f t="shared" si="2"/>
        <v>D</v>
      </c>
      <c r="L32" s="50">
        <f t="shared" si="3"/>
        <v>0</v>
      </c>
      <c r="M32" s="124"/>
      <c r="O32">
        <f>_xlfn.XLOOKUP(B32,'BALANCETE 2022'!B:B,'BALANCETE 2022'!J:J,0)</f>
        <v>0</v>
      </c>
    </row>
    <row r="33" spans="1:15" x14ac:dyDescent="0.3">
      <c r="A33" t="s">
        <v>91</v>
      </c>
      <c r="B33" t="s">
        <v>92</v>
      </c>
      <c r="C33">
        <f t="shared" si="0"/>
        <v>1</v>
      </c>
      <c r="D33" t="str">
        <f t="shared" si="1"/>
        <v>A</v>
      </c>
      <c r="E33" s="115" t="s">
        <v>93</v>
      </c>
      <c r="F33" t="s">
        <v>14</v>
      </c>
      <c r="G33" s="16">
        <v>0</v>
      </c>
      <c r="H33" s="50">
        <v>7849.4</v>
      </c>
      <c r="I33" s="50" t="s">
        <v>25</v>
      </c>
      <c r="J33" s="50" t="s">
        <v>25</v>
      </c>
      <c r="K33" s="50" t="str">
        <f t="shared" si="2"/>
        <v>D</v>
      </c>
      <c r="L33" s="50">
        <f t="shared" si="3"/>
        <v>0</v>
      </c>
      <c r="M33" s="124"/>
      <c r="O33">
        <f>_xlfn.XLOOKUP(B33,'BALANCETE 2022'!B:B,'BALANCETE 2022'!J:J,0)</f>
        <v>0</v>
      </c>
    </row>
    <row r="34" spans="1:15" x14ac:dyDescent="0.3">
      <c r="A34" t="s">
        <v>94</v>
      </c>
      <c r="B34" t="s">
        <v>95</v>
      </c>
      <c r="C34">
        <f t="shared" si="0"/>
        <v>1</v>
      </c>
      <c r="D34" t="str">
        <f t="shared" si="1"/>
        <v>A</v>
      </c>
      <c r="E34" s="115" t="s">
        <v>96</v>
      </c>
      <c r="F34" t="s">
        <v>14</v>
      </c>
      <c r="G34" s="16">
        <v>0</v>
      </c>
      <c r="H34" s="50">
        <v>5264</v>
      </c>
      <c r="I34" s="50" t="s">
        <v>25</v>
      </c>
      <c r="J34" s="50" t="s">
        <v>25</v>
      </c>
      <c r="K34" s="50" t="str">
        <f t="shared" si="2"/>
        <v>D</v>
      </c>
      <c r="L34" s="50">
        <f t="shared" si="3"/>
        <v>0</v>
      </c>
      <c r="M34" s="124"/>
      <c r="O34">
        <f>_xlfn.XLOOKUP(B34,'BALANCETE 2022'!B:B,'BALANCETE 2022'!J:J,0)</f>
        <v>0</v>
      </c>
    </row>
    <row r="35" spans="1:15" x14ac:dyDescent="0.3">
      <c r="A35" t="s">
        <v>97</v>
      </c>
      <c r="B35" t="s">
        <v>98</v>
      </c>
      <c r="C35">
        <f t="shared" si="0"/>
        <v>1</v>
      </c>
      <c r="D35" t="str">
        <f t="shared" si="1"/>
        <v>A</v>
      </c>
      <c r="E35" s="115" t="s">
        <v>99</v>
      </c>
      <c r="F35" t="s">
        <v>14</v>
      </c>
      <c r="G35" s="16">
        <v>0</v>
      </c>
      <c r="H35" s="50">
        <v>282595.40000000002</v>
      </c>
      <c r="I35" s="50" t="s">
        <v>25</v>
      </c>
      <c r="J35" s="50" t="s">
        <v>25</v>
      </c>
      <c r="K35" s="50" t="str">
        <f t="shared" si="2"/>
        <v>D</v>
      </c>
      <c r="L35" s="50">
        <f t="shared" si="3"/>
        <v>0</v>
      </c>
      <c r="M35" s="124"/>
      <c r="O35">
        <f>_xlfn.XLOOKUP(B35,'BALANCETE 2022'!B:B,'BALANCETE 2022'!J:J,0)</f>
        <v>0</v>
      </c>
    </row>
    <row r="36" spans="1:15" x14ac:dyDescent="0.3">
      <c r="A36" t="s">
        <v>100</v>
      </c>
      <c r="B36" t="s">
        <v>101</v>
      </c>
      <c r="C36">
        <f t="shared" si="0"/>
        <v>1</v>
      </c>
      <c r="D36" t="str">
        <f t="shared" si="1"/>
        <v>A</v>
      </c>
      <c r="E36" s="115" t="s">
        <v>102</v>
      </c>
      <c r="F36" t="s">
        <v>14</v>
      </c>
      <c r="G36" s="16">
        <v>0</v>
      </c>
      <c r="H36" s="50">
        <v>14086.28</v>
      </c>
      <c r="I36" s="50" t="s">
        <v>25</v>
      </c>
      <c r="J36" s="50" t="s">
        <v>25</v>
      </c>
      <c r="K36" s="50" t="str">
        <f t="shared" si="2"/>
        <v>D</v>
      </c>
      <c r="L36" s="50">
        <f t="shared" si="3"/>
        <v>0</v>
      </c>
      <c r="M36" s="124"/>
      <c r="O36">
        <f>_xlfn.XLOOKUP(B36,'BALANCETE 2022'!B:B,'BALANCETE 2022'!J:J,0)</f>
        <v>0</v>
      </c>
    </row>
    <row r="37" spans="1:15" x14ac:dyDescent="0.3">
      <c r="A37" t="s">
        <v>103</v>
      </c>
      <c r="B37" t="s">
        <v>104</v>
      </c>
      <c r="C37">
        <f t="shared" si="0"/>
        <v>1</v>
      </c>
      <c r="D37" t="str">
        <f t="shared" si="1"/>
        <v>A</v>
      </c>
      <c r="E37" s="115" t="s">
        <v>105</v>
      </c>
      <c r="F37" t="s">
        <v>14</v>
      </c>
      <c r="G37" s="16">
        <v>0</v>
      </c>
      <c r="H37" s="50">
        <v>78794.22</v>
      </c>
      <c r="I37" s="50" t="s">
        <v>25</v>
      </c>
      <c r="J37" s="50" t="s">
        <v>25</v>
      </c>
      <c r="K37" s="50" t="str">
        <f t="shared" si="2"/>
        <v>D</v>
      </c>
      <c r="L37" s="50">
        <f t="shared" si="3"/>
        <v>0</v>
      </c>
      <c r="M37" s="124"/>
      <c r="O37">
        <f>_xlfn.XLOOKUP(B37,'BALANCETE 2022'!B:B,'BALANCETE 2022'!J:J,0)</f>
        <v>0</v>
      </c>
    </row>
    <row r="38" spans="1:15" x14ac:dyDescent="0.3">
      <c r="A38" t="s">
        <v>106</v>
      </c>
      <c r="B38" t="s">
        <v>107</v>
      </c>
      <c r="C38">
        <f t="shared" si="0"/>
        <v>1</v>
      </c>
      <c r="D38" t="str">
        <f t="shared" si="1"/>
        <v>A</v>
      </c>
      <c r="E38" s="115" t="s">
        <v>108</v>
      </c>
      <c r="F38" t="s">
        <v>14</v>
      </c>
      <c r="G38" s="16">
        <v>0</v>
      </c>
      <c r="H38" s="50">
        <v>188754.41</v>
      </c>
      <c r="I38" s="50" t="s">
        <v>25</v>
      </c>
      <c r="J38" s="50" t="s">
        <v>25</v>
      </c>
      <c r="K38" s="50" t="str">
        <f t="shared" si="2"/>
        <v>D</v>
      </c>
      <c r="L38" s="50">
        <f t="shared" si="3"/>
        <v>0</v>
      </c>
      <c r="M38" s="124"/>
      <c r="O38">
        <f>_xlfn.XLOOKUP(B38,'BALANCETE 2022'!B:B,'BALANCETE 2022'!J:J,0)</f>
        <v>0</v>
      </c>
    </row>
    <row r="39" spans="1:15" x14ac:dyDescent="0.3">
      <c r="A39" t="s">
        <v>109</v>
      </c>
      <c r="B39" t="s">
        <v>110</v>
      </c>
      <c r="C39">
        <f t="shared" si="0"/>
        <v>1</v>
      </c>
      <c r="D39" t="str">
        <f t="shared" si="1"/>
        <v>A</v>
      </c>
      <c r="E39" s="115" t="s">
        <v>111</v>
      </c>
      <c r="F39" t="s">
        <v>14</v>
      </c>
      <c r="G39" s="16">
        <v>0</v>
      </c>
      <c r="H39" s="50">
        <v>71000.7</v>
      </c>
      <c r="I39" s="50" t="s">
        <v>25</v>
      </c>
      <c r="J39" s="50" t="s">
        <v>25</v>
      </c>
      <c r="K39" s="50" t="str">
        <f t="shared" si="2"/>
        <v>D</v>
      </c>
      <c r="L39" s="50">
        <f t="shared" si="3"/>
        <v>0</v>
      </c>
      <c r="M39" s="124"/>
      <c r="O39">
        <f>_xlfn.XLOOKUP(B39,'BALANCETE 2022'!B:B,'BALANCETE 2022'!J:J,0)</f>
        <v>0</v>
      </c>
    </row>
    <row r="40" spans="1:15" x14ac:dyDescent="0.3">
      <c r="A40" t="s">
        <v>112</v>
      </c>
      <c r="B40" t="s">
        <v>113</v>
      </c>
      <c r="C40">
        <f t="shared" si="0"/>
        <v>1</v>
      </c>
      <c r="D40" t="str">
        <f t="shared" si="1"/>
        <v>A</v>
      </c>
      <c r="E40" s="115" t="s">
        <v>114</v>
      </c>
      <c r="F40" t="s">
        <v>14</v>
      </c>
      <c r="G40" s="16">
        <v>0</v>
      </c>
      <c r="H40" s="50">
        <v>108614.56</v>
      </c>
      <c r="I40" s="50" t="s">
        <v>25</v>
      </c>
      <c r="J40" s="50" t="s">
        <v>25</v>
      </c>
      <c r="K40" s="50" t="str">
        <f t="shared" si="2"/>
        <v>D</v>
      </c>
      <c r="L40" s="50">
        <f t="shared" si="3"/>
        <v>0</v>
      </c>
      <c r="M40" s="124"/>
      <c r="O40">
        <f>_xlfn.XLOOKUP(B40,'BALANCETE 2022'!B:B,'BALANCETE 2022'!J:J,0)</f>
        <v>0</v>
      </c>
    </row>
    <row r="41" spans="1:15" x14ac:dyDescent="0.3">
      <c r="A41" t="s">
        <v>115</v>
      </c>
      <c r="B41" t="s">
        <v>116</v>
      </c>
      <c r="C41">
        <f t="shared" si="0"/>
        <v>1</v>
      </c>
      <c r="D41" t="str">
        <f t="shared" si="1"/>
        <v>A</v>
      </c>
      <c r="E41" s="115" t="s">
        <v>117</v>
      </c>
      <c r="F41" t="s">
        <v>14</v>
      </c>
      <c r="G41" s="16">
        <v>0</v>
      </c>
      <c r="H41" s="50">
        <v>12000</v>
      </c>
      <c r="I41" s="50" t="s">
        <v>25</v>
      </c>
      <c r="J41" s="50" t="s">
        <v>25</v>
      </c>
      <c r="K41" s="50" t="str">
        <f t="shared" si="2"/>
        <v>D</v>
      </c>
      <c r="L41" s="50">
        <f t="shared" si="3"/>
        <v>0</v>
      </c>
      <c r="M41" s="124"/>
      <c r="O41">
        <f>_xlfn.XLOOKUP(B41,'BALANCETE 2022'!B:B,'BALANCETE 2022'!J:J,0)</f>
        <v>0</v>
      </c>
    </row>
    <row r="42" spans="1:15" x14ac:dyDescent="0.3">
      <c r="A42" t="s">
        <v>118</v>
      </c>
      <c r="B42" t="s">
        <v>119</v>
      </c>
      <c r="C42">
        <f t="shared" si="0"/>
        <v>1</v>
      </c>
      <c r="D42" t="str">
        <f t="shared" si="1"/>
        <v>A</v>
      </c>
      <c r="E42" s="115" t="s">
        <v>120</v>
      </c>
      <c r="F42" t="s">
        <v>14</v>
      </c>
      <c r="G42" s="16">
        <v>0</v>
      </c>
      <c r="H42" s="50">
        <v>11130</v>
      </c>
      <c r="I42" s="50" t="s">
        <v>25</v>
      </c>
      <c r="J42" s="50" t="s">
        <v>25</v>
      </c>
      <c r="K42" s="50" t="str">
        <f t="shared" si="2"/>
        <v>D</v>
      </c>
      <c r="L42" s="50">
        <f t="shared" si="3"/>
        <v>0</v>
      </c>
      <c r="M42" s="124"/>
      <c r="O42">
        <f>_xlfn.XLOOKUP(B42,'BALANCETE 2022'!B:B,'BALANCETE 2022'!J:J,0)</f>
        <v>0</v>
      </c>
    </row>
    <row r="43" spans="1:15" x14ac:dyDescent="0.3">
      <c r="A43" t="s">
        <v>121</v>
      </c>
      <c r="B43" t="s">
        <v>122</v>
      </c>
      <c r="C43">
        <f t="shared" si="0"/>
        <v>1</v>
      </c>
      <c r="D43" t="str">
        <f t="shared" si="1"/>
        <v>A</v>
      </c>
      <c r="E43" s="115" t="s">
        <v>123</v>
      </c>
      <c r="F43" t="s">
        <v>14</v>
      </c>
      <c r="G43" s="16">
        <v>0</v>
      </c>
      <c r="H43" s="50">
        <v>52176.79</v>
      </c>
      <c r="I43" s="50" t="s">
        <v>25</v>
      </c>
      <c r="J43" s="50" t="s">
        <v>25</v>
      </c>
      <c r="K43" s="50" t="str">
        <f t="shared" si="2"/>
        <v>D</v>
      </c>
      <c r="L43" s="50">
        <f t="shared" si="3"/>
        <v>0</v>
      </c>
      <c r="M43" s="124"/>
      <c r="O43">
        <f>_xlfn.XLOOKUP(B43,'BALANCETE 2022'!B:B,'BALANCETE 2022'!J:J,0)</f>
        <v>0</v>
      </c>
    </row>
    <row r="44" spans="1:15" x14ac:dyDescent="0.3">
      <c r="A44" t="s">
        <v>124</v>
      </c>
      <c r="B44" t="s">
        <v>125</v>
      </c>
      <c r="C44">
        <f t="shared" si="0"/>
        <v>1</v>
      </c>
      <c r="D44" t="str">
        <f t="shared" si="1"/>
        <v>A</v>
      </c>
      <c r="E44" s="115" t="s">
        <v>126</v>
      </c>
      <c r="F44" t="s">
        <v>14</v>
      </c>
      <c r="G44" s="16">
        <v>0</v>
      </c>
      <c r="H44" s="50">
        <v>100</v>
      </c>
      <c r="I44" s="50" t="s">
        <v>25</v>
      </c>
      <c r="J44" s="50" t="s">
        <v>25</v>
      </c>
      <c r="K44" s="50" t="str">
        <f t="shared" si="2"/>
        <v>D</v>
      </c>
      <c r="L44" s="50">
        <f t="shared" si="3"/>
        <v>0</v>
      </c>
      <c r="M44" s="124"/>
      <c r="O44">
        <f>_xlfn.XLOOKUP(B44,'BALANCETE 2022'!B:B,'BALANCETE 2022'!J:J,0)</f>
        <v>0</v>
      </c>
    </row>
    <row r="45" spans="1:15" x14ac:dyDescent="0.3">
      <c r="A45" t="s">
        <v>127</v>
      </c>
      <c r="B45" t="s">
        <v>128</v>
      </c>
      <c r="C45">
        <f t="shared" si="0"/>
        <v>1</v>
      </c>
      <c r="D45" t="str">
        <f t="shared" si="1"/>
        <v>A</v>
      </c>
      <c r="E45" s="115" t="s">
        <v>129</v>
      </c>
      <c r="F45" t="s">
        <v>14</v>
      </c>
      <c r="G45" s="16">
        <v>0</v>
      </c>
      <c r="H45" s="50">
        <v>253.5</v>
      </c>
      <c r="I45" s="50" t="s">
        <v>25</v>
      </c>
      <c r="J45" s="50" t="s">
        <v>25</v>
      </c>
      <c r="K45" s="50" t="str">
        <f t="shared" si="2"/>
        <v>D</v>
      </c>
      <c r="L45" s="50">
        <f t="shared" si="3"/>
        <v>0</v>
      </c>
      <c r="M45" s="124"/>
      <c r="O45">
        <f>_xlfn.XLOOKUP(B45,'BALANCETE 2022'!B:B,'BALANCETE 2022'!J:J,0)</f>
        <v>0</v>
      </c>
    </row>
    <row r="46" spans="1:15" x14ac:dyDescent="0.3">
      <c r="A46" t="s">
        <v>130</v>
      </c>
      <c r="B46" t="s">
        <v>131</v>
      </c>
      <c r="C46">
        <f t="shared" si="0"/>
        <v>1</v>
      </c>
      <c r="D46" t="str">
        <f t="shared" si="1"/>
        <v>A</v>
      </c>
      <c r="E46" s="115" t="s">
        <v>132</v>
      </c>
      <c r="F46" t="s">
        <v>14</v>
      </c>
      <c r="G46" s="16">
        <v>0</v>
      </c>
      <c r="H46" s="50">
        <v>3809.25</v>
      </c>
      <c r="I46" s="50" t="s">
        <v>25</v>
      </c>
      <c r="J46" s="50" t="s">
        <v>25</v>
      </c>
      <c r="K46" s="50" t="str">
        <f t="shared" si="2"/>
        <v>D</v>
      </c>
      <c r="L46" s="50">
        <f t="shared" si="3"/>
        <v>0</v>
      </c>
      <c r="M46" s="124"/>
      <c r="O46">
        <f>_xlfn.XLOOKUP(B46,'BALANCETE 2022'!B:B,'BALANCETE 2022'!J:J,0)</f>
        <v>0</v>
      </c>
    </row>
    <row r="47" spans="1:15" x14ac:dyDescent="0.3">
      <c r="A47" t="s">
        <v>133</v>
      </c>
      <c r="B47" t="s">
        <v>134</v>
      </c>
      <c r="C47">
        <f t="shared" si="0"/>
        <v>1</v>
      </c>
      <c r="D47" t="str">
        <f t="shared" si="1"/>
        <v>A</v>
      </c>
      <c r="E47" s="115" t="s">
        <v>135</v>
      </c>
      <c r="F47" t="s">
        <v>14</v>
      </c>
      <c r="G47" s="16">
        <v>0</v>
      </c>
      <c r="H47" s="50">
        <v>474488</v>
      </c>
      <c r="I47" s="50" t="s">
        <v>25</v>
      </c>
      <c r="J47" s="50" t="s">
        <v>25</v>
      </c>
      <c r="K47" s="50" t="str">
        <f t="shared" si="2"/>
        <v>D</v>
      </c>
      <c r="L47" s="50">
        <f t="shared" si="3"/>
        <v>0</v>
      </c>
      <c r="M47" s="124"/>
      <c r="O47">
        <f>_xlfn.XLOOKUP(B47,'BALANCETE 2022'!B:B,'BALANCETE 2022'!J:J,0)</f>
        <v>0</v>
      </c>
    </row>
    <row r="48" spans="1:15" x14ac:dyDescent="0.3">
      <c r="A48" t="s">
        <v>136</v>
      </c>
      <c r="B48" t="s">
        <v>137</v>
      </c>
      <c r="C48">
        <f t="shared" si="0"/>
        <v>1</v>
      </c>
      <c r="D48" t="str">
        <f t="shared" si="1"/>
        <v>A</v>
      </c>
      <c r="E48" s="115" t="s">
        <v>138</v>
      </c>
      <c r="F48" t="s">
        <v>14</v>
      </c>
      <c r="G48" s="16">
        <v>0</v>
      </c>
      <c r="H48" s="50">
        <v>124394</v>
      </c>
      <c r="I48" s="50" t="s">
        <v>25</v>
      </c>
      <c r="J48" s="50" t="s">
        <v>25</v>
      </c>
      <c r="K48" s="50" t="str">
        <f t="shared" si="2"/>
        <v>D</v>
      </c>
      <c r="L48" s="50">
        <f t="shared" si="3"/>
        <v>0</v>
      </c>
      <c r="M48" s="124"/>
      <c r="O48">
        <f>_xlfn.XLOOKUP(B48,'BALANCETE 2022'!B:B,'BALANCETE 2022'!J:J,0)</f>
        <v>0</v>
      </c>
    </row>
    <row r="49" spans="1:15" x14ac:dyDescent="0.3">
      <c r="A49" t="s">
        <v>139</v>
      </c>
      <c r="B49" t="s">
        <v>140</v>
      </c>
      <c r="C49">
        <f t="shared" si="0"/>
        <v>1</v>
      </c>
      <c r="D49" t="str">
        <f t="shared" si="1"/>
        <v>A</v>
      </c>
      <c r="E49" s="115" t="s">
        <v>141</v>
      </c>
      <c r="F49" t="s">
        <v>14</v>
      </c>
      <c r="G49" s="16">
        <v>0</v>
      </c>
      <c r="H49" s="50">
        <v>7868.25</v>
      </c>
      <c r="I49" s="50" t="s">
        <v>25</v>
      </c>
      <c r="J49" s="50" t="s">
        <v>25</v>
      </c>
      <c r="K49" s="50" t="str">
        <f t="shared" si="2"/>
        <v>D</v>
      </c>
      <c r="L49" s="50">
        <f t="shared" si="3"/>
        <v>0</v>
      </c>
      <c r="M49" s="124"/>
      <c r="O49">
        <f>_xlfn.XLOOKUP(B49,'BALANCETE 2022'!B:B,'BALANCETE 2022'!J:J,0)</f>
        <v>0</v>
      </c>
    </row>
    <row r="50" spans="1:15" x14ac:dyDescent="0.3">
      <c r="A50" t="s">
        <v>142</v>
      </c>
      <c r="B50" t="s">
        <v>143</v>
      </c>
      <c r="C50">
        <f t="shared" si="0"/>
        <v>1</v>
      </c>
      <c r="D50" t="str">
        <f t="shared" si="1"/>
        <v>A</v>
      </c>
      <c r="E50" s="115" t="s">
        <v>144</v>
      </c>
      <c r="F50" t="s">
        <v>14</v>
      </c>
      <c r="G50" s="16">
        <v>0</v>
      </c>
      <c r="H50" s="50">
        <v>118536.5</v>
      </c>
      <c r="I50" s="50" t="s">
        <v>25</v>
      </c>
      <c r="J50" s="50" t="s">
        <v>25</v>
      </c>
      <c r="K50" s="50" t="str">
        <f t="shared" si="2"/>
        <v>D</v>
      </c>
      <c r="L50" s="50">
        <f t="shared" si="3"/>
        <v>0</v>
      </c>
      <c r="M50" s="124"/>
      <c r="O50">
        <f>_xlfn.XLOOKUP(B50,'BALANCETE 2022'!B:B,'BALANCETE 2022'!J:J,0)</f>
        <v>0</v>
      </c>
    </row>
    <row r="51" spans="1:15" x14ac:dyDescent="0.3">
      <c r="A51" t="s">
        <v>145</v>
      </c>
      <c r="B51" t="s">
        <v>146</v>
      </c>
      <c r="C51">
        <f t="shared" si="0"/>
        <v>1</v>
      </c>
      <c r="D51" t="str">
        <f t="shared" si="1"/>
        <v>A</v>
      </c>
      <c r="E51" s="115" t="s">
        <v>147</v>
      </c>
      <c r="F51" t="s">
        <v>14</v>
      </c>
      <c r="G51" s="16">
        <v>0</v>
      </c>
      <c r="H51" s="50">
        <v>2438.09</v>
      </c>
      <c r="I51" s="50" t="s">
        <v>25</v>
      </c>
      <c r="J51" s="50" t="s">
        <v>25</v>
      </c>
      <c r="K51" s="50" t="str">
        <f t="shared" si="2"/>
        <v>D</v>
      </c>
      <c r="L51" s="50">
        <f t="shared" si="3"/>
        <v>0</v>
      </c>
      <c r="M51" s="124"/>
      <c r="O51">
        <f>_xlfn.XLOOKUP(B51,'BALANCETE 2022'!B:B,'BALANCETE 2022'!J:J,0)</f>
        <v>0</v>
      </c>
    </row>
    <row r="52" spans="1:15" x14ac:dyDescent="0.3">
      <c r="A52" t="s">
        <v>148</v>
      </c>
      <c r="B52" t="s">
        <v>149</v>
      </c>
      <c r="C52">
        <f t="shared" si="0"/>
        <v>1</v>
      </c>
      <c r="D52" t="str">
        <f t="shared" si="1"/>
        <v>A</v>
      </c>
      <c r="E52" s="115" t="s">
        <v>150</v>
      </c>
      <c r="F52" t="s">
        <v>14</v>
      </c>
      <c r="G52" s="16">
        <v>0</v>
      </c>
      <c r="H52" s="50">
        <v>50790.7</v>
      </c>
      <c r="I52" s="50" t="s">
        <v>25</v>
      </c>
      <c r="J52" s="50" t="s">
        <v>25</v>
      </c>
      <c r="K52" s="50" t="str">
        <f t="shared" si="2"/>
        <v>D</v>
      </c>
      <c r="L52" s="50">
        <f t="shared" si="3"/>
        <v>0</v>
      </c>
      <c r="M52" s="124"/>
      <c r="O52">
        <f>_xlfn.XLOOKUP(B52,'BALANCETE 2022'!B:B,'BALANCETE 2022'!J:J,0)</f>
        <v>0</v>
      </c>
    </row>
    <row r="53" spans="1:15" x14ac:dyDescent="0.3">
      <c r="A53" t="s">
        <v>151</v>
      </c>
      <c r="B53" t="s">
        <v>152</v>
      </c>
      <c r="C53">
        <f t="shared" si="0"/>
        <v>1</v>
      </c>
      <c r="D53" t="str">
        <f t="shared" si="1"/>
        <v>A</v>
      </c>
      <c r="E53" s="115" t="s">
        <v>153</v>
      </c>
      <c r="F53" t="s">
        <v>14</v>
      </c>
      <c r="G53" s="16">
        <v>0</v>
      </c>
      <c r="H53" s="50">
        <v>667.15</v>
      </c>
      <c r="I53" s="50" t="s">
        <v>25</v>
      </c>
      <c r="J53" s="50" t="s">
        <v>25</v>
      </c>
      <c r="K53" s="50" t="str">
        <f t="shared" si="2"/>
        <v>D</v>
      </c>
      <c r="L53" s="50">
        <f t="shared" si="3"/>
        <v>0</v>
      </c>
      <c r="M53" s="124"/>
      <c r="O53">
        <f>_xlfn.XLOOKUP(B53,'BALANCETE 2022'!B:B,'BALANCETE 2022'!J:J,0)</f>
        <v>0</v>
      </c>
    </row>
    <row r="54" spans="1:15" x14ac:dyDescent="0.3">
      <c r="A54" t="s">
        <v>154</v>
      </c>
      <c r="B54" t="s">
        <v>155</v>
      </c>
      <c r="C54">
        <f t="shared" si="0"/>
        <v>1</v>
      </c>
      <c r="D54" t="str">
        <f t="shared" si="1"/>
        <v>A</v>
      </c>
      <c r="E54" s="115" t="s">
        <v>156</v>
      </c>
      <c r="F54" t="s">
        <v>14</v>
      </c>
      <c r="G54" s="16">
        <v>0</v>
      </c>
      <c r="H54" s="50">
        <v>13854.71</v>
      </c>
      <c r="I54" s="50" t="s">
        <v>25</v>
      </c>
      <c r="J54" s="50" t="s">
        <v>25</v>
      </c>
      <c r="K54" s="50" t="str">
        <f t="shared" si="2"/>
        <v>D</v>
      </c>
      <c r="L54" s="50">
        <f t="shared" si="3"/>
        <v>0</v>
      </c>
      <c r="M54" s="124"/>
      <c r="O54">
        <f>_xlfn.XLOOKUP(B54,'BALANCETE 2022'!B:B,'BALANCETE 2022'!J:J,0)</f>
        <v>0</v>
      </c>
    </row>
    <row r="55" spans="1:15" x14ac:dyDescent="0.3">
      <c r="A55" t="s">
        <v>157</v>
      </c>
      <c r="B55" t="s">
        <v>158</v>
      </c>
      <c r="C55">
        <f t="shared" si="0"/>
        <v>1</v>
      </c>
      <c r="D55" t="str">
        <f t="shared" si="1"/>
        <v>A</v>
      </c>
      <c r="E55" s="115" t="s">
        <v>159</v>
      </c>
      <c r="F55" t="s">
        <v>14</v>
      </c>
      <c r="G55" s="16">
        <v>0</v>
      </c>
      <c r="H55" s="50">
        <v>8017.45</v>
      </c>
      <c r="I55" s="50" t="s">
        <v>25</v>
      </c>
      <c r="J55" s="50" t="s">
        <v>25</v>
      </c>
      <c r="K55" s="50" t="str">
        <f t="shared" si="2"/>
        <v>D</v>
      </c>
      <c r="L55" s="50">
        <f t="shared" si="3"/>
        <v>0</v>
      </c>
      <c r="M55" s="124"/>
      <c r="O55">
        <f>_xlfn.XLOOKUP(B55,'BALANCETE 2022'!B:B,'BALANCETE 2022'!J:J,0)</f>
        <v>0</v>
      </c>
    </row>
    <row r="56" spans="1:15" x14ac:dyDescent="0.3">
      <c r="A56" t="s">
        <v>160</v>
      </c>
      <c r="B56" t="s">
        <v>161</v>
      </c>
      <c r="C56">
        <f t="shared" si="0"/>
        <v>1</v>
      </c>
      <c r="D56" t="str">
        <f t="shared" si="1"/>
        <v>A</v>
      </c>
      <c r="E56" s="115" t="s">
        <v>162</v>
      </c>
      <c r="F56" t="s">
        <v>14</v>
      </c>
      <c r="G56" s="16">
        <v>0</v>
      </c>
      <c r="H56" s="50">
        <v>1552</v>
      </c>
      <c r="I56" s="50" t="s">
        <v>25</v>
      </c>
      <c r="J56" s="50" t="s">
        <v>25</v>
      </c>
      <c r="K56" s="50" t="str">
        <f t="shared" si="2"/>
        <v>D</v>
      </c>
      <c r="L56" s="50">
        <f t="shared" si="3"/>
        <v>0</v>
      </c>
      <c r="M56" s="124"/>
      <c r="O56">
        <f>_xlfn.XLOOKUP(B56,'BALANCETE 2022'!B:B,'BALANCETE 2022'!J:J,0)</f>
        <v>0</v>
      </c>
    </row>
    <row r="57" spans="1:15" x14ac:dyDescent="0.3">
      <c r="A57" t="s">
        <v>163</v>
      </c>
      <c r="B57" t="s">
        <v>164</v>
      </c>
      <c r="C57">
        <f t="shared" si="0"/>
        <v>1</v>
      </c>
      <c r="D57" t="str">
        <f t="shared" si="1"/>
        <v>A</v>
      </c>
      <c r="E57" s="115" t="s">
        <v>165</v>
      </c>
      <c r="F57" t="s">
        <v>14</v>
      </c>
      <c r="G57" s="16">
        <v>0</v>
      </c>
      <c r="H57" s="50">
        <v>17001.78</v>
      </c>
      <c r="I57" s="50" t="s">
        <v>25</v>
      </c>
      <c r="J57" s="50" t="s">
        <v>25</v>
      </c>
      <c r="K57" s="50" t="str">
        <f t="shared" si="2"/>
        <v>D</v>
      </c>
      <c r="L57" s="50">
        <f t="shared" si="3"/>
        <v>0</v>
      </c>
      <c r="M57" s="124"/>
      <c r="O57">
        <f>_xlfn.XLOOKUP(B57,'BALANCETE 2022'!B:B,'BALANCETE 2022'!J:J,0)</f>
        <v>0</v>
      </c>
    </row>
    <row r="58" spans="1:15" x14ac:dyDescent="0.3">
      <c r="A58" t="s">
        <v>166</v>
      </c>
      <c r="B58" t="s">
        <v>167</v>
      </c>
      <c r="C58">
        <f t="shared" si="0"/>
        <v>1</v>
      </c>
      <c r="D58" t="str">
        <f t="shared" si="1"/>
        <v>A</v>
      </c>
      <c r="E58" s="115" t="s">
        <v>168</v>
      </c>
      <c r="F58" t="s">
        <v>14</v>
      </c>
      <c r="G58" s="16">
        <v>0</v>
      </c>
      <c r="H58" s="50">
        <v>3282.91</v>
      </c>
      <c r="I58" s="50" t="s">
        <v>25</v>
      </c>
      <c r="J58" s="50" t="s">
        <v>25</v>
      </c>
      <c r="K58" s="50" t="str">
        <f t="shared" si="2"/>
        <v>D</v>
      </c>
      <c r="L58" s="50">
        <f t="shared" si="3"/>
        <v>0</v>
      </c>
      <c r="M58" s="124"/>
      <c r="O58">
        <f>_xlfn.XLOOKUP(B58,'BALANCETE 2022'!B:B,'BALANCETE 2022'!J:J,0)</f>
        <v>0</v>
      </c>
    </row>
    <row r="59" spans="1:15" x14ac:dyDescent="0.3">
      <c r="A59" t="s">
        <v>169</v>
      </c>
      <c r="B59" t="s">
        <v>170</v>
      </c>
      <c r="C59">
        <f t="shared" si="0"/>
        <v>1</v>
      </c>
      <c r="D59" t="str">
        <f t="shared" si="1"/>
        <v>A</v>
      </c>
      <c r="E59" s="115" t="s">
        <v>171</v>
      </c>
      <c r="F59" t="s">
        <v>14</v>
      </c>
      <c r="G59" s="16">
        <v>0</v>
      </c>
      <c r="H59" s="50">
        <v>3855</v>
      </c>
      <c r="I59" s="50" t="s">
        <v>25</v>
      </c>
      <c r="J59" s="50" t="s">
        <v>25</v>
      </c>
      <c r="K59" s="50" t="str">
        <f t="shared" si="2"/>
        <v>D</v>
      </c>
      <c r="L59" s="50">
        <f t="shared" si="3"/>
        <v>0</v>
      </c>
      <c r="M59" s="124"/>
      <c r="O59">
        <f>_xlfn.XLOOKUP(B59,'BALANCETE 2022'!B:B,'BALANCETE 2022'!J:J,0)</f>
        <v>0</v>
      </c>
    </row>
    <row r="60" spans="1:15" x14ac:dyDescent="0.3">
      <c r="A60" t="s">
        <v>172</v>
      </c>
      <c r="B60" t="s">
        <v>173</v>
      </c>
      <c r="C60">
        <f t="shared" si="0"/>
        <v>1</v>
      </c>
      <c r="D60" t="str">
        <f t="shared" si="1"/>
        <v>A</v>
      </c>
      <c r="E60" s="115" t="s">
        <v>174</v>
      </c>
      <c r="F60" t="s">
        <v>14</v>
      </c>
      <c r="G60" s="16">
        <v>0</v>
      </c>
      <c r="H60" s="50">
        <v>976.12</v>
      </c>
      <c r="I60" s="50" t="s">
        <v>25</v>
      </c>
      <c r="J60" s="50" t="s">
        <v>25</v>
      </c>
      <c r="K60" s="50" t="str">
        <f t="shared" si="2"/>
        <v>D</v>
      </c>
      <c r="L60" s="50">
        <f t="shared" si="3"/>
        <v>0</v>
      </c>
      <c r="M60" s="124"/>
      <c r="O60">
        <f>_xlfn.XLOOKUP(B60,'BALANCETE 2022'!B:B,'BALANCETE 2022'!J:J,0)</f>
        <v>0</v>
      </c>
    </row>
    <row r="61" spans="1:15" x14ac:dyDescent="0.3">
      <c r="A61" t="s">
        <v>175</v>
      </c>
      <c r="B61" t="s">
        <v>176</v>
      </c>
      <c r="C61">
        <f t="shared" si="0"/>
        <v>1</v>
      </c>
      <c r="D61" t="str">
        <f t="shared" si="1"/>
        <v>A</v>
      </c>
      <c r="E61" s="115" t="s">
        <v>177</v>
      </c>
      <c r="F61" t="s">
        <v>14</v>
      </c>
      <c r="G61" s="16">
        <v>0</v>
      </c>
      <c r="H61" s="50">
        <v>2564</v>
      </c>
      <c r="I61" s="50" t="s">
        <v>25</v>
      </c>
      <c r="J61" s="50" t="s">
        <v>25</v>
      </c>
      <c r="K61" s="50" t="str">
        <f t="shared" si="2"/>
        <v>D</v>
      </c>
      <c r="L61" s="50">
        <f t="shared" si="3"/>
        <v>0</v>
      </c>
      <c r="M61" s="124"/>
      <c r="O61">
        <f>_xlfn.XLOOKUP(B61,'BALANCETE 2022'!B:B,'BALANCETE 2022'!J:J,0)</f>
        <v>0</v>
      </c>
    </row>
    <row r="62" spans="1:15" x14ac:dyDescent="0.3">
      <c r="A62" t="s">
        <v>178</v>
      </c>
      <c r="B62" t="s">
        <v>179</v>
      </c>
      <c r="C62">
        <f t="shared" si="0"/>
        <v>1</v>
      </c>
      <c r="D62" t="str">
        <f t="shared" si="1"/>
        <v>A</v>
      </c>
      <c r="E62" s="115" t="s">
        <v>180</v>
      </c>
      <c r="F62" t="s">
        <v>14</v>
      </c>
      <c r="G62" s="16">
        <v>0</v>
      </c>
      <c r="H62" s="50">
        <v>18000</v>
      </c>
      <c r="I62" s="50" t="s">
        <v>25</v>
      </c>
      <c r="J62" s="50" t="s">
        <v>25</v>
      </c>
      <c r="K62" s="50" t="str">
        <f t="shared" si="2"/>
        <v>D</v>
      </c>
      <c r="L62" s="50">
        <f t="shared" si="3"/>
        <v>0</v>
      </c>
      <c r="M62" s="124"/>
      <c r="O62">
        <f>_xlfn.XLOOKUP(B62,'BALANCETE 2022'!B:B,'BALANCETE 2022'!J:J,0)</f>
        <v>0</v>
      </c>
    </row>
    <row r="63" spans="1:15" x14ac:dyDescent="0.3">
      <c r="A63" t="s">
        <v>181</v>
      </c>
      <c r="B63" t="s">
        <v>182</v>
      </c>
      <c r="C63">
        <f t="shared" si="0"/>
        <v>1</v>
      </c>
      <c r="D63" t="str">
        <f t="shared" si="1"/>
        <v>A</v>
      </c>
      <c r="E63" s="115" t="s">
        <v>183</v>
      </c>
      <c r="F63" t="s">
        <v>14</v>
      </c>
      <c r="G63" s="16">
        <v>0</v>
      </c>
      <c r="H63" s="50">
        <v>25.98</v>
      </c>
      <c r="I63" s="50" t="s">
        <v>25</v>
      </c>
      <c r="J63" s="50" t="s">
        <v>25</v>
      </c>
      <c r="K63" s="50" t="str">
        <f t="shared" si="2"/>
        <v>D</v>
      </c>
      <c r="L63" s="50">
        <f t="shared" si="3"/>
        <v>0</v>
      </c>
      <c r="M63" s="124"/>
      <c r="O63">
        <f>_xlfn.XLOOKUP(B63,'BALANCETE 2022'!B:B,'BALANCETE 2022'!J:J,0)</f>
        <v>0</v>
      </c>
    </row>
    <row r="64" spans="1:15" x14ac:dyDescent="0.3">
      <c r="A64" t="s">
        <v>184</v>
      </c>
      <c r="B64" t="s">
        <v>185</v>
      </c>
      <c r="C64">
        <f t="shared" si="0"/>
        <v>1</v>
      </c>
      <c r="D64" t="str">
        <f t="shared" si="1"/>
        <v>A</v>
      </c>
      <c r="E64" s="115" t="s">
        <v>186</v>
      </c>
      <c r="F64" t="s">
        <v>14</v>
      </c>
      <c r="G64" s="16">
        <v>0</v>
      </c>
      <c r="H64" s="50">
        <v>0</v>
      </c>
      <c r="I64" s="50" t="s">
        <v>186</v>
      </c>
      <c r="J64" s="50" t="s">
        <v>186</v>
      </c>
      <c r="K64" s="50" t="str">
        <f t="shared" si="2"/>
        <v>D</v>
      </c>
      <c r="L64" s="50">
        <f t="shared" si="3"/>
        <v>224.3</v>
      </c>
      <c r="M64" s="124"/>
      <c r="O64">
        <f>_xlfn.XLOOKUP(B64,'BALANCETE 2022'!B:B,'BALANCETE 2022'!J:J,0)</f>
        <v>0</v>
      </c>
    </row>
    <row r="65" spans="1:15" x14ac:dyDescent="0.3">
      <c r="A65" t="s">
        <v>187</v>
      </c>
      <c r="B65" t="s">
        <v>188</v>
      </c>
      <c r="C65">
        <f t="shared" si="0"/>
        <v>1</v>
      </c>
      <c r="D65" t="str">
        <f t="shared" si="1"/>
        <v>A</v>
      </c>
      <c r="E65" s="115" t="s">
        <v>189</v>
      </c>
      <c r="F65" t="s">
        <v>14</v>
      </c>
      <c r="G65" s="16">
        <v>8700</v>
      </c>
      <c r="H65" s="50">
        <v>15150</v>
      </c>
      <c r="I65" s="50" t="s">
        <v>25</v>
      </c>
      <c r="J65" s="50" t="s">
        <v>25</v>
      </c>
      <c r="K65" s="50" t="str">
        <f t="shared" si="2"/>
        <v>D</v>
      </c>
      <c r="L65" s="50">
        <f t="shared" si="3"/>
        <v>0</v>
      </c>
      <c r="M65" s="124"/>
      <c r="O65">
        <f>_xlfn.XLOOKUP(B65,'BALANCETE 2022'!B:B,'BALANCETE 2022'!J:J,0)</f>
        <v>0</v>
      </c>
    </row>
    <row r="66" spans="1:15" x14ac:dyDescent="0.3">
      <c r="A66" t="s">
        <v>190</v>
      </c>
      <c r="B66" t="s">
        <v>191</v>
      </c>
      <c r="C66">
        <f t="shared" si="0"/>
        <v>1</v>
      </c>
      <c r="D66" t="str">
        <f t="shared" si="1"/>
        <v>A</v>
      </c>
      <c r="E66" s="115" t="s">
        <v>192</v>
      </c>
      <c r="F66" t="s">
        <v>14</v>
      </c>
      <c r="G66" s="16">
        <v>0</v>
      </c>
      <c r="H66" s="50">
        <v>15926</v>
      </c>
      <c r="I66" s="50" t="s">
        <v>25</v>
      </c>
      <c r="J66" s="50" t="s">
        <v>25</v>
      </c>
      <c r="K66" s="50" t="str">
        <f t="shared" si="2"/>
        <v>D</v>
      </c>
      <c r="L66" s="50">
        <f t="shared" si="3"/>
        <v>0</v>
      </c>
      <c r="M66" s="124"/>
      <c r="O66">
        <f>_xlfn.XLOOKUP(B66,'BALANCETE 2022'!B:B,'BALANCETE 2022'!J:J,0)</f>
        <v>0</v>
      </c>
    </row>
    <row r="67" spans="1:15" x14ac:dyDescent="0.3">
      <c r="A67" t="s">
        <v>193</v>
      </c>
      <c r="B67" t="s">
        <v>194</v>
      </c>
      <c r="C67">
        <f t="shared" si="0"/>
        <v>1</v>
      </c>
      <c r="D67" t="str">
        <f t="shared" si="1"/>
        <v>A</v>
      </c>
      <c r="E67" s="115" t="s">
        <v>195</v>
      </c>
      <c r="F67" t="s">
        <v>14</v>
      </c>
      <c r="G67" s="16">
        <v>0</v>
      </c>
      <c r="H67" s="50">
        <v>3401.95</v>
      </c>
      <c r="I67" s="50">
        <v>0</v>
      </c>
      <c r="J67" s="50">
        <v>0</v>
      </c>
      <c r="K67" s="50" t="str">
        <f t="shared" si="2"/>
        <v>0</v>
      </c>
      <c r="L67" s="50">
        <f t="shared" si="3"/>
        <v>0</v>
      </c>
      <c r="M67" s="124"/>
      <c r="O67">
        <f>_xlfn.XLOOKUP(B67,'BALANCETE 2022'!B:B,'BALANCETE 2022'!J:J,0)</f>
        <v>0</v>
      </c>
    </row>
    <row r="68" spans="1:15" x14ac:dyDescent="0.3">
      <c r="A68" t="s">
        <v>196</v>
      </c>
      <c r="B68" t="s">
        <v>197</v>
      </c>
      <c r="C68">
        <f t="shared" si="0"/>
        <v>1</v>
      </c>
      <c r="D68" t="str">
        <f t="shared" si="1"/>
        <v>A</v>
      </c>
      <c r="E68" s="115" t="s">
        <v>198</v>
      </c>
      <c r="F68" t="s">
        <v>14</v>
      </c>
      <c r="G68" s="16">
        <v>0</v>
      </c>
      <c r="H68" s="50">
        <v>4750</v>
      </c>
      <c r="I68" s="50">
        <v>0</v>
      </c>
      <c r="J68" s="50">
        <v>0</v>
      </c>
      <c r="K68" s="50" t="str">
        <f t="shared" si="2"/>
        <v>0</v>
      </c>
      <c r="L68" s="50">
        <f t="shared" si="3"/>
        <v>0</v>
      </c>
      <c r="M68" s="124"/>
      <c r="O68">
        <f>_xlfn.XLOOKUP(B68,'BALANCETE 2022'!B:B,'BALANCETE 2022'!J:J,0)</f>
        <v>0</v>
      </c>
    </row>
    <row r="69" spans="1:15" x14ac:dyDescent="0.3">
      <c r="A69" t="s">
        <v>199</v>
      </c>
      <c r="B69" t="s">
        <v>200</v>
      </c>
      <c r="C69">
        <f t="shared" si="0"/>
        <v>1</v>
      </c>
      <c r="D69" t="str">
        <f t="shared" si="1"/>
        <v>A</v>
      </c>
      <c r="E69" s="115" t="s">
        <v>201</v>
      </c>
      <c r="F69" t="s">
        <v>14</v>
      </c>
      <c r="G69" s="16">
        <v>0</v>
      </c>
      <c r="H69" s="50">
        <v>46613</v>
      </c>
      <c r="I69" s="50">
        <v>0</v>
      </c>
      <c r="J69" s="50">
        <v>0</v>
      </c>
      <c r="K69" s="50" t="str">
        <f t="shared" si="2"/>
        <v>0</v>
      </c>
      <c r="L69" s="50">
        <f t="shared" si="3"/>
        <v>0</v>
      </c>
      <c r="M69" s="124"/>
      <c r="O69">
        <f>_xlfn.XLOOKUP(B69,'BALANCETE 2022'!B:B,'BALANCETE 2022'!J:J,0)</f>
        <v>0</v>
      </c>
    </row>
    <row r="70" spans="1:15" x14ac:dyDescent="0.3">
      <c r="A70" t="s">
        <v>202</v>
      </c>
      <c r="B70" t="s">
        <v>203</v>
      </c>
      <c r="C70">
        <f t="shared" si="0"/>
        <v>1</v>
      </c>
      <c r="D70" t="str">
        <f t="shared" si="1"/>
        <v>A</v>
      </c>
      <c r="E70" s="115" t="s">
        <v>204</v>
      </c>
      <c r="F70" t="s">
        <v>14</v>
      </c>
      <c r="G70" s="16">
        <v>0</v>
      </c>
      <c r="H70" s="50">
        <v>690</v>
      </c>
      <c r="I70" s="50">
        <v>0</v>
      </c>
      <c r="J70" s="50">
        <v>0</v>
      </c>
      <c r="K70" s="50" t="str">
        <f t="shared" si="2"/>
        <v>0</v>
      </c>
      <c r="L70" s="50">
        <f t="shared" si="3"/>
        <v>0</v>
      </c>
      <c r="M70" s="124"/>
      <c r="O70">
        <f>_xlfn.XLOOKUP(B70,'BALANCETE 2022'!B:B,'BALANCETE 2022'!J:J,0)</f>
        <v>0</v>
      </c>
    </row>
    <row r="71" spans="1:15" x14ac:dyDescent="0.3">
      <c r="A71" t="s">
        <v>205</v>
      </c>
      <c r="B71" t="s">
        <v>206</v>
      </c>
      <c r="C71">
        <f t="shared" si="0"/>
        <v>1</v>
      </c>
      <c r="D71" t="str">
        <f t="shared" si="1"/>
        <v>A</v>
      </c>
      <c r="E71" s="115">
        <v>0</v>
      </c>
      <c r="F71" t="s">
        <v>14</v>
      </c>
      <c r="G71" s="16">
        <v>1260</v>
      </c>
      <c r="H71" s="50">
        <v>1260</v>
      </c>
      <c r="I71" s="50">
        <v>0</v>
      </c>
      <c r="J71" s="50">
        <v>0</v>
      </c>
      <c r="K71" s="50" t="str">
        <f t="shared" si="2"/>
        <v>0</v>
      </c>
      <c r="L71" s="50">
        <f t="shared" si="3"/>
        <v>0</v>
      </c>
      <c r="M71" s="124"/>
      <c r="O71">
        <f>_xlfn.XLOOKUP(B71,'BALANCETE 2022'!B:B,'BALANCETE 2022'!J:J,0)</f>
        <v>0</v>
      </c>
    </row>
    <row r="72" spans="1:15" x14ac:dyDescent="0.3">
      <c r="A72" t="s">
        <v>207</v>
      </c>
      <c r="B72" t="s">
        <v>208</v>
      </c>
      <c r="C72">
        <f t="shared" si="0"/>
        <v>1</v>
      </c>
      <c r="D72" t="str">
        <f t="shared" si="1"/>
        <v>A</v>
      </c>
      <c r="E72" s="115">
        <v>0</v>
      </c>
      <c r="F72" t="s">
        <v>14</v>
      </c>
      <c r="G72" s="16">
        <v>670.24</v>
      </c>
      <c r="H72" s="50">
        <v>670.24</v>
      </c>
      <c r="I72" s="50">
        <v>0</v>
      </c>
      <c r="J72" s="50">
        <v>0</v>
      </c>
      <c r="K72" s="50" t="str">
        <f t="shared" si="2"/>
        <v>0</v>
      </c>
      <c r="L72" s="50">
        <f t="shared" si="3"/>
        <v>0</v>
      </c>
      <c r="M72" s="124"/>
      <c r="O72">
        <f>_xlfn.XLOOKUP(B72,'BALANCETE 2022'!B:B,'BALANCETE 2022'!J:J,0)</f>
        <v>0</v>
      </c>
    </row>
    <row r="73" spans="1:15" x14ac:dyDescent="0.3">
      <c r="A73" t="s">
        <v>209</v>
      </c>
      <c r="B73" t="s">
        <v>210</v>
      </c>
      <c r="C73">
        <f t="shared" si="0"/>
        <v>1</v>
      </c>
      <c r="D73" t="str">
        <f t="shared" si="1"/>
        <v>A</v>
      </c>
      <c r="E73" s="115">
        <v>0</v>
      </c>
      <c r="F73" t="s">
        <v>14</v>
      </c>
      <c r="G73" s="16">
        <v>13440</v>
      </c>
      <c r="H73" s="50">
        <v>13440</v>
      </c>
      <c r="I73" s="50">
        <v>0</v>
      </c>
      <c r="J73" s="50">
        <v>0</v>
      </c>
      <c r="K73" s="50" t="str">
        <f t="shared" si="2"/>
        <v>0</v>
      </c>
      <c r="L73" s="50">
        <f t="shared" si="3"/>
        <v>0</v>
      </c>
      <c r="M73" s="124"/>
      <c r="O73">
        <f>_xlfn.XLOOKUP(B73,'BALANCETE 2022'!B:B,'BALANCETE 2022'!J:J,0)</f>
        <v>0</v>
      </c>
    </row>
    <row r="74" spans="1:15" x14ac:dyDescent="0.3">
      <c r="A74" t="s">
        <v>211</v>
      </c>
      <c r="B74" t="s">
        <v>212</v>
      </c>
      <c r="C74">
        <f t="shared" ref="C74:C137" si="4">(LEFT(SUBSTITUTE(B74,"[",""),1))+0</f>
        <v>1</v>
      </c>
      <c r="D74" t="str">
        <f t="shared" ref="D74:D137" si="5">IF((LEN(B74)+0)&lt;15,"s","A")</f>
        <v>A</v>
      </c>
      <c r="E74" s="115" t="s">
        <v>25</v>
      </c>
      <c r="F74" t="s">
        <v>14</v>
      </c>
      <c r="G74" s="16">
        <v>29237</v>
      </c>
      <c r="H74" s="50">
        <v>8652.9699999999993</v>
      </c>
      <c r="I74" s="50" t="s">
        <v>213</v>
      </c>
      <c r="J74" s="50" t="s">
        <v>213</v>
      </c>
      <c r="K74" s="50" t="str">
        <f t="shared" ref="K74:K137" si="6">RIGHT(J74)</f>
        <v>D</v>
      </c>
      <c r="L74" s="50">
        <f t="shared" ref="L74:L137" si="7">(SUBSTITUTE(SUBSTITUTE(J74,"D","",1),"C","",1)+0)*IF(K74=F74,1,-1)</f>
        <v>20584.03</v>
      </c>
      <c r="M74" s="124"/>
      <c r="O74">
        <f>_xlfn.XLOOKUP(B74,'BALANCETE 2022'!B:B,'BALANCETE 2022'!J:J,0)</f>
        <v>0</v>
      </c>
    </row>
    <row r="75" spans="1:15" x14ac:dyDescent="0.3">
      <c r="A75" t="s">
        <v>214</v>
      </c>
      <c r="B75" t="s">
        <v>215</v>
      </c>
      <c r="C75">
        <f t="shared" si="4"/>
        <v>1</v>
      </c>
      <c r="D75" t="str">
        <f t="shared" si="5"/>
        <v>A</v>
      </c>
      <c r="E75" s="115" t="s">
        <v>216</v>
      </c>
      <c r="F75" t="s">
        <v>14</v>
      </c>
      <c r="G75" s="16">
        <v>0</v>
      </c>
      <c r="H75" s="50">
        <v>0</v>
      </c>
      <c r="I75" s="50" t="s">
        <v>216</v>
      </c>
      <c r="J75" s="50" t="s">
        <v>216</v>
      </c>
      <c r="K75" s="50" t="str">
        <f t="shared" si="6"/>
        <v>D</v>
      </c>
      <c r="L75" s="50">
        <f t="shared" si="7"/>
        <v>164931.20000000001</v>
      </c>
      <c r="M75" s="124"/>
      <c r="O75">
        <f>_xlfn.XLOOKUP(B75,'BALANCETE 2022'!B:B,'BALANCETE 2022'!J:J,0)</f>
        <v>0</v>
      </c>
    </row>
    <row r="76" spans="1:15" x14ac:dyDescent="0.3">
      <c r="A76" t="s">
        <v>217</v>
      </c>
      <c r="B76" t="s">
        <v>218</v>
      </c>
      <c r="C76">
        <f t="shared" si="4"/>
        <v>1</v>
      </c>
      <c r="D76" t="str">
        <f t="shared" si="5"/>
        <v>A</v>
      </c>
      <c r="E76" s="115" t="s">
        <v>25</v>
      </c>
      <c r="F76" t="s">
        <v>14</v>
      </c>
      <c r="G76" s="16">
        <v>25200</v>
      </c>
      <c r="H76" s="50">
        <v>25200</v>
      </c>
      <c r="I76" s="50" t="s">
        <v>25</v>
      </c>
      <c r="J76" s="50" t="s">
        <v>25</v>
      </c>
      <c r="K76" s="50" t="str">
        <f t="shared" si="6"/>
        <v>D</v>
      </c>
      <c r="L76" s="50">
        <f t="shared" si="7"/>
        <v>0</v>
      </c>
      <c r="M76" s="124"/>
      <c r="O76">
        <f>_xlfn.XLOOKUP(B76,'BALANCETE 2022'!B:B,'BALANCETE 2022'!J:J,0)</f>
        <v>0</v>
      </c>
    </row>
    <row r="77" spans="1:15" x14ac:dyDescent="0.3">
      <c r="A77" t="s">
        <v>219</v>
      </c>
      <c r="B77" t="s">
        <v>220</v>
      </c>
      <c r="C77">
        <f t="shared" si="4"/>
        <v>1</v>
      </c>
      <c r="D77" t="str">
        <f t="shared" si="5"/>
        <v>A</v>
      </c>
      <c r="E77" s="115" t="s">
        <v>221</v>
      </c>
      <c r="F77" t="s">
        <v>14</v>
      </c>
      <c r="G77" s="16">
        <v>0</v>
      </c>
      <c r="H77" s="50">
        <v>26816.39</v>
      </c>
      <c r="I77" s="50" t="s">
        <v>25</v>
      </c>
      <c r="J77" s="50" t="s">
        <v>25</v>
      </c>
      <c r="K77" s="50" t="str">
        <f t="shared" si="6"/>
        <v>D</v>
      </c>
      <c r="L77" s="50">
        <f t="shared" si="7"/>
        <v>0</v>
      </c>
      <c r="M77" s="124"/>
      <c r="O77">
        <f>_xlfn.XLOOKUP(B77,'BALANCETE 2022'!B:B,'BALANCETE 2022'!J:J,0)</f>
        <v>0</v>
      </c>
    </row>
    <row r="78" spans="1:15" x14ac:dyDescent="0.3">
      <c r="A78" t="s">
        <v>222</v>
      </c>
      <c r="B78" t="s">
        <v>223</v>
      </c>
      <c r="C78">
        <f t="shared" si="4"/>
        <v>1</v>
      </c>
      <c r="D78" t="str">
        <f t="shared" si="5"/>
        <v>A</v>
      </c>
      <c r="E78" s="115" t="s">
        <v>25</v>
      </c>
      <c r="F78" t="s">
        <v>14</v>
      </c>
      <c r="G78" s="16">
        <v>2940</v>
      </c>
      <c r="H78" s="50">
        <v>2940</v>
      </c>
      <c r="I78" s="50" t="s">
        <v>25</v>
      </c>
      <c r="J78" s="50" t="s">
        <v>25</v>
      </c>
      <c r="K78" s="50" t="str">
        <f t="shared" si="6"/>
        <v>D</v>
      </c>
      <c r="L78" s="50">
        <f t="shared" si="7"/>
        <v>0</v>
      </c>
      <c r="M78" s="124"/>
      <c r="O78">
        <f>_xlfn.XLOOKUP(B78,'BALANCETE 2022'!B:B,'BALANCETE 2022'!J:J,0)</f>
        <v>0</v>
      </c>
    </row>
    <row r="79" spans="1:15" x14ac:dyDescent="0.3">
      <c r="A79" t="s">
        <v>224</v>
      </c>
      <c r="B79" t="s">
        <v>225</v>
      </c>
      <c r="C79">
        <f t="shared" si="4"/>
        <v>1</v>
      </c>
      <c r="D79" t="str">
        <f t="shared" si="5"/>
        <v>A</v>
      </c>
      <c r="E79" s="115" t="s">
        <v>226</v>
      </c>
      <c r="F79" t="s">
        <v>14</v>
      </c>
      <c r="G79" s="16">
        <v>31000</v>
      </c>
      <c r="H79" s="50">
        <v>8842.5</v>
      </c>
      <c r="I79" s="50" t="s">
        <v>227</v>
      </c>
      <c r="J79" s="50" t="s">
        <v>227</v>
      </c>
      <c r="K79" s="50" t="str">
        <f t="shared" si="6"/>
        <v>D</v>
      </c>
      <c r="L79" s="50">
        <f t="shared" si="7"/>
        <v>31000</v>
      </c>
      <c r="M79" s="124"/>
      <c r="O79">
        <f>_xlfn.XLOOKUP(B79,'BALANCETE 2022'!B:B,'BALANCETE 2022'!J:J,0)</f>
        <v>0</v>
      </c>
    </row>
    <row r="80" spans="1:15" x14ac:dyDescent="0.3">
      <c r="A80" t="s">
        <v>228</v>
      </c>
      <c r="B80" t="s">
        <v>229</v>
      </c>
      <c r="C80">
        <f t="shared" si="4"/>
        <v>1</v>
      </c>
      <c r="D80" t="str">
        <f t="shared" si="5"/>
        <v>A</v>
      </c>
      <c r="E80" s="115" t="s">
        <v>25</v>
      </c>
      <c r="F80" t="s">
        <v>14</v>
      </c>
      <c r="G80" s="16">
        <v>3570</v>
      </c>
      <c r="H80" s="50">
        <v>3570</v>
      </c>
      <c r="I80" s="50" t="s">
        <v>25</v>
      </c>
      <c r="J80" s="50" t="s">
        <v>25</v>
      </c>
      <c r="K80" s="50" t="str">
        <f t="shared" si="6"/>
        <v>D</v>
      </c>
      <c r="L80" s="50">
        <f t="shared" si="7"/>
        <v>0</v>
      </c>
      <c r="M80" s="124"/>
      <c r="O80">
        <f>_xlfn.XLOOKUP(B80,'BALANCETE 2022'!B:B,'BALANCETE 2022'!J:J,0)</f>
        <v>0</v>
      </c>
    </row>
    <row r="81" spans="1:15" x14ac:dyDescent="0.3">
      <c r="A81" t="s">
        <v>230</v>
      </c>
      <c r="B81" t="s">
        <v>231</v>
      </c>
      <c r="C81">
        <f t="shared" si="4"/>
        <v>1</v>
      </c>
      <c r="D81" t="str">
        <f t="shared" si="5"/>
        <v>A</v>
      </c>
      <c r="E81" s="115" t="s">
        <v>25</v>
      </c>
      <c r="F81" t="s">
        <v>14</v>
      </c>
      <c r="G81" s="16">
        <v>42000</v>
      </c>
      <c r="H81" s="50">
        <v>42000</v>
      </c>
      <c r="I81" s="50" t="s">
        <v>25</v>
      </c>
      <c r="J81" s="50" t="s">
        <v>25</v>
      </c>
      <c r="K81" s="50" t="str">
        <f t="shared" si="6"/>
        <v>D</v>
      </c>
      <c r="L81" s="50">
        <f t="shared" si="7"/>
        <v>0</v>
      </c>
      <c r="M81" s="124"/>
      <c r="O81">
        <f>_xlfn.XLOOKUP(B81,'BALANCETE 2022'!B:B,'BALANCETE 2022'!J:J,0)</f>
        <v>0</v>
      </c>
    </row>
    <row r="82" spans="1:15" x14ac:dyDescent="0.3">
      <c r="A82" t="s">
        <v>232</v>
      </c>
      <c r="B82" t="s">
        <v>233</v>
      </c>
      <c r="C82">
        <f t="shared" si="4"/>
        <v>1</v>
      </c>
      <c r="D82" t="str">
        <f t="shared" si="5"/>
        <v>A</v>
      </c>
      <c r="E82" s="115" t="s">
        <v>234</v>
      </c>
      <c r="F82" t="s">
        <v>14</v>
      </c>
      <c r="G82" s="16">
        <v>0</v>
      </c>
      <c r="H82" s="50">
        <v>552.5</v>
      </c>
      <c r="I82" s="50" t="s">
        <v>25</v>
      </c>
      <c r="J82" s="50" t="s">
        <v>25</v>
      </c>
      <c r="K82" s="50" t="str">
        <f t="shared" si="6"/>
        <v>D</v>
      </c>
      <c r="L82" s="50">
        <f t="shared" si="7"/>
        <v>0</v>
      </c>
      <c r="M82" s="124"/>
      <c r="O82">
        <f>_xlfn.XLOOKUP(B82,'BALANCETE 2022'!B:B,'BALANCETE 2022'!J:J,0)</f>
        <v>0</v>
      </c>
    </row>
    <row r="83" spans="1:15" x14ac:dyDescent="0.3">
      <c r="A83" t="s">
        <v>235</v>
      </c>
      <c r="B83" t="s">
        <v>236</v>
      </c>
      <c r="C83">
        <f t="shared" si="4"/>
        <v>1</v>
      </c>
      <c r="D83" t="str">
        <f t="shared" si="5"/>
        <v>A</v>
      </c>
      <c r="E83" s="115" t="s">
        <v>237</v>
      </c>
      <c r="F83" t="s">
        <v>14</v>
      </c>
      <c r="G83" s="16">
        <v>0</v>
      </c>
      <c r="H83" s="50">
        <v>2798.8</v>
      </c>
      <c r="I83" s="50" t="s">
        <v>25</v>
      </c>
      <c r="J83" s="50" t="s">
        <v>25</v>
      </c>
      <c r="K83" s="50" t="str">
        <f t="shared" si="6"/>
        <v>D</v>
      </c>
      <c r="L83" s="50">
        <f t="shared" si="7"/>
        <v>0</v>
      </c>
      <c r="M83" s="124"/>
      <c r="O83">
        <f>_xlfn.XLOOKUP(B83,'BALANCETE 2022'!B:B,'BALANCETE 2022'!J:J,0)</f>
        <v>0</v>
      </c>
    </row>
    <row r="84" spans="1:15" x14ac:dyDescent="0.3">
      <c r="A84" t="s">
        <v>238</v>
      </c>
      <c r="B84" t="s">
        <v>239</v>
      </c>
      <c r="C84">
        <f t="shared" si="4"/>
        <v>1</v>
      </c>
      <c r="D84" t="str">
        <f t="shared" si="5"/>
        <v>A</v>
      </c>
      <c r="E84" s="115" t="s">
        <v>240</v>
      </c>
      <c r="F84" t="s">
        <v>14</v>
      </c>
      <c r="G84" s="16">
        <v>0</v>
      </c>
      <c r="H84" s="50">
        <v>517.5</v>
      </c>
      <c r="I84" s="50" t="s">
        <v>25</v>
      </c>
      <c r="J84" s="50" t="s">
        <v>25</v>
      </c>
      <c r="K84" s="50" t="str">
        <f t="shared" si="6"/>
        <v>D</v>
      </c>
      <c r="L84" s="50">
        <f t="shared" si="7"/>
        <v>0</v>
      </c>
      <c r="M84" s="124"/>
      <c r="O84">
        <f>_xlfn.XLOOKUP(B84,'BALANCETE 2022'!B:B,'BALANCETE 2022'!J:J,0)</f>
        <v>0</v>
      </c>
    </row>
    <row r="85" spans="1:15" x14ac:dyDescent="0.3">
      <c r="A85" t="s">
        <v>241</v>
      </c>
      <c r="B85" t="s">
        <v>242</v>
      </c>
      <c r="C85">
        <f t="shared" si="4"/>
        <v>1</v>
      </c>
      <c r="D85" t="str">
        <f t="shared" si="5"/>
        <v>A</v>
      </c>
      <c r="E85" s="115" t="s">
        <v>25</v>
      </c>
      <c r="F85" t="s">
        <v>14</v>
      </c>
      <c r="G85" s="16">
        <v>5520</v>
      </c>
      <c r="H85" s="50">
        <v>5520</v>
      </c>
      <c r="I85" s="50" t="s">
        <v>25</v>
      </c>
      <c r="J85" s="50" t="s">
        <v>25</v>
      </c>
      <c r="K85" s="50" t="str">
        <f t="shared" si="6"/>
        <v>D</v>
      </c>
      <c r="L85" s="50">
        <f t="shared" si="7"/>
        <v>0</v>
      </c>
      <c r="M85" s="124"/>
      <c r="O85">
        <f>_xlfn.XLOOKUP(B85,'BALANCETE 2022'!B:B,'BALANCETE 2022'!J:J,0)</f>
        <v>0</v>
      </c>
    </row>
    <row r="86" spans="1:15" x14ac:dyDescent="0.3">
      <c r="A86" t="s">
        <v>243</v>
      </c>
      <c r="B86" t="s">
        <v>244</v>
      </c>
      <c r="C86">
        <f t="shared" si="4"/>
        <v>1</v>
      </c>
      <c r="D86" t="str">
        <f t="shared" si="5"/>
        <v>A</v>
      </c>
      <c r="E86" s="115" t="s">
        <v>25</v>
      </c>
      <c r="F86" t="s">
        <v>14</v>
      </c>
      <c r="G86" s="16">
        <v>3510</v>
      </c>
      <c r="H86" s="50">
        <v>3510</v>
      </c>
      <c r="I86" s="50" t="s">
        <v>25</v>
      </c>
      <c r="J86" s="50" t="s">
        <v>25</v>
      </c>
      <c r="K86" s="50" t="str">
        <f t="shared" si="6"/>
        <v>D</v>
      </c>
      <c r="L86" s="50">
        <f t="shared" si="7"/>
        <v>0</v>
      </c>
      <c r="M86" s="124"/>
      <c r="O86">
        <f>_xlfn.XLOOKUP(B86,'BALANCETE 2022'!B:B,'BALANCETE 2022'!J:J,0)</f>
        <v>0</v>
      </c>
    </row>
    <row r="87" spans="1:15" x14ac:dyDescent="0.3">
      <c r="A87" t="s">
        <v>245</v>
      </c>
      <c r="B87" t="s">
        <v>246</v>
      </c>
      <c r="C87">
        <f t="shared" si="4"/>
        <v>1</v>
      </c>
      <c r="D87" t="str">
        <f t="shared" si="5"/>
        <v>A</v>
      </c>
      <c r="E87" s="115" t="s">
        <v>25</v>
      </c>
      <c r="F87" t="s">
        <v>14</v>
      </c>
      <c r="G87" s="16">
        <v>6300</v>
      </c>
      <c r="H87" s="50">
        <v>6300</v>
      </c>
      <c r="I87" s="50" t="s">
        <v>25</v>
      </c>
      <c r="J87" s="50" t="s">
        <v>25</v>
      </c>
      <c r="K87" s="50" t="str">
        <f t="shared" si="6"/>
        <v>D</v>
      </c>
      <c r="L87" s="50">
        <f t="shared" si="7"/>
        <v>0</v>
      </c>
      <c r="M87" s="124"/>
      <c r="O87">
        <f>_xlfn.XLOOKUP(B87,'BALANCETE 2022'!B:B,'BALANCETE 2022'!J:J,0)</f>
        <v>0</v>
      </c>
    </row>
    <row r="88" spans="1:15" x14ac:dyDescent="0.3">
      <c r="A88" t="s">
        <v>247</v>
      </c>
      <c r="B88" t="s">
        <v>248</v>
      </c>
      <c r="C88">
        <f t="shared" si="4"/>
        <v>1</v>
      </c>
      <c r="D88" t="str">
        <f t="shared" si="5"/>
        <v>A</v>
      </c>
      <c r="E88" s="115" t="s">
        <v>25</v>
      </c>
      <c r="F88" t="s">
        <v>14</v>
      </c>
      <c r="G88" s="16">
        <v>12900</v>
      </c>
      <c r="H88" s="50">
        <v>12900</v>
      </c>
      <c r="I88" s="50" t="s">
        <v>25</v>
      </c>
      <c r="J88" s="50" t="s">
        <v>25</v>
      </c>
      <c r="K88" s="50" t="str">
        <f t="shared" si="6"/>
        <v>D</v>
      </c>
      <c r="L88" s="50">
        <f t="shared" si="7"/>
        <v>0</v>
      </c>
      <c r="M88" s="124"/>
      <c r="O88">
        <f>_xlfn.XLOOKUP(B88,'BALANCETE 2022'!B:B,'BALANCETE 2022'!J:J,0)</f>
        <v>0</v>
      </c>
    </row>
    <row r="89" spans="1:15" x14ac:dyDescent="0.3">
      <c r="A89" t="s">
        <v>249</v>
      </c>
      <c r="B89" t="s">
        <v>250</v>
      </c>
      <c r="C89">
        <f t="shared" si="4"/>
        <v>1</v>
      </c>
      <c r="D89" t="str">
        <f t="shared" si="5"/>
        <v>A</v>
      </c>
      <c r="E89" s="115" t="s">
        <v>25</v>
      </c>
      <c r="F89" t="s">
        <v>14</v>
      </c>
      <c r="G89" s="16">
        <v>8400</v>
      </c>
      <c r="H89" s="50">
        <v>8400</v>
      </c>
      <c r="I89" s="50" t="s">
        <v>25</v>
      </c>
      <c r="J89" s="50" t="s">
        <v>25</v>
      </c>
      <c r="K89" s="50" t="str">
        <f t="shared" si="6"/>
        <v>D</v>
      </c>
      <c r="L89" s="50">
        <f t="shared" si="7"/>
        <v>0</v>
      </c>
      <c r="M89" s="124"/>
      <c r="O89">
        <f>_xlfn.XLOOKUP(B89,'BALANCETE 2022'!B:B,'BALANCETE 2022'!J:J,0)</f>
        <v>0</v>
      </c>
    </row>
    <row r="90" spans="1:15" x14ac:dyDescent="0.3">
      <c r="A90" t="s">
        <v>251</v>
      </c>
      <c r="B90" t="s">
        <v>252</v>
      </c>
      <c r="C90">
        <f t="shared" si="4"/>
        <v>1</v>
      </c>
      <c r="D90" t="str">
        <f t="shared" si="5"/>
        <v>A</v>
      </c>
      <c r="E90" s="115" t="s">
        <v>253</v>
      </c>
      <c r="F90" t="s">
        <v>14</v>
      </c>
      <c r="G90" s="16">
        <v>3575</v>
      </c>
      <c r="H90" s="50">
        <v>5675</v>
      </c>
      <c r="I90" s="50" t="s">
        <v>25</v>
      </c>
      <c r="J90" s="50" t="s">
        <v>25</v>
      </c>
      <c r="K90" s="50" t="str">
        <f t="shared" si="6"/>
        <v>D</v>
      </c>
      <c r="L90" s="50">
        <f t="shared" si="7"/>
        <v>0</v>
      </c>
      <c r="M90" s="124"/>
      <c r="O90">
        <f>_xlfn.XLOOKUP(B90,'BALANCETE 2022'!B:B,'BALANCETE 2022'!J:J,0)</f>
        <v>0</v>
      </c>
    </row>
    <row r="91" spans="1:15" x14ac:dyDescent="0.3">
      <c r="A91" t="s">
        <v>254</v>
      </c>
      <c r="B91" t="s">
        <v>255</v>
      </c>
      <c r="C91">
        <f t="shared" si="4"/>
        <v>1</v>
      </c>
      <c r="D91" t="str">
        <f t="shared" si="5"/>
        <v>A</v>
      </c>
      <c r="E91" s="115" t="s">
        <v>25</v>
      </c>
      <c r="F91" t="s">
        <v>14</v>
      </c>
      <c r="G91" s="16">
        <v>25200</v>
      </c>
      <c r="H91" s="50">
        <v>25200</v>
      </c>
      <c r="I91" s="50" t="s">
        <v>25</v>
      </c>
      <c r="J91" s="50" t="s">
        <v>25</v>
      </c>
      <c r="K91" s="50" t="str">
        <f t="shared" si="6"/>
        <v>D</v>
      </c>
      <c r="L91" s="50">
        <f t="shared" si="7"/>
        <v>0</v>
      </c>
      <c r="M91" s="124"/>
      <c r="O91">
        <f>_xlfn.XLOOKUP(B91,'BALANCETE 2022'!B:B,'BALANCETE 2022'!J:J,0)</f>
        <v>0</v>
      </c>
    </row>
    <row r="92" spans="1:15" x14ac:dyDescent="0.3">
      <c r="A92" t="s">
        <v>256</v>
      </c>
      <c r="B92" t="s">
        <v>257</v>
      </c>
      <c r="C92">
        <f t="shared" si="4"/>
        <v>1</v>
      </c>
      <c r="D92" t="str">
        <f t="shared" si="5"/>
        <v>A</v>
      </c>
      <c r="E92" s="115" t="s">
        <v>258</v>
      </c>
      <c r="F92" t="s">
        <v>14</v>
      </c>
      <c r="G92" s="16">
        <v>0</v>
      </c>
      <c r="H92" s="50">
        <v>17100</v>
      </c>
      <c r="I92" s="50" t="s">
        <v>25</v>
      </c>
      <c r="J92" s="50" t="s">
        <v>25</v>
      </c>
      <c r="K92" s="50" t="str">
        <f t="shared" si="6"/>
        <v>D</v>
      </c>
      <c r="L92" s="50">
        <f t="shared" si="7"/>
        <v>0</v>
      </c>
      <c r="M92" s="124"/>
      <c r="O92">
        <f>_xlfn.XLOOKUP(B92,'BALANCETE 2022'!B:B,'BALANCETE 2022'!J:J,0)</f>
        <v>0</v>
      </c>
    </row>
    <row r="93" spans="1:15" x14ac:dyDescent="0.3">
      <c r="A93" t="s">
        <v>259</v>
      </c>
      <c r="B93" t="s">
        <v>260</v>
      </c>
      <c r="C93">
        <f t="shared" si="4"/>
        <v>1</v>
      </c>
      <c r="D93" t="str">
        <f t="shared" si="5"/>
        <v>A</v>
      </c>
      <c r="E93" s="115" t="s">
        <v>25</v>
      </c>
      <c r="F93" t="s">
        <v>14</v>
      </c>
      <c r="G93" s="16">
        <v>35005</v>
      </c>
      <c r="H93" s="50">
        <v>35005</v>
      </c>
      <c r="I93" s="50" t="s">
        <v>25</v>
      </c>
      <c r="J93" s="50" t="s">
        <v>25</v>
      </c>
      <c r="K93" s="50" t="str">
        <f t="shared" si="6"/>
        <v>D</v>
      </c>
      <c r="L93" s="50">
        <f t="shared" si="7"/>
        <v>0</v>
      </c>
      <c r="M93" s="124"/>
      <c r="O93">
        <f>_xlfn.XLOOKUP(B93,'BALANCETE 2022'!B:B,'BALANCETE 2022'!J:J,0)</f>
        <v>0</v>
      </c>
    </row>
    <row r="94" spans="1:15" x14ac:dyDescent="0.3">
      <c r="A94" t="s">
        <v>261</v>
      </c>
      <c r="B94" t="s">
        <v>262</v>
      </c>
      <c r="C94">
        <f t="shared" si="4"/>
        <v>1</v>
      </c>
      <c r="D94" t="str">
        <f t="shared" si="5"/>
        <v>A</v>
      </c>
      <c r="E94" s="115" t="s">
        <v>25</v>
      </c>
      <c r="F94" t="s">
        <v>14</v>
      </c>
      <c r="G94" s="16">
        <v>21000</v>
      </c>
      <c r="H94" s="50">
        <v>21000</v>
      </c>
      <c r="I94" s="50" t="s">
        <v>25</v>
      </c>
      <c r="J94" s="50" t="s">
        <v>25</v>
      </c>
      <c r="K94" s="50" t="str">
        <f t="shared" si="6"/>
        <v>D</v>
      </c>
      <c r="L94" s="50">
        <f t="shared" si="7"/>
        <v>0</v>
      </c>
      <c r="M94" s="124"/>
      <c r="O94">
        <f>_xlfn.XLOOKUP(B94,'BALANCETE 2022'!B:B,'BALANCETE 2022'!J:J,0)</f>
        <v>0</v>
      </c>
    </row>
    <row r="95" spans="1:15" x14ac:dyDescent="0.3">
      <c r="A95" t="s">
        <v>263</v>
      </c>
      <c r="B95" t="s">
        <v>264</v>
      </c>
      <c r="C95">
        <f t="shared" si="4"/>
        <v>1</v>
      </c>
      <c r="D95" t="str">
        <f t="shared" si="5"/>
        <v>A</v>
      </c>
      <c r="E95" s="115" t="s">
        <v>25</v>
      </c>
      <c r="F95" t="s">
        <v>14</v>
      </c>
      <c r="G95" s="16">
        <v>6720</v>
      </c>
      <c r="H95" s="50">
        <v>6720</v>
      </c>
      <c r="I95" s="50" t="s">
        <v>25</v>
      </c>
      <c r="J95" s="50" t="s">
        <v>25</v>
      </c>
      <c r="K95" s="50" t="str">
        <f t="shared" si="6"/>
        <v>D</v>
      </c>
      <c r="L95" s="50">
        <f t="shared" si="7"/>
        <v>0</v>
      </c>
      <c r="M95" s="124"/>
      <c r="O95">
        <f>_xlfn.XLOOKUP(B95,'BALANCETE 2022'!B:B,'BALANCETE 2022'!J:J,0)</f>
        <v>0</v>
      </c>
    </row>
    <row r="96" spans="1:15" x14ac:dyDescent="0.3">
      <c r="A96" t="s">
        <v>265</v>
      </c>
      <c r="B96" t="s">
        <v>266</v>
      </c>
      <c r="C96">
        <f t="shared" si="4"/>
        <v>1</v>
      </c>
      <c r="D96" t="str">
        <f t="shared" si="5"/>
        <v>A</v>
      </c>
      <c r="E96" s="115" t="s">
        <v>25</v>
      </c>
      <c r="F96" t="s">
        <v>14</v>
      </c>
      <c r="G96" s="16">
        <v>8400</v>
      </c>
      <c r="H96" s="50">
        <v>8400</v>
      </c>
      <c r="I96" s="50" t="s">
        <v>25</v>
      </c>
      <c r="J96" s="50" t="s">
        <v>25</v>
      </c>
      <c r="K96" s="50" t="str">
        <f t="shared" si="6"/>
        <v>D</v>
      </c>
      <c r="L96" s="50">
        <f t="shared" si="7"/>
        <v>0</v>
      </c>
      <c r="M96" s="124"/>
      <c r="O96">
        <f>_xlfn.XLOOKUP(B96,'BALANCETE 2022'!B:B,'BALANCETE 2022'!J:J,0)</f>
        <v>0</v>
      </c>
    </row>
    <row r="97" spans="1:15" x14ac:dyDescent="0.3">
      <c r="A97" t="s">
        <v>267</v>
      </c>
      <c r="B97" t="s">
        <v>268</v>
      </c>
      <c r="C97">
        <f t="shared" si="4"/>
        <v>1</v>
      </c>
      <c r="D97" t="str">
        <f t="shared" si="5"/>
        <v>A</v>
      </c>
      <c r="E97" s="115" t="s">
        <v>269</v>
      </c>
      <c r="F97" t="s">
        <v>14</v>
      </c>
      <c r="G97" s="16">
        <v>281600</v>
      </c>
      <c r="H97" s="50">
        <v>266750</v>
      </c>
      <c r="I97" s="50" t="s">
        <v>270</v>
      </c>
      <c r="J97" s="50" t="s">
        <v>270</v>
      </c>
      <c r="K97" s="50" t="str">
        <f t="shared" si="6"/>
        <v>D</v>
      </c>
      <c r="L97" s="50">
        <f t="shared" si="7"/>
        <v>74250</v>
      </c>
      <c r="M97" s="124"/>
      <c r="O97">
        <f>_xlfn.XLOOKUP(B97,'BALANCETE 2022'!B:B,'BALANCETE 2022'!J:J,0)</f>
        <v>0</v>
      </c>
    </row>
    <row r="98" spans="1:15" x14ac:dyDescent="0.3">
      <c r="A98" t="s">
        <v>271</v>
      </c>
      <c r="B98" t="s">
        <v>272</v>
      </c>
      <c r="C98">
        <f t="shared" si="4"/>
        <v>1</v>
      </c>
      <c r="D98" t="str">
        <f t="shared" si="5"/>
        <v>A</v>
      </c>
      <c r="E98" s="115" t="s">
        <v>25</v>
      </c>
      <c r="F98" t="s">
        <v>14</v>
      </c>
      <c r="G98" s="16">
        <v>6090</v>
      </c>
      <c r="H98" s="50">
        <v>6090</v>
      </c>
      <c r="I98" s="50" t="s">
        <v>25</v>
      </c>
      <c r="J98" s="50" t="s">
        <v>25</v>
      </c>
      <c r="K98" s="50" t="str">
        <f t="shared" si="6"/>
        <v>D</v>
      </c>
      <c r="L98" s="50">
        <f t="shared" si="7"/>
        <v>0</v>
      </c>
      <c r="M98" s="124"/>
      <c r="O98">
        <f>_xlfn.XLOOKUP(B98,'BALANCETE 2022'!B:B,'BALANCETE 2022'!J:J,0)</f>
        <v>0</v>
      </c>
    </row>
    <row r="99" spans="1:15" x14ac:dyDescent="0.3">
      <c r="A99" t="s">
        <v>273</v>
      </c>
      <c r="B99" t="s">
        <v>274</v>
      </c>
      <c r="C99">
        <f t="shared" si="4"/>
        <v>1</v>
      </c>
      <c r="D99" t="str">
        <f t="shared" si="5"/>
        <v>A</v>
      </c>
      <c r="E99" s="115" t="s">
        <v>25</v>
      </c>
      <c r="F99" t="s">
        <v>14</v>
      </c>
      <c r="G99" s="16">
        <v>5313</v>
      </c>
      <c r="H99" s="50">
        <v>5313</v>
      </c>
      <c r="I99" s="50" t="s">
        <v>25</v>
      </c>
      <c r="J99" s="50" t="s">
        <v>25</v>
      </c>
      <c r="K99" s="50" t="str">
        <f t="shared" si="6"/>
        <v>D</v>
      </c>
      <c r="L99" s="50">
        <f t="shared" si="7"/>
        <v>0</v>
      </c>
      <c r="M99" s="124"/>
      <c r="O99">
        <f>_xlfn.XLOOKUP(B99,'BALANCETE 2022'!B:B,'BALANCETE 2022'!J:J,0)</f>
        <v>0</v>
      </c>
    </row>
    <row r="100" spans="1:15" x14ac:dyDescent="0.3">
      <c r="A100" t="s">
        <v>275</v>
      </c>
      <c r="B100" t="s">
        <v>276</v>
      </c>
      <c r="C100">
        <f t="shared" si="4"/>
        <v>1</v>
      </c>
      <c r="D100" t="str">
        <f t="shared" si="5"/>
        <v>A</v>
      </c>
      <c r="E100" s="115" t="s">
        <v>25</v>
      </c>
      <c r="F100" t="s">
        <v>14</v>
      </c>
      <c r="G100" s="16">
        <v>6510</v>
      </c>
      <c r="H100" s="50">
        <v>6510</v>
      </c>
      <c r="I100" s="50" t="s">
        <v>25</v>
      </c>
      <c r="J100" s="50" t="s">
        <v>25</v>
      </c>
      <c r="K100" s="50" t="str">
        <f t="shared" si="6"/>
        <v>D</v>
      </c>
      <c r="L100" s="50">
        <f t="shared" si="7"/>
        <v>0</v>
      </c>
      <c r="M100" s="124"/>
      <c r="O100">
        <f>_xlfn.XLOOKUP(B100,'BALANCETE 2022'!B:B,'BALANCETE 2022'!J:J,0)</f>
        <v>0</v>
      </c>
    </row>
    <row r="101" spans="1:15" x14ac:dyDescent="0.3">
      <c r="A101" t="s">
        <v>277</v>
      </c>
      <c r="B101" t="s">
        <v>278</v>
      </c>
      <c r="C101">
        <f t="shared" si="4"/>
        <v>1</v>
      </c>
      <c r="D101" t="str">
        <f t="shared" si="5"/>
        <v>A</v>
      </c>
      <c r="E101" s="115" t="s">
        <v>25</v>
      </c>
      <c r="F101" t="s">
        <v>14</v>
      </c>
      <c r="G101" s="16">
        <v>11085</v>
      </c>
      <c r="H101" s="50">
        <v>11085</v>
      </c>
      <c r="I101" s="50" t="s">
        <v>25</v>
      </c>
      <c r="J101" s="50" t="s">
        <v>25</v>
      </c>
      <c r="K101" s="50" t="str">
        <f t="shared" si="6"/>
        <v>D</v>
      </c>
      <c r="L101" s="50">
        <f t="shared" si="7"/>
        <v>0</v>
      </c>
      <c r="M101" s="124"/>
      <c r="O101">
        <f>_xlfn.XLOOKUP(B101,'BALANCETE 2022'!B:B,'BALANCETE 2022'!J:J,0)</f>
        <v>0</v>
      </c>
    </row>
    <row r="102" spans="1:15" x14ac:dyDescent="0.3">
      <c r="A102" t="s">
        <v>279</v>
      </c>
      <c r="B102" t="s">
        <v>280</v>
      </c>
      <c r="C102">
        <f t="shared" si="4"/>
        <v>1</v>
      </c>
      <c r="D102" t="str">
        <f t="shared" si="5"/>
        <v>A</v>
      </c>
      <c r="E102" s="115" t="s">
        <v>281</v>
      </c>
      <c r="F102" t="s">
        <v>14</v>
      </c>
      <c r="G102" s="16">
        <v>0</v>
      </c>
      <c r="H102" s="50">
        <v>0</v>
      </c>
      <c r="I102" s="50" t="s">
        <v>281</v>
      </c>
      <c r="J102" s="50" t="s">
        <v>281</v>
      </c>
      <c r="K102" s="50" t="str">
        <f t="shared" si="6"/>
        <v>D</v>
      </c>
      <c r="L102" s="50">
        <f t="shared" si="7"/>
        <v>345</v>
      </c>
      <c r="M102" s="124"/>
      <c r="O102">
        <f>_xlfn.XLOOKUP(B102,'BALANCETE 2022'!B:B,'BALANCETE 2022'!J:J,0)</f>
        <v>0</v>
      </c>
    </row>
    <row r="103" spans="1:15" x14ac:dyDescent="0.3">
      <c r="A103" t="s">
        <v>282</v>
      </c>
      <c r="B103" t="s">
        <v>283</v>
      </c>
      <c r="C103">
        <f t="shared" si="4"/>
        <v>1</v>
      </c>
      <c r="D103" t="str">
        <f t="shared" si="5"/>
        <v>A</v>
      </c>
      <c r="E103" s="115" t="s">
        <v>284</v>
      </c>
      <c r="F103" t="s">
        <v>14</v>
      </c>
      <c r="G103" s="16">
        <v>84000</v>
      </c>
      <c r="H103" s="50">
        <v>341300</v>
      </c>
      <c r="I103" s="50" t="s">
        <v>25</v>
      </c>
      <c r="J103" s="50" t="s">
        <v>25</v>
      </c>
      <c r="K103" s="50" t="str">
        <f t="shared" si="6"/>
        <v>D</v>
      </c>
      <c r="L103" s="50">
        <f t="shared" si="7"/>
        <v>0</v>
      </c>
      <c r="M103" s="124"/>
      <c r="O103">
        <f>_xlfn.XLOOKUP(B103,'BALANCETE 2022'!B:B,'BALANCETE 2022'!J:J,0)</f>
        <v>0</v>
      </c>
    </row>
    <row r="104" spans="1:15" x14ac:dyDescent="0.3">
      <c r="A104" t="s">
        <v>285</v>
      </c>
      <c r="B104" t="s">
        <v>286</v>
      </c>
      <c r="C104">
        <f t="shared" si="4"/>
        <v>1</v>
      </c>
      <c r="D104" t="str">
        <f t="shared" si="5"/>
        <v>A</v>
      </c>
      <c r="E104" s="115" t="s">
        <v>25</v>
      </c>
      <c r="F104" t="s">
        <v>14</v>
      </c>
      <c r="G104" s="16">
        <v>4830</v>
      </c>
      <c r="H104" s="50">
        <v>4830</v>
      </c>
      <c r="I104" s="50" t="s">
        <v>25</v>
      </c>
      <c r="J104" s="50" t="s">
        <v>25</v>
      </c>
      <c r="K104" s="50" t="str">
        <f t="shared" si="6"/>
        <v>D</v>
      </c>
      <c r="L104" s="50">
        <f t="shared" si="7"/>
        <v>0</v>
      </c>
      <c r="M104" s="124"/>
      <c r="O104">
        <f>_xlfn.XLOOKUP(B104,'BALANCETE 2022'!B:B,'BALANCETE 2022'!J:J,0)</f>
        <v>0</v>
      </c>
    </row>
    <row r="105" spans="1:15" x14ac:dyDescent="0.3">
      <c r="A105" t="s">
        <v>287</v>
      </c>
      <c r="B105" t="s">
        <v>288</v>
      </c>
      <c r="C105">
        <f t="shared" si="4"/>
        <v>1</v>
      </c>
      <c r="D105" t="str">
        <f t="shared" si="5"/>
        <v>A</v>
      </c>
      <c r="E105" s="115" t="s">
        <v>198</v>
      </c>
      <c r="F105" t="s">
        <v>14</v>
      </c>
      <c r="G105" s="16">
        <v>0</v>
      </c>
      <c r="H105" s="50">
        <v>0</v>
      </c>
      <c r="I105" s="50" t="s">
        <v>198</v>
      </c>
      <c r="J105" s="50" t="s">
        <v>198</v>
      </c>
      <c r="K105" s="50" t="str">
        <f t="shared" si="6"/>
        <v>D</v>
      </c>
      <c r="L105" s="50">
        <f t="shared" si="7"/>
        <v>4750</v>
      </c>
      <c r="M105" s="124"/>
      <c r="O105">
        <f>_xlfn.XLOOKUP(B105,'BALANCETE 2022'!B:B,'BALANCETE 2022'!J:J,0)</f>
        <v>0</v>
      </c>
    </row>
    <row r="106" spans="1:15" x14ac:dyDescent="0.3">
      <c r="A106" t="s">
        <v>289</v>
      </c>
      <c r="B106" t="s">
        <v>290</v>
      </c>
      <c r="C106">
        <f t="shared" si="4"/>
        <v>1</v>
      </c>
      <c r="D106" t="str">
        <f t="shared" si="5"/>
        <v>A</v>
      </c>
      <c r="E106" s="115" t="s">
        <v>25</v>
      </c>
      <c r="F106" t="s">
        <v>14</v>
      </c>
      <c r="G106" s="16">
        <v>22000</v>
      </c>
      <c r="H106" s="50">
        <v>22000</v>
      </c>
      <c r="I106" s="50" t="s">
        <v>25</v>
      </c>
      <c r="J106" s="50" t="s">
        <v>25</v>
      </c>
      <c r="K106" s="50" t="str">
        <f t="shared" si="6"/>
        <v>D</v>
      </c>
      <c r="L106" s="50">
        <f t="shared" si="7"/>
        <v>0</v>
      </c>
      <c r="M106" s="124"/>
      <c r="O106">
        <f>_xlfn.XLOOKUP(B106,'BALANCETE 2022'!B:B,'BALANCETE 2022'!J:J,0)</f>
        <v>0</v>
      </c>
    </row>
    <row r="107" spans="1:15" x14ac:dyDescent="0.3">
      <c r="A107" t="s">
        <v>291</v>
      </c>
      <c r="B107" t="s">
        <v>292</v>
      </c>
      <c r="C107">
        <f t="shared" si="4"/>
        <v>1</v>
      </c>
      <c r="D107" t="str">
        <f t="shared" si="5"/>
        <v>A</v>
      </c>
      <c r="E107" s="115" t="s">
        <v>293</v>
      </c>
      <c r="F107" t="s">
        <v>14</v>
      </c>
      <c r="G107" s="16">
        <v>0</v>
      </c>
      <c r="H107" s="50">
        <v>204.6</v>
      </c>
      <c r="I107" s="50" t="s">
        <v>25</v>
      </c>
      <c r="J107" s="50" t="s">
        <v>25</v>
      </c>
      <c r="K107" s="50" t="str">
        <f t="shared" si="6"/>
        <v>D</v>
      </c>
      <c r="L107" s="50">
        <f t="shared" si="7"/>
        <v>0</v>
      </c>
      <c r="M107" s="124"/>
      <c r="O107">
        <f>_xlfn.XLOOKUP(B107,'BALANCETE 2022'!B:B,'BALANCETE 2022'!J:J,0)</f>
        <v>0</v>
      </c>
    </row>
    <row r="108" spans="1:15" x14ac:dyDescent="0.3">
      <c r="A108" t="s">
        <v>294</v>
      </c>
      <c r="B108" t="s">
        <v>295</v>
      </c>
      <c r="C108">
        <f t="shared" si="4"/>
        <v>1</v>
      </c>
      <c r="D108" t="str">
        <f t="shared" si="5"/>
        <v>A</v>
      </c>
      <c r="E108" s="115" t="s">
        <v>25</v>
      </c>
      <c r="F108" t="s">
        <v>14</v>
      </c>
      <c r="G108" s="16">
        <v>6717.2</v>
      </c>
      <c r="H108" s="50">
        <v>6717.2</v>
      </c>
      <c r="I108" s="50" t="s">
        <v>25</v>
      </c>
      <c r="J108" s="50" t="s">
        <v>25</v>
      </c>
      <c r="K108" s="50" t="str">
        <f t="shared" si="6"/>
        <v>D</v>
      </c>
      <c r="L108" s="50">
        <f t="shared" si="7"/>
        <v>0</v>
      </c>
      <c r="M108" s="124"/>
      <c r="O108">
        <f>_xlfn.XLOOKUP(B108,'BALANCETE 2022'!B:B,'BALANCETE 2022'!J:J,0)</f>
        <v>0</v>
      </c>
    </row>
    <row r="109" spans="1:15" x14ac:dyDescent="0.3">
      <c r="A109" t="s">
        <v>296</v>
      </c>
      <c r="B109" t="s">
        <v>297</v>
      </c>
      <c r="C109">
        <f t="shared" si="4"/>
        <v>1</v>
      </c>
      <c r="D109" t="str">
        <f t="shared" si="5"/>
        <v>A</v>
      </c>
      <c r="E109" s="115" t="s">
        <v>25</v>
      </c>
      <c r="F109" t="s">
        <v>14</v>
      </c>
      <c r="G109" s="16">
        <v>6900</v>
      </c>
      <c r="H109" s="50">
        <v>6900</v>
      </c>
      <c r="I109" s="50" t="s">
        <v>25</v>
      </c>
      <c r="J109" s="50" t="s">
        <v>25</v>
      </c>
      <c r="K109" s="50" t="str">
        <f t="shared" si="6"/>
        <v>D</v>
      </c>
      <c r="L109" s="50">
        <f t="shared" si="7"/>
        <v>0</v>
      </c>
      <c r="M109" s="124"/>
      <c r="O109">
        <f>_xlfn.XLOOKUP(B109,'BALANCETE 2022'!B:B,'BALANCETE 2022'!J:J,0)</f>
        <v>0</v>
      </c>
    </row>
    <row r="110" spans="1:15" x14ac:dyDescent="0.3">
      <c r="A110" t="s">
        <v>298</v>
      </c>
      <c r="B110" t="s">
        <v>299</v>
      </c>
      <c r="C110">
        <f t="shared" si="4"/>
        <v>1</v>
      </c>
      <c r="D110" t="str">
        <f t="shared" si="5"/>
        <v>A</v>
      </c>
      <c r="E110" s="115" t="s">
        <v>25</v>
      </c>
      <c r="F110" t="s">
        <v>14</v>
      </c>
      <c r="G110" s="16">
        <v>32067</v>
      </c>
      <c r="H110" s="50">
        <v>27987</v>
      </c>
      <c r="I110" s="50" t="s">
        <v>300</v>
      </c>
      <c r="J110" s="50" t="s">
        <v>300</v>
      </c>
      <c r="K110" s="50" t="str">
        <f t="shared" si="6"/>
        <v>D</v>
      </c>
      <c r="L110" s="50">
        <f t="shared" si="7"/>
        <v>4080</v>
      </c>
      <c r="M110" s="124"/>
      <c r="O110">
        <f>_xlfn.XLOOKUP(B110,'BALANCETE 2022'!B:B,'BALANCETE 2022'!J:J,0)</f>
        <v>0</v>
      </c>
    </row>
    <row r="111" spans="1:15" x14ac:dyDescent="0.3">
      <c r="A111" t="s">
        <v>301</v>
      </c>
      <c r="B111" t="s">
        <v>302</v>
      </c>
      <c r="C111">
        <f t="shared" si="4"/>
        <v>1</v>
      </c>
      <c r="D111" t="str">
        <f t="shared" si="5"/>
        <v>A</v>
      </c>
      <c r="E111" s="115" t="s">
        <v>303</v>
      </c>
      <c r="F111" t="s">
        <v>14</v>
      </c>
      <c r="G111" s="16">
        <v>0</v>
      </c>
      <c r="H111" s="50">
        <v>0</v>
      </c>
      <c r="I111" s="50" t="s">
        <v>303</v>
      </c>
      <c r="J111" s="50" t="s">
        <v>303</v>
      </c>
      <c r="K111" s="50" t="str">
        <f t="shared" si="6"/>
        <v>D</v>
      </c>
      <c r="L111" s="50">
        <f t="shared" si="7"/>
        <v>10163</v>
      </c>
      <c r="M111" s="124"/>
      <c r="O111">
        <f>_xlfn.XLOOKUP(B111,'BALANCETE 2022'!B:B,'BALANCETE 2022'!J:J,0)</f>
        <v>0</v>
      </c>
    </row>
    <row r="112" spans="1:15" x14ac:dyDescent="0.3">
      <c r="A112" t="s">
        <v>304</v>
      </c>
      <c r="B112" t="s">
        <v>305</v>
      </c>
      <c r="C112">
        <f t="shared" si="4"/>
        <v>1</v>
      </c>
      <c r="D112" t="str">
        <f t="shared" si="5"/>
        <v>A</v>
      </c>
      <c r="E112" s="115" t="s">
        <v>25</v>
      </c>
      <c r="F112" t="s">
        <v>14</v>
      </c>
      <c r="G112" s="16">
        <v>14676.32</v>
      </c>
      <c r="H112" s="50">
        <v>14676.32</v>
      </c>
      <c r="I112" s="50" t="s">
        <v>25</v>
      </c>
      <c r="J112" s="50" t="s">
        <v>25</v>
      </c>
      <c r="K112" s="50" t="str">
        <f t="shared" si="6"/>
        <v>D</v>
      </c>
      <c r="L112" s="50">
        <f t="shared" si="7"/>
        <v>0</v>
      </c>
      <c r="M112" s="124"/>
      <c r="O112">
        <f>_xlfn.XLOOKUP(B112,'BALANCETE 2022'!B:B,'BALANCETE 2022'!J:J,0)</f>
        <v>0</v>
      </c>
    </row>
    <row r="113" spans="1:15" x14ac:dyDescent="0.3">
      <c r="A113" t="s">
        <v>306</v>
      </c>
      <c r="B113" t="s">
        <v>307</v>
      </c>
      <c r="C113">
        <f t="shared" si="4"/>
        <v>1</v>
      </c>
      <c r="D113" t="str">
        <f t="shared" si="5"/>
        <v>A</v>
      </c>
      <c r="E113" s="115" t="s">
        <v>25</v>
      </c>
      <c r="F113" t="s">
        <v>14</v>
      </c>
      <c r="G113" s="16">
        <v>21700</v>
      </c>
      <c r="H113" s="50">
        <v>21700</v>
      </c>
      <c r="I113" s="50" t="s">
        <v>25</v>
      </c>
      <c r="J113" s="50" t="s">
        <v>25</v>
      </c>
      <c r="K113" s="50" t="str">
        <f t="shared" si="6"/>
        <v>D</v>
      </c>
      <c r="L113" s="50">
        <f t="shared" si="7"/>
        <v>0</v>
      </c>
      <c r="M113" s="124"/>
      <c r="O113">
        <f>_xlfn.XLOOKUP(B113,'BALANCETE 2022'!B:B,'BALANCETE 2022'!J:J,0)</f>
        <v>0</v>
      </c>
    </row>
    <row r="114" spans="1:15" x14ac:dyDescent="0.3">
      <c r="A114" t="s">
        <v>308</v>
      </c>
      <c r="B114" t="s">
        <v>309</v>
      </c>
      <c r="C114">
        <f t="shared" si="4"/>
        <v>1</v>
      </c>
      <c r="D114" t="str">
        <f t="shared" si="5"/>
        <v>A</v>
      </c>
      <c r="E114" s="115" t="s">
        <v>25</v>
      </c>
      <c r="F114" t="s">
        <v>14</v>
      </c>
      <c r="G114" s="16">
        <v>16800</v>
      </c>
      <c r="H114" s="50">
        <v>16800</v>
      </c>
      <c r="I114" s="50" t="s">
        <v>25</v>
      </c>
      <c r="J114" s="50" t="s">
        <v>25</v>
      </c>
      <c r="K114" s="50" t="str">
        <f t="shared" si="6"/>
        <v>D</v>
      </c>
      <c r="L114" s="50">
        <f t="shared" si="7"/>
        <v>0</v>
      </c>
      <c r="M114" s="124"/>
      <c r="O114">
        <f>_xlfn.XLOOKUP(B114,'BALANCETE 2022'!B:B,'BALANCETE 2022'!J:J,0)</f>
        <v>0</v>
      </c>
    </row>
    <row r="115" spans="1:15" x14ac:dyDescent="0.3">
      <c r="A115" t="s">
        <v>310</v>
      </c>
      <c r="B115" t="s">
        <v>311</v>
      </c>
      <c r="C115">
        <f t="shared" si="4"/>
        <v>1</v>
      </c>
      <c r="D115" t="str">
        <f t="shared" si="5"/>
        <v>A</v>
      </c>
      <c r="E115" s="115" t="s">
        <v>312</v>
      </c>
      <c r="F115" t="s">
        <v>14</v>
      </c>
      <c r="G115" s="16">
        <v>27500</v>
      </c>
      <c r="H115" s="50">
        <v>55000</v>
      </c>
      <c r="I115" s="50" t="s">
        <v>25</v>
      </c>
      <c r="J115" s="50" t="s">
        <v>25</v>
      </c>
      <c r="K115" s="50" t="str">
        <f t="shared" si="6"/>
        <v>D</v>
      </c>
      <c r="L115" s="50">
        <f t="shared" si="7"/>
        <v>0</v>
      </c>
      <c r="M115" s="124"/>
      <c r="O115">
        <f>_xlfn.XLOOKUP(B115,'BALANCETE 2022'!B:B,'BALANCETE 2022'!J:J,0)</f>
        <v>0</v>
      </c>
    </row>
    <row r="116" spans="1:15" x14ac:dyDescent="0.3">
      <c r="A116" t="s">
        <v>313</v>
      </c>
      <c r="B116" t="s">
        <v>314</v>
      </c>
      <c r="C116">
        <f t="shared" si="4"/>
        <v>1</v>
      </c>
      <c r="D116" t="str">
        <f t="shared" si="5"/>
        <v>A</v>
      </c>
      <c r="E116" s="115" t="s">
        <v>25</v>
      </c>
      <c r="F116" t="s">
        <v>14</v>
      </c>
      <c r="G116" s="16">
        <v>1350</v>
      </c>
      <c r="H116" s="50">
        <v>1350</v>
      </c>
      <c r="I116" s="50" t="s">
        <v>25</v>
      </c>
      <c r="J116" s="50" t="s">
        <v>25</v>
      </c>
      <c r="K116" s="50" t="str">
        <f t="shared" si="6"/>
        <v>D</v>
      </c>
      <c r="L116" s="50">
        <f t="shared" si="7"/>
        <v>0</v>
      </c>
      <c r="M116" s="124"/>
      <c r="O116">
        <f>_xlfn.XLOOKUP(B116,'BALANCETE 2022'!B:B,'BALANCETE 2022'!J:J,0)</f>
        <v>0</v>
      </c>
    </row>
    <row r="117" spans="1:15" x14ac:dyDescent="0.3">
      <c r="A117" t="s">
        <v>315</v>
      </c>
      <c r="B117" t="s">
        <v>316</v>
      </c>
      <c r="C117">
        <f t="shared" si="4"/>
        <v>1</v>
      </c>
      <c r="D117" t="str">
        <f t="shared" si="5"/>
        <v>A</v>
      </c>
      <c r="E117" s="115" t="s">
        <v>25</v>
      </c>
      <c r="F117" t="s">
        <v>14</v>
      </c>
      <c r="G117" s="16">
        <v>27000</v>
      </c>
      <c r="H117" s="50">
        <v>27000</v>
      </c>
      <c r="I117" s="50" t="s">
        <v>25</v>
      </c>
      <c r="J117" s="50" t="s">
        <v>25</v>
      </c>
      <c r="K117" s="50" t="str">
        <f t="shared" si="6"/>
        <v>D</v>
      </c>
      <c r="L117" s="50">
        <f t="shared" si="7"/>
        <v>0</v>
      </c>
      <c r="M117" s="124"/>
      <c r="O117">
        <f>_xlfn.XLOOKUP(B117,'BALANCETE 2022'!B:B,'BALANCETE 2022'!J:J,0)</f>
        <v>0</v>
      </c>
    </row>
    <row r="118" spans="1:15" x14ac:dyDescent="0.3">
      <c r="A118" t="s">
        <v>317</v>
      </c>
      <c r="B118" t="s">
        <v>318</v>
      </c>
      <c r="C118">
        <f t="shared" si="4"/>
        <v>1</v>
      </c>
      <c r="D118" t="str">
        <f t="shared" si="5"/>
        <v>A</v>
      </c>
      <c r="E118" s="115" t="s">
        <v>25</v>
      </c>
      <c r="F118" t="s">
        <v>14</v>
      </c>
      <c r="G118" s="16">
        <v>8250</v>
      </c>
      <c r="H118" s="50">
        <v>8250</v>
      </c>
      <c r="I118" s="50" t="s">
        <v>25</v>
      </c>
      <c r="J118" s="50" t="s">
        <v>25</v>
      </c>
      <c r="K118" s="50" t="str">
        <f t="shared" si="6"/>
        <v>D</v>
      </c>
      <c r="L118" s="50">
        <f t="shared" si="7"/>
        <v>0</v>
      </c>
      <c r="M118" s="124"/>
      <c r="O118">
        <f>_xlfn.XLOOKUP(B118,'BALANCETE 2022'!B:B,'BALANCETE 2022'!J:J,0)</f>
        <v>0</v>
      </c>
    </row>
    <row r="119" spans="1:15" x14ac:dyDescent="0.3">
      <c r="A119" t="s">
        <v>319</v>
      </c>
      <c r="B119" t="s">
        <v>320</v>
      </c>
      <c r="C119">
        <f t="shared" si="4"/>
        <v>1</v>
      </c>
      <c r="D119" t="str">
        <f t="shared" si="5"/>
        <v>A</v>
      </c>
      <c r="E119" s="115" t="s">
        <v>25</v>
      </c>
      <c r="F119" t="s">
        <v>14</v>
      </c>
      <c r="G119" s="16">
        <v>80600</v>
      </c>
      <c r="H119" s="50">
        <v>80600</v>
      </c>
      <c r="I119" s="50" t="s">
        <v>25</v>
      </c>
      <c r="J119" s="50" t="s">
        <v>25</v>
      </c>
      <c r="K119" s="50" t="str">
        <f t="shared" si="6"/>
        <v>D</v>
      </c>
      <c r="L119" s="50">
        <f t="shared" si="7"/>
        <v>0</v>
      </c>
      <c r="M119" s="124"/>
      <c r="O119">
        <f>_xlfn.XLOOKUP(B119,'BALANCETE 2022'!B:B,'BALANCETE 2022'!J:J,0)</f>
        <v>0</v>
      </c>
    </row>
    <row r="120" spans="1:15" x14ac:dyDescent="0.3">
      <c r="A120" t="s">
        <v>321</v>
      </c>
      <c r="B120" t="s">
        <v>322</v>
      </c>
      <c r="C120">
        <f t="shared" si="4"/>
        <v>1</v>
      </c>
      <c r="D120" t="str">
        <f t="shared" si="5"/>
        <v>A</v>
      </c>
      <c r="E120" s="115" t="s">
        <v>25</v>
      </c>
      <c r="F120" t="s">
        <v>14</v>
      </c>
      <c r="G120" s="16">
        <v>879</v>
      </c>
      <c r="H120" s="50">
        <v>879</v>
      </c>
      <c r="I120" s="50" t="s">
        <v>25</v>
      </c>
      <c r="J120" s="50" t="s">
        <v>25</v>
      </c>
      <c r="K120" s="50" t="str">
        <f t="shared" si="6"/>
        <v>D</v>
      </c>
      <c r="L120" s="50">
        <f t="shared" si="7"/>
        <v>0</v>
      </c>
      <c r="M120" s="124"/>
      <c r="O120">
        <f>_xlfn.XLOOKUP(B120,'BALANCETE 2022'!B:B,'BALANCETE 2022'!J:J,0)</f>
        <v>0</v>
      </c>
    </row>
    <row r="121" spans="1:15" x14ac:dyDescent="0.3">
      <c r="A121" t="s">
        <v>323</v>
      </c>
      <c r="B121" t="s">
        <v>324</v>
      </c>
      <c r="C121">
        <f t="shared" si="4"/>
        <v>1</v>
      </c>
      <c r="D121" t="str">
        <f t="shared" si="5"/>
        <v>A</v>
      </c>
      <c r="E121" s="115" t="s">
        <v>25</v>
      </c>
      <c r="F121" t="s">
        <v>14</v>
      </c>
      <c r="G121" s="16">
        <v>8400</v>
      </c>
      <c r="H121" s="50">
        <v>8400</v>
      </c>
      <c r="I121" s="50" t="s">
        <v>25</v>
      </c>
      <c r="J121" s="50" t="s">
        <v>25</v>
      </c>
      <c r="K121" s="50" t="str">
        <f t="shared" si="6"/>
        <v>D</v>
      </c>
      <c r="L121" s="50">
        <f t="shared" si="7"/>
        <v>0</v>
      </c>
      <c r="M121" s="124"/>
      <c r="O121">
        <f>_xlfn.XLOOKUP(B121,'BALANCETE 2022'!B:B,'BALANCETE 2022'!J:J,0)</f>
        <v>0</v>
      </c>
    </row>
    <row r="122" spans="1:15" x14ac:dyDescent="0.3">
      <c r="A122" t="s">
        <v>325</v>
      </c>
      <c r="B122" t="s">
        <v>326</v>
      </c>
      <c r="C122">
        <f t="shared" si="4"/>
        <v>1</v>
      </c>
      <c r="D122" t="str">
        <f t="shared" si="5"/>
        <v>A</v>
      </c>
      <c r="E122" s="115" t="s">
        <v>25</v>
      </c>
      <c r="F122" t="s">
        <v>14</v>
      </c>
      <c r="G122" s="16">
        <v>11550</v>
      </c>
      <c r="H122" s="50">
        <v>11550</v>
      </c>
      <c r="I122" s="50" t="s">
        <v>25</v>
      </c>
      <c r="J122" s="50" t="s">
        <v>25</v>
      </c>
      <c r="K122" s="50" t="str">
        <f t="shared" si="6"/>
        <v>D</v>
      </c>
      <c r="L122" s="50">
        <f t="shared" si="7"/>
        <v>0</v>
      </c>
      <c r="M122" s="124"/>
      <c r="O122">
        <f>_xlfn.XLOOKUP(B122,'BALANCETE 2022'!B:B,'BALANCETE 2022'!J:J,0)</f>
        <v>0</v>
      </c>
    </row>
    <row r="123" spans="1:15" x14ac:dyDescent="0.3">
      <c r="A123" t="s">
        <v>327</v>
      </c>
      <c r="B123" t="s">
        <v>328</v>
      </c>
      <c r="C123">
        <f t="shared" si="4"/>
        <v>1</v>
      </c>
      <c r="D123" t="str">
        <f t="shared" si="5"/>
        <v>A</v>
      </c>
      <c r="E123" s="115" t="s">
        <v>25</v>
      </c>
      <c r="F123" t="s">
        <v>14</v>
      </c>
      <c r="G123" s="16">
        <v>56000</v>
      </c>
      <c r="H123" s="50">
        <v>42000</v>
      </c>
      <c r="I123" s="50" t="s">
        <v>329</v>
      </c>
      <c r="J123" s="50" t="s">
        <v>329</v>
      </c>
      <c r="K123" s="50" t="str">
        <f t="shared" si="6"/>
        <v>D</v>
      </c>
      <c r="L123" s="50">
        <f t="shared" si="7"/>
        <v>14000</v>
      </c>
      <c r="M123" s="124"/>
      <c r="O123">
        <f>_xlfn.XLOOKUP(B123,'BALANCETE 2022'!B:B,'BALANCETE 2022'!J:J,0)</f>
        <v>0</v>
      </c>
    </row>
    <row r="124" spans="1:15" x14ac:dyDescent="0.3">
      <c r="A124" t="s">
        <v>330</v>
      </c>
      <c r="B124" t="s">
        <v>331</v>
      </c>
      <c r="C124">
        <f t="shared" si="4"/>
        <v>1</v>
      </c>
      <c r="D124" t="str">
        <f t="shared" si="5"/>
        <v>A</v>
      </c>
      <c r="E124" s="115" t="s">
        <v>25</v>
      </c>
      <c r="F124" t="s">
        <v>14</v>
      </c>
      <c r="G124" s="16">
        <v>293.23</v>
      </c>
      <c r="H124" s="50">
        <v>293.23</v>
      </c>
      <c r="I124" s="50" t="s">
        <v>25</v>
      </c>
      <c r="J124" s="50" t="s">
        <v>25</v>
      </c>
      <c r="K124" s="50" t="str">
        <f t="shared" si="6"/>
        <v>D</v>
      </c>
      <c r="L124" s="50">
        <f t="shared" si="7"/>
        <v>0</v>
      </c>
      <c r="M124" s="124"/>
      <c r="O124">
        <f>_xlfn.XLOOKUP(B124,'BALANCETE 2022'!B:B,'BALANCETE 2022'!J:J,0)</f>
        <v>0</v>
      </c>
    </row>
    <row r="125" spans="1:15" x14ac:dyDescent="0.3">
      <c r="A125" t="s">
        <v>332</v>
      </c>
      <c r="B125" t="s">
        <v>333</v>
      </c>
      <c r="C125">
        <f t="shared" si="4"/>
        <v>1</v>
      </c>
      <c r="D125" t="str">
        <f t="shared" si="5"/>
        <v>A</v>
      </c>
      <c r="E125" s="115" t="s">
        <v>25</v>
      </c>
      <c r="F125" t="s">
        <v>14</v>
      </c>
      <c r="G125" s="16">
        <v>54600</v>
      </c>
      <c r="H125" s="50">
        <v>54600</v>
      </c>
      <c r="I125" s="50" t="s">
        <v>25</v>
      </c>
      <c r="J125" s="50" t="s">
        <v>25</v>
      </c>
      <c r="K125" s="50" t="str">
        <f t="shared" si="6"/>
        <v>D</v>
      </c>
      <c r="L125" s="50">
        <f t="shared" si="7"/>
        <v>0</v>
      </c>
      <c r="M125" s="124"/>
      <c r="O125">
        <f>_xlfn.XLOOKUP(B125,'BALANCETE 2022'!B:B,'BALANCETE 2022'!J:J,0)</f>
        <v>0</v>
      </c>
    </row>
    <row r="126" spans="1:15" x14ac:dyDescent="0.3">
      <c r="A126" t="s">
        <v>334</v>
      </c>
      <c r="B126" t="s">
        <v>335</v>
      </c>
      <c r="C126">
        <f t="shared" si="4"/>
        <v>1</v>
      </c>
      <c r="D126" t="str">
        <f t="shared" si="5"/>
        <v>A</v>
      </c>
      <c r="E126" s="115" t="s">
        <v>25</v>
      </c>
      <c r="F126" t="s">
        <v>14</v>
      </c>
      <c r="G126" s="16">
        <v>741000</v>
      </c>
      <c r="H126" s="50">
        <v>390000</v>
      </c>
      <c r="I126" s="50" t="s">
        <v>336</v>
      </c>
      <c r="J126" s="50" t="s">
        <v>336</v>
      </c>
      <c r="K126" s="50" t="str">
        <f t="shared" si="6"/>
        <v>D</v>
      </c>
      <c r="L126" s="50">
        <f t="shared" si="7"/>
        <v>351000</v>
      </c>
      <c r="M126" s="124"/>
      <c r="O126">
        <f>_xlfn.XLOOKUP(B126,'BALANCETE 2022'!B:B,'BALANCETE 2022'!J:J,0)</f>
        <v>0</v>
      </c>
    </row>
    <row r="127" spans="1:15" x14ac:dyDescent="0.3">
      <c r="A127" t="s">
        <v>337</v>
      </c>
      <c r="B127" t="s">
        <v>338</v>
      </c>
      <c r="C127">
        <f t="shared" si="4"/>
        <v>1</v>
      </c>
      <c r="D127" t="str">
        <f t="shared" si="5"/>
        <v>A</v>
      </c>
      <c r="E127" s="115" t="s">
        <v>25</v>
      </c>
      <c r="F127" t="s">
        <v>14</v>
      </c>
      <c r="G127" s="16">
        <v>8700</v>
      </c>
      <c r="H127" s="50">
        <v>8700</v>
      </c>
      <c r="I127" s="50" t="s">
        <v>25</v>
      </c>
      <c r="J127" s="50" t="s">
        <v>25</v>
      </c>
      <c r="K127" s="50" t="str">
        <f t="shared" si="6"/>
        <v>D</v>
      </c>
      <c r="L127" s="50">
        <f t="shared" si="7"/>
        <v>0</v>
      </c>
      <c r="M127" s="124"/>
      <c r="O127">
        <f>_xlfn.XLOOKUP(B127,'BALANCETE 2022'!B:B,'BALANCETE 2022'!J:J,0)</f>
        <v>0</v>
      </c>
    </row>
    <row r="128" spans="1:15" x14ac:dyDescent="0.3">
      <c r="A128" t="s">
        <v>339</v>
      </c>
      <c r="B128" t="s">
        <v>340</v>
      </c>
      <c r="C128">
        <f t="shared" si="4"/>
        <v>1</v>
      </c>
      <c r="D128" t="str">
        <f t="shared" si="5"/>
        <v>A</v>
      </c>
      <c r="E128" s="115" t="s">
        <v>341</v>
      </c>
      <c r="F128" t="s">
        <v>14</v>
      </c>
      <c r="G128" s="16">
        <v>1921.5</v>
      </c>
      <c r="H128" s="50">
        <v>3118.5</v>
      </c>
      <c r="I128" s="50" t="s">
        <v>25</v>
      </c>
      <c r="J128" s="50" t="s">
        <v>25</v>
      </c>
      <c r="K128" s="50" t="str">
        <f t="shared" si="6"/>
        <v>D</v>
      </c>
      <c r="L128" s="50">
        <f t="shared" si="7"/>
        <v>0</v>
      </c>
      <c r="M128" s="124"/>
      <c r="O128">
        <f>_xlfn.XLOOKUP(B128,'BALANCETE 2022'!B:B,'BALANCETE 2022'!J:J,0)</f>
        <v>0</v>
      </c>
    </row>
    <row r="129" spans="1:15" x14ac:dyDescent="0.3">
      <c r="A129" t="s">
        <v>342</v>
      </c>
      <c r="B129" t="s">
        <v>343</v>
      </c>
      <c r="C129">
        <f t="shared" si="4"/>
        <v>1</v>
      </c>
      <c r="D129" t="str">
        <f t="shared" si="5"/>
        <v>A</v>
      </c>
      <c r="E129" s="115" t="s">
        <v>344</v>
      </c>
      <c r="F129" t="s">
        <v>14</v>
      </c>
      <c r="G129" s="16">
        <v>10693004.5</v>
      </c>
      <c r="H129" s="50">
        <v>12837121</v>
      </c>
      <c r="I129" s="50" t="s">
        <v>345</v>
      </c>
      <c r="J129" s="50" t="s">
        <v>345</v>
      </c>
      <c r="K129" s="50" t="str">
        <f t="shared" si="6"/>
        <v>D</v>
      </c>
      <c r="L129" s="50">
        <f t="shared" si="7"/>
        <v>2327046</v>
      </c>
      <c r="M129" s="124"/>
      <c r="O129">
        <f>_xlfn.XLOOKUP(B129,'BALANCETE 2022'!B:B,'BALANCETE 2022'!J:J,0)</f>
        <v>0</v>
      </c>
    </row>
    <row r="130" spans="1:15" x14ac:dyDescent="0.3">
      <c r="A130" t="s">
        <v>346</v>
      </c>
      <c r="B130" t="s">
        <v>347</v>
      </c>
      <c r="C130">
        <f t="shared" si="4"/>
        <v>1</v>
      </c>
      <c r="D130" t="str">
        <f t="shared" si="5"/>
        <v>A</v>
      </c>
      <c r="E130" s="115" t="s">
        <v>25</v>
      </c>
      <c r="F130" t="s">
        <v>14</v>
      </c>
      <c r="G130" s="16">
        <v>1942.08</v>
      </c>
      <c r="H130" s="50">
        <v>1942.08</v>
      </c>
      <c r="I130" s="50" t="s">
        <v>25</v>
      </c>
      <c r="J130" s="50" t="s">
        <v>25</v>
      </c>
      <c r="K130" s="50" t="str">
        <f t="shared" si="6"/>
        <v>D</v>
      </c>
      <c r="L130" s="50">
        <f t="shared" si="7"/>
        <v>0</v>
      </c>
      <c r="M130" s="124"/>
      <c r="O130">
        <f>_xlfn.XLOOKUP(B130,'BALANCETE 2022'!B:B,'BALANCETE 2022'!J:J,0)</f>
        <v>0</v>
      </c>
    </row>
    <row r="131" spans="1:15" x14ac:dyDescent="0.3">
      <c r="A131" t="s">
        <v>348</v>
      </c>
      <c r="B131" t="s">
        <v>349</v>
      </c>
      <c r="C131">
        <f t="shared" si="4"/>
        <v>1</v>
      </c>
      <c r="D131" t="str">
        <f t="shared" si="5"/>
        <v>A</v>
      </c>
      <c r="E131" s="115" t="s">
        <v>25</v>
      </c>
      <c r="F131" t="s">
        <v>14</v>
      </c>
      <c r="G131" s="16">
        <v>40442.639999999999</v>
      </c>
      <c r="H131" s="50">
        <v>40442.639999999999</v>
      </c>
      <c r="I131" s="50" t="s">
        <v>25</v>
      </c>
      <c r="J131" s="50" t="s">
        <v>25</v>
      </c>
      <c r="K131" s="50" t="str">
        <f t="shared" si="6"/>
        <v>D</v>
      </c>
      <c r="L131" s="50">
        <f t="shared" si="7"/>
        <v>0</v>
      </c>
      <c r="M131" s="124"/>
      <c r="O131">
        <f>_xlfn.XLOOKUP(B131,'BALANCETE 2022'!B:B,'BALANCETE 2022'!J:J,0)</f>
        <v>0</v>
      </c>
    </row>
    <row r="132" spans="1:15" x14ac:dyDescent="0.3">
      <c r="A132" t="s">
        <v>350</v>
      </c>
      <c r="B132" t="s">
        <v>351</v>
      </c>
      <c r="C132">
        <f t="shared" si="4"/>
        <v>1</v>
      </c>
      <c r="D132" t="str">
        <f t="shared" si="5"/>
        <v>A</v>
      </c>
      <c r="E132" s="115" t="s">
        <v>352</v>
      </c>
      <c r="F132" t="s">
        <v>14</v>
      </c>
      <c r="G132" s="16">
        <v>0</v>
      </c>
      <c r="H132" s="50">
        <v>98.5</v>
      </c>
      <c r="I132" s="50" t="s">
        <v>25</v>
      </c>
      <c r="J132" s="50" t="s">
        <v>25</v>
      </c>
      <c r="K132" s="50" t="str">
        <f t="shared" si="6"/>
        <v>D</v>
      </c>
      <c r="L132" s="50">
        <f t="shared" si="7"/>
        <v>0</v>
      </c>
      <c r="M132" s="124"/>
      <c r="O132">
        <f>_xlfn.XLOOKUP(B132,'BALANCETE 2022'!B:B,'BALANCETE 2022'!J:J,0)</f>
        <v>0</v>
      </c>
    </row>
    <row r="133" spans="1:15" x14ac:dyDescent="0.3">
      <c r="A133" t="s">
        <v>353</v>
      </c>
      <c r="B133" t="s">
        <v>354</v>
      </c>
      <c r="C133">
        <f t="shared" si="4"/>
        <v>1</v>
      </c>
      <c r="D133" t="str">
        <f t="shared" si="5"/>
        <v>A</v>
      </c>
      <c r="E133" s="115" t="s">
        <v>355</v>
      </c>
      <c r="F133" t="s">
        <v>14</v>
      </c>
      <c r="G133" s="16">
        <v>4200</v>
      </c>
      <c r="H133" s="50">
        <v>14700</v>
      </c>
      <c r="I133" s="50" t="s">
        <v>25</v>
      </c>
      <c r="J133" s="50" t="s">
        <v>25</v>
      </c>
      <c r="K133" s="50" t="str">
        <f t="shared" si="6"/>
        <v>D</v>
      </c>
      <c r="L133" s="50">
        <f t="shared" si="7"/>
        <v>0</v>
      </c>
      <c r="M133" s="124"/>
      <c r="O133">
        <f>_xlfn.XLOOKUP(B133,'BALANCETE 2022'!B:B,'BALANCETE 2022'!J:J,0)</f>
        <v>0</v>
      </c>
    </row>
    <row r="134" spans="1:15" x14ac:dyDescent="0.3">
      <c r="A134" t="s">
        <v>356</v>
      </c>
      <c r="B134" t="s">
        <v>357</v>
      </c>
      <c r="C134">
        <f t="shared" si="4"/>
        <v>1</v>
      </c>
      <c r="D134" t="str">
        <f t="shared" si="5"/>
        <v>A</v>
      </c>
      <c r="E134" s="115" t="s">
        <v>358</v>
      </c>
      <c r="F134" t="s">
        <v>14</v>
      </c>
      <c r="G134" s="16">
        <v>0</v>
      </c>
      <c r="H134" s="50">
        <v>1244.8800000000001</v>
      </c>
      <c r="I134" s="50" t="s">
        <v>25</v>
      </c>
      <c r="J134" s="50" t="s">
        <v>25</v>
      </c>
      <c r="K134" s="50" t="str">
        <f t="shared" si="6"/>
        <v>D</v>
      </c>
      <c r="L134" s="50">
        <f t="shared" si="7"/>
        <v>0</v>
      </c>
      <c r="M134" s="124"/>
      <c r="O134">
        <f>_xlfn.XLOOKUP(B134,'BALANCETE 2022'!B:B,'BALANCETE 2022'!J:J,0)</f>
        <v>0</v>
      </c>
    </row>
    <row r="135" spans="1:15" x14ac:dyDescent="0.3">
      <c r="A135" t="s">
        <v>359</v>
      </c>
      <c r="B135" t="s">
        <v>360</v>
      </c>
      <c r="C135">
        <f t="shared" si="4"/>
        <v>1</v>
      </c>
      <c r="D135" t="str">
        <f t="shared" si="5"/>
        <v>A</v>
      </c>
      <c r="E135" s="115" t="s">
        <v>361</v>
      </c>
      <c r="F135" t="s">
        <v>14</v>
      </c>
      <c r="G135" s="16">
        <v>2829.24</v>
      </c>
      <c r="H135" s="50">
        <v>4701.24</v>
      </c>
      <c r="I135" s="50" t="s">
        <v>25</v>
      </c>
      <c r="J135" s="50" t="s">
        <v>25</v>
      </c>
      <c r="K135" s="50" t="str">
        <f t="shared" si="6"/>
        <v>D</v>
      </c>
      <c r="L135" s="50">
        <f t="shared" si="7"/>
        <v>0</v>
      </c>
      <c r="M135" s="124"/>
      <c r="O135">
        <f>_xlfn.XLOOKUP(B135,'BALANCETE 2022'!B:B,'BALANCETE 2022'!J:J,0)</f>
        <v>0</v>
      </c>
    </row>
    <row r="136" spans="1:15" x14ac:dyDescent="0.3">
      <c r="A136" t="s">
        <v>362</v>
      </c>
      <c r="B136" t="s">
        <v>363</v>
      </c>
      <c r="C136">
        <f t="shared" si="4"/>
        <v>1</v>
      </c>
      <c r="D136" t="str">
        <f t="shared" si="5"/>
        <v>A</v>
      </c>
      <c r="E136" s="115" t="s">
        <v>25</v>
      </c>
      <c r="F136" t="s">
        <v>14</v>
      </c>
      <c r="G136" s="16">
        <v>13693.4</v>
      </c>
      <c r="H136" s="50">
        <v>13693.4</v>
      </c>
      <c r="I136" s="50" t="s">
        <v>25</v>
      </c>
      <c r="J136" s="50" t="s">
        <v>25</v>
      </c>
      <c r="K136" s="50" t="str">
        <f t="shared" si="6"/>
        <v>D</v>
      </c>
      <c r="L136" s="50">
        <f t="shared" si="7"/>
        <v>0</v>
      </c>
      <c r="M136" s="124"/>
      <c r="O136">
        <f>_xlfn.XLOOKUP(B136,'BALANCETE 2022'!B:B,'BALANCETE 2022'!J:J,0)</f>
        <v>0</v>
      </c>
    </row>
    <row r="137" spans="1:15" x14ac:dyDescent="0.3">
      <c r="A137" t="s">
        <v>364</v>
      </c>
      <c r="B137" t="s">
        <v>365</v>
      </c>
      <c r="C137">
        <f t="shared" si="4"/>
        <v>1</v>
      </c>
      <c r="D137" t="str">
        <f t="shared" si="5"/>
        <v>A</v>
      </c>
      <c r="E137" s="115" t="s">
        <v>25</v>
      </c>
      <c r="F137" t="s">
        <v>14</v>
      </c>
      <c r="G137" s="16">
        <v>2431.3200000000002</v>
      </c>
      <c r="H137" s="50">
        <v>2431.3200000000002</v>
      </c>
      <c r="I137" s="50" t="s">
        <v>25</v>
      </c>
      <c r="J137" s="50" t="s">
        <v>25</v>
      </c>
      <c r="K137" s="50" t="str">
        <f t="shared" si="6"/>
        <v>D</v>
      </c>
      <c r="L137" s="50">
        <f t="shared" si="7"/>
        <v>0</v>
      </c>
      <c r="M137" s="124"/>
      <c r="O137">
        <f>_xlfn.XLOOKUP(B137,'BALANCETE 2022'!B:B,'BALANCETE 2022'!J:J,0)</f>
        <v>0</v>
      </c>
    </row>
    <row r="138" spans="1:15" x14ac:dyDescent="0.3">
      <c r="A138" t="s">
        <v>366</v>
      </c>
      <c r="B138" t="s">
        <v>367</v>
      </c>
      <c r="C138">
        <f t="shared" ref="C138:C201" si="8">(LEFT(SUBSTITUTE(B138,"[",""),1))+0</f>
        <v>1</v>
      </c>
      <c r="D138" t="str">
        <f t="shared" ref="D138:D201" si="9">IF((LEN(B138)+0)&lt;15,"s","A")</f>
        <v>A</v>
      </c>
      <c r="E138" s="115" t="s">
        <v>25</v>
      </c>
      <c r="F138" t="s">
        <v>14</v>
      </c>
      <c r="G138" s="16">
        <v>6118.92</v>
      </c>
      <c r="H138" s="50">
        <v>6118.92</v>
      </c>
      <c r="I138" s="50" t="s">
        <v>25</v>
      </c>
      <c r="J138" s="50" t="s">
        <v>25</v>
      </c>
      <c r="K138" s="50" t="str">
        <f t="shared" ref="K138:K201" si="10">RIGHT(J138)</f>
        <v>D</v>
      </c>
      <c r="L138" s="50">
        <f t="shared" ref="L138:L201" si="11">(SUBSTITUTE(SUBSTITUTE(J138,"D","",1),"C","",1)+0)*IF(K138=F138,1,-1)</f>
        <v>0</v>
      </c>
      <c r="M138" s="124"/>
      <c r="O138">
        <f>_xlfn.XLOOKUP(B138,'BALANCETE 2022'!B:B,'BALANCETE 2022'!J:J,0)</f>
        <v>0</v>
      </c>
    </row>
    <row r="139" spans="1:15" x14ac:dyDescent="0.3">
      <c r="A139" t="s">
        <v>368</v>
      </c>
      <c r="B139" t="s">
        <v>369</v>
      </c>
      <c r="C139">
        <f t="shared" si="8"/>
        <v>1</v>
      </c>
      <c r="D139" t="str">
        <f t="shared" si="9"/>
        <v>A</v>
      </c>
      <c r="E139" s="115" t="s">
        <v>25</v>
      </c>
      <c r="F139" t="s">
        <v>14</v>
      </c>
      <c r="G139" s="16">
        <v>3707.16</v>
      </c>
      <c r="H139" s="50">
        <v>3707.16</v>
      </c>
      <c r="I139" s="50" t="s">
        <v>25</v>
      </c>
      <c r="J139" s="50" t="s">
        <v>25</v>
      </c>
      <c r="K139" s="50" t="str">
        <f t="shared" si="10"/>
        <v>D</v>
      </c>
      <c r="L139" s="50">
        <f t="shared" si="11"/>
        <v>0</v>
      </c>
      <c r="M139" s="124"/>
      <c r="O139">
        <f>_xlfn.XLOOKUP(B139,'BALANCETE 2022'!B:B,'BALANCETE 2022'!J:J,0)</f>
        <v>0</v>
      </c>
    </row>
    <row r="140" spans="1:15" x14ac:dyDescent="0.3">
      <c r="A140" t="s">
        <v>370</v>
      </c>
      <c r="B140" t="s">
        <v>371</v>
      </c>
      <c r="C140">
        <f t="shared" si="8"/>
        <v>1</v>
      </c>
      <c r="D140" t="str">
        <f t="shared" si="9"/>
        <v>A</v>
      </c>
      <c r="E140" s="115" t="s">
        <v>25</v>
      </c>
      <c r="F140" t="s">
        <v>14</v>
      </c>
      <c r="G140" s="16">
        <v>23700</v>
      </c>
      <c r="H140" s="50">
        <v>23700</v>
      </c>
      <c r="I140" s="50" t="s">
        <v>25</v>
      </c>
      <c r="J140" s="50" t="s">
        <v>25</v>
      </c>
      <c r="K140" s="50" t="str">
        <f t="shared" si="10"/>
        <v>D</v>
      </c>
      <c r="L140" s="50">
        <f t="shared" si="11"/>
        <v>0</v>
      </c>
      <c r="M140" s="124"/>
      <c r="O140">
        <f>_xlfn.XLOOKUP(B140,'BALANCETE 2022'!B:B,'BALANCETE 2022'!J:J,0)</f>
        <v>0</v>
      </c>
    </row>
    <row r="141" spans="1:15" x14ac:dyDescent="0.3">
      <c r="A141" t="s">
        <v>372</v>
      </c>
      <c r="B141" t="s">
        <v>373</v>
      </c>
      <c r="C141">
        <f t="shared" si="8"/>
        <v>1</v>
      </c>
      <c r="D141" t="str">
        <f t="shared" si="9"/>
        <v>A</v>
      </c>
      <c r="E141" s="115" t="s">
        <v>25</v>
      </c>
      <c r="F141" t="s">
        <v>14</v>
      </c>
      <c r="G141" s="16">
        <v>31200</v>
      </c>
      <c r="H141" s="50">
        <v>31200</v>
      </c>
      <c r="I141" s="50" t="s">
        <v>25</v>
      </c>
      <c r="J141" s="50" t="s">
        <v>25</v>
      </c>
      <c r="K141" s="50" t="str">
        <f t="shared" si="10"/>
        <v>D</v>
      </c>
      <c r="L141" s="50">
        <f t="shared" si="11"/>
        <v>0</v>
      </c>
      <c r="M141" s="124"/>
      <c r="O141">
        <f>_xlfn.XLOOKUP(B141,'BALANCETE 2022'!B:B,'BALANCETE 2022'!J:J,0)</f>
        <v>0</v>
      </c>
    </row>
    <row r="142" spans="1:15" x14ac:dyDescent="0.3">
      <c r="A142" t="s">
        <v>374</v>
      </c>
      <c r="B142" t="s">
        <v>375</v>
      </c>
      <c r="C142">
        <f t="shared" si="8"/>
        <v>1</v>
      </c>
      <c r="D142" t="str">
        <f t="shared" si="9"/>
        <v>A</v>
      </c>
      <c r="E142" s="115" t="s">
        <v>25</v>
      </c>
      <c r="F142" t="s">
        <v>14</v>
      </c>
      <c r="G142" s="16">
        <v>364284</v>
      </c>
      <c r="H142" s="50">
        <v>346284</v>
      </c>
      <c r="I142" s="50" t="s">
        <v>180</v>
      </c>
      <c r="J142" s="50" t="s">
        <v>180</v>
      </c>
      <c r="K142" s="50" t="str">
        <f t="shared" si="10"/>
        <v>D</v>
      </c>
      <c r="L142" s="50">
        <f t="shared" si="11"/>
        <v>18000</v>
      </c>
      <c r="M142" s="124"/>
      <c r="O142">
        <f>_xlfn.XLOOKUP(B142,'BALANCETE 2022'!B:B,'BALANCETE 2022'!J:J,0)</f>
        <v>0</v>
      </c>
    </row>
    <row r="143" spans="1:15" x14ac:dyDescent="0.3">
      <c r="A143" t="s">
        <v>376</v>
      </c>
      <c r="B143" t="s">
        <v>377</v>
      </c>
      <c r="C143">
        <f t="shared" si="8"/>
        <v>1</v>
      </c>
      <c r="D143" t="str">
        <f t="shared" si="9"/>
        <v>A</v>
      </c>
      <c r="E143" s="115" t="s">
        <v>25</v>
      </c>
      <c r="F143" t="s">
        <v>14</v>
      </c>
      <c r="G143" s="16">
        <v>1117855.75</v>
      </c>
      <c r="H143" s="50">
        <v>488580.4</v>
      </c>
      <c r="I143" s="50" t="s">
        <v>378</v>
      </c>
      <c r="J143" s="50" t="s">
        <v>378</v>
      </c>
      <c r="K143" s="50" t="str">
        <f t="shared" si="10"/>
        <v>D</v>
      </c>
      <c r="L143" s="50">
        <f t="shared" si="11"/>
        <v>629275.35</v>
      </c>
      <c r="M143" s="124"/>
      <c r="O143">
        <f>_xlfn.XLOOKUP(B143,'BALANCETE 2022'!B:B,'BALANCETE 2022'!J:J,0)</f>
        <v>0</v>
      </c>
    </row>
    <row r="144" spans="1:15" x14ac:dyDescent="0.3">
      <c r="A144" t="s">
        <v>379</v>
      </c>
      <c r="B144" t="s">
        <v>380</v>
      </c>
      <c r="C144">
        <f t="shared" si="8"/>
        <v>1</v>
      </c>
      <c r="D144" t="str">
        <f t="shared" si="9"/>
        <v>A</v>
      </c>
      <c r="E144" s="115" t="s">
        <v>25</v>
      </c>
      <c r="F144" t="s">
        <v>14</v>
      </c>
      <c r="G144" s="16">
        <v>5640</v>
      </c>
      <c r="H144" s="50">
        <v>5640</v>
      </c>
      <c r="I144" s="50" t="s">
        <v>25</v>
      </c>
      <c r="J144" s="50" t="s">
        <v>25</v>
      </c>
      <c r="K144" s="50" t="str">
        <f t="shared" si="10"/>
        <v>D</v>
      </c>
      <c r="L144" s="50">
        <f t="shared" si="11"/>
        <v>0</v>
      </c>
      <c r="M144" s="124"/>
      <c r="O144">
        <f>_xlfn.XLOOKUP(B144,'BALANCETE 2022'!B:B,'BALANCETE 2022'!J:J,0)</f>
        <v>0</v>
      </c>
    </row>
    <row r="145" spans="1:16" x14ac:dyDescent="0.3">
      <c r="A145" t="s">
        <v>381</v>
      </c>
      <c r="B145" t="s">
        <v>382</v>
      </c>
      <c r="C145">
        <f t="shared" si="8"/>
        <v>1</v>
      </c>
      <c r="D145" t="str">
        <f t="shared" si="9"/>
        <v>A</v>
      </c>
      <c r="E145" s="115" t="s">
        <v>25</v>
      </c>
      <c r="F145" t="s">
        <v>14</v>
      </c>
      <c r="G145" s="16">
        <v>7242271.5</v>
      </c>
      <c r="H145" s="50">
        <v>3434586</v>
      </c>
      <c r="I145" s="50" t="s">
        <v>383</v>
      </c>
      <c r="J145" s="50" t="s">
        <v>383</v>
      </c>
      <c r="K145" s="50" t="str">
        <f t="shared" si="10"/>
        <v>D</v>
      </c>
      <c r="L145" s="50">
        <f t="shared" si="11"/>
        <v>3807685.5</v>
      </c>
      <c r="M145" s="124"/>
      <c r="O145">
        <f>_xlfn.XLOOKUP(B145,'BALANCETE 2022'!B:B,'BALANCETE 2022'!J:J,0)</f>
        <v>0</v>
      </c>
    </row>
    <row r="146" spans="1:16" x14ac:dyDescent="0.3">
      <c r="A146" t="s">
        <v>384</v>
      </c>
      <c r="B146" t="s">
        <v>385</v>
      </c>
      <c r="C146">
        <f t="shared" si="8"/>
        <v>1</v>
      </c>
      <c r="D146" t="str">
        <f t="shared" si="9"/>
        <v>A</v>
      </c>
      <c r="E146" s="115" t="s">
        <v>25</v>
      </c>
      <c r="F146" t="s">
        <v>14</v>
      </c>
      <c r="G146" s="16">
        <v>31590</v>
      </c>
      <c r="H146" s="50">
        <v>31590</v>
      </c>
      <c r="I146" s="50" t="s">
        <v>25</v>
      </c>
      <c r="J146" s="50" t="s">
        <v>25</v>
      </c>
      <c r="K146" s="50" t="str">
        <f t="shared" si="10"/>
        <v>D</v>
      </c>
      <c r="L146" s="50">
        <f t="shared" si="11"/>
        <v>0</v>
      </c>
      <c r="M146" s="124"/>
      <c r="O146">
        <f>_xlfn.XLOOKUP(B146,'BALANCETE 2022'!B:B,'BALANCETE 2022'!J:J,0)</f>
        <v>0</v>
      </c>
    </row>
    <row r="147" spans="1:16" x14ac:dyDescent="0.3">
      <c r="A147" t="s">
        <v>386</v>
      </c>
      <c r="B147" t="s">
        <v>387</v>
      </c>
      <c r="C147">
        <f t="shared" si="8"/>
        <v>1</v>
      </c>
      <c r="D147" t="str">
        <f t="shared" si="9"/>
        <v>A</v>
      </c>
      <c r="E147" s="115" t="s">
        <v>25</v>
      </c>
      <c r="F147" t="s">
        <v>14</v>
      </c>
      <c r="G147" s="16">
        <v>5400</v>
      </c>
      <c r="H147" s="50">
        <v>5400</v>
      </c>
      <c r="I147" s="50" t="s">
        <v>25</v>
      </c>
      <c r="J147" s="50" t="s">
        <v>25</v>
      </c>
      <c r="K147" s="50" t="str">
        <f t="shared" si="10"/>
        <v>D</v>
      </c>
      <c r="L147" s="50">
        <f t="shared" si="11"/>
        <v>0</v>
      </c>
      <c r="M147" s="124"/>
      <c r="O147">
        <f>_xlfn.XLOOKUP(B147,'BALANCETE 2022'!B:B,'BALANCETE 2022'!J:J,0)</f>
        <v>0</v>
      </c>
    </row>
    <row r="148" spans="1:16" x14ac:dyDescent="0.3">
      <c r="A148" t="s">
        <v>388</v>
      </c>
      <c r="B148" t="s">
        <v>389</v>
      </c>
      <c r="C148">
        <f t="shared" si="8"/>
        <v>1</v>
      </c>
      <c r="D148" t="str">
        <f t="shared" si="9"/>
        <v>A</v>
      </c>
      <c r="E148" s="115" t="s">
        <v>25</v>
      </c>
      <c r="F148" t="s">
        <v>14</v>
      </c>
      <c r="G148" s="16">
        <v>10150</v>
      </c>
      <c r="H148" s="50">
        <v>10150</v>
      </c>
      <c r="I148" s="50" t="s">
        <v>25</v>
      </c>
      <c r="J148" s="50" t="s">
        <v>25</v>
      </c>
      <c r="K148" s="50" t="str">
        <f t="shared" si="10"/>
        <v>D</v>
      </c>
      <c r="L148" s="50">
        <f t="shared" si="11"/>
        <v>0</v>
      </c>
      <c r="M148" s="124"/>
      <c r="O148">
        <f>_xlfn.XLOOKUP(B148,'BALANCETE 2022'!B:B,'BALANCETE 2022'!J:J,0)</f>
        <v>0</v>
      </c>
    </row>
    <row r="149" spans="1:16" x14ac:dyDescent="0.3">
      <c r="A149" t="s">
        <v>390</v>
      </c>
      <c r="B149" t="s">
        <v>391</v>
      </c>
      <c r="C149">
        <f t="shared" si="8"/>
        <v>1</v>
      </c>
      <c r="D149" t="str">
        <f t="shared" si="9"/>
        <v>A</v>
      </c>
      <c r="E149" s="115" t="s">
        <v>25</v>
      </c>
      <c r="F149" t="s">
        <v>14</v>
      </c>
      <c r="G149" s="16">
        <v>167040</v>
      </c>
      <c r="H149" s="50">
        <v>120000</v>
      </c>
      <c r="I149" s="50" t="s">
        <v>392</v>
      </c>
      <c r="J149" s="50" t="s">
        <v>392</v>
      </c>
      <c r="K149" s="50" t="str">
        <f t="shared" si="10"/>
        <v>D</v>
      </c>
      <c r="L149" s="50">
        <f t="shared" si="11"/>
        <v>47040</v>
      </c>
      <c r="M149" s="124"/>
      <c r="O149">
        <f>_xlfn.XLOOKUP(B149,'BALANCETE 2022'!B:B,'BALANCETE 2022'!J:J,0)</f>
        <v>0</v>
      </c>
    </row>
    <row r="150" spans="1:16" x14ac:dyDescent="0.3">
      <c r="A150" t="s">
        <v>393</v>
      </c>
      <c r="B150" t="s">
        <v>394</v>
      </c>
      <c r="C150">
        <f t="shared" si="8"/>
        <v>1</v>
      </c>
      <c r="D150" t="str">
        <f t="shared" si="9"/>
        <v>A</v>
      </c>
      <c r="E150" s="115" t="s">
        <v>25</v>
      </c>
      <c r="F150" t="s">
        <v>14</v>
      </c>
      <c r="G150" s="16">
        <v>307</v>
      </c>
      <c r="H150" s="50">
        <v>307</v>
      </c>
      <c r="I150" s="50" t="s">
        <v>25</v>
      </c>
      <c r="J150" s="50" t="s">
        <v>25</v>
      </c>
      <c r="K150" s="50" t="str">
        <f t="shared" si="10"/>
        <v>D</v>
      </c>
      <c r="L150" s="50">
        <f t="shared" si="11"/>
        <v>0</v>
      </c>
      <c r="M150" s="124"/>
      <c r="O150">
        <f>_xlfn.XLOOKUP(B150,'BALANCETE 2022'!B:B,'BALANCETE 2022'!J:J,0)</f>
        <v>0</v>
      </c>
    </row>
    <row r="151" spans="1:16" x14ac:dyDescent="0.3">
      <c r="A151" t="s">
        <v>395</v>
      </c>
      <c r="B151" t="s">
        <v>396</v>
      </c>
      <c r="C151">
        <f t="shared" si="8"/>
        <v>1</v>
      </c>
      <c r="D151" t="str">
        <f t="shared" si="9"/>
        <v>A</v>
      </c>
      <c r="E151" s="115" t="s">
        <v>25</v>
      </c>
      <c r="F151" t="s">
        <v>14</v>
      </c>
      <c r="G151" s="16">
        <v>5448</v>
      </c>
      <c r="H151" s="50">
        <v>5448</v>
      </c>
      <c r="I151" s="50" t="s">
        <v>25</v>
      </c>
      <c r="J151" s="50" t="s">
        <v>25</v>
      </c>
      <c r="K151" s="50" t="str">
        <f t="shared" si="10"/>
        <v>D</v>
      </c>
      <c r="L151" s="50">
        <f t="shared" si="11"/>
        <v>0</v>
      </c>
      <c r="M151" s="124"/>
      <c r="O151">
        <f>_xlfn.XLOOKUP(B151,'BALANCETE 2022'!B:B,'BALANCETE 2022'!J:J,0)</f>
        <v>0</v>
      </c>
    </row>
    <row r="152" spans="1:16" x14ac:dyDescent="0.3">
      <c r="A152" t="s">
        <v>397</v>
      </c>
      <c r="B152" t="s">
        <v>398</v>
      </c>
      <c r="C152">
        <f t="shared" si="8"/>
        <v>1</v>
      </c>
      <c r="D152" t="str">
        <f t="shared" si="9"/>
        <v>A</v>
      </c>
      <c r="E152" s="115" t="s">
        <v>25</v>
      </c>
      <c r="F152" t="s">
        <v>14</v>
      </c>
      <c r="G152" s="16">
        <v>75690</v>
      </c>
      <c r="H152" s="50">
        <v>75690</v>
      </c>
      <c r="I152" s="50" t="s">
        <v>25</v>
      </c>
      <c r="J152" s="50" t="s">
        <v>25</v>
      </c>
      <c r="K152" s="50" t="str">
        <f t="shared" si="10"/>
        <v>D</v>
      </c>
      <c r="L152" s="50">
        <f t="shared" si="11"/>
        <v>0</v>
      </c>
      <c r="M152" s="124"/>
      <c r="O152">
        <f>_xlfn.XLOOKUP(B152,'BALANCETE 2022'!B:B,'BALANCETE 2022'!J:J,0)</f>
        <v>0</v>
      </c>
    </row>
    <row r="153" spans="1:16" x14ac:dyDescent="0.3">
      <c r="A153" t="s">
        <v>399</v>
      </c>
      <c r="B153" t="s">
        <v>400</v>
      </c>
      <c r="C153">
        <f t="shared" si="8"/>
        <v>1</v>
      </c>
      <c r="D153" t="str">
        <f t="shared" si="9"/>
        <v>A</v>
      </c>
      <c r="E153" s="115" t="s">
        <v>25</v>
      </c>
      <c r="F153" t="s">
        <v>14</v>
      </c>
      <c r="G153" s="16">
        <v>4935</v>
      </c>
      <c r="H153" s="50">
        <v>4935</v>
      </c>
      <c r="I153" s="50" t="s">
        <v>25</v>
      </c>
      <c r="J153" s="50" t="s">
        <v>25</v>
      </c>
      <c r="K153" s="50" t="str">
        <f t="shared" si="10"/>
        <v>D</v>
      </c>
      <c r="L153" s="50">
        <f t="shared" si="11"/>
        <v>0</v>
      </c>
      <c r="M153" s="124"/>
      <c r="O153">
        <f>_xlfn.XLOOKUP(B153,'BALANCETE 2022'!B:B,'BALANCETE 2022'!J:J,0)</f>
        <v>0</v>
      </c>
    </row>
    <row r="154" spans="1:16" x14ac:dyDescent="0.3">
      <c r="A154" t="s">
        <v>401</v>
      </c>
      <c r="B154" t="s">
        <v>402</v>
      </c>
      <c r="C154">
        <f t="shared" si="8"/>
        <v>1</v>
      </c>
      <c r="D154" t="str">
        <f t="shared" si="9"/>
        <v>A</v>
      </c>
      <c r="E154" s="115" t="s">
        <v>25</v>
      </c>
      <c r="F154" t="s">
        <v>14</v>
      </c>
      <c r="G154" s="16">
        <v>140000</v>
      </c>
      <c r="H154" s="50">
        <v>140000</v>
      </c>
      <c r="I154" s="50" t="s">
        <v>25</v>
      </c>
      <c r="J154" s="50" t="s">
        <v>25</v>
      </c>
      <c r="K154" s="50" t="str">
        <f t="shared" si="10"/>
        <v>D</v>
      </c>
      <c r="L154" s="50">
        <f t="shared" si="11"/>
        <v>0</v>
      </c>
      <c r="M154" s="124"/>
      <c r="O154">
        <f>_xlfn.XLOOKUP(B154,'BALANCETE 2022'!B:B,'BALANCETE 2022'!J:J,0)</f>
        <v>0</v>
      </c>
    </row>
    <row r="155" spans="1:16" x14ac:dyDescent="0.3">
      <c r="A155" t="s">
        <v>403</v>
      </c>
      <c r="B155" t="s">
        <v>404</v>
      </c>
      <c r="C155">
        <f t="shared" si="8"/>
        <v>1</v>
      </c>
      <c r="D155" t="str">
        <f t="shared" si="9"/>
        <v>A</v>
      </c>
      <c r="E155" s="115" t="s">
        <v>25</v>
      </c>
      <c r="F155" t="s">
        <v>14</v>
      </c>
      <c r="G155" s="16">
        <v>93000</v>
      </c>
      <c r="H155" s="50">
        <v>0</v>
      </c>
      <c r="I155" s="50" t="s">
        <v>405</v>
      </c>
      <c r="J155" s="50" t="s">
        <v>405</v>
      </c>
      <c r="K155" s="50" t="str">
        <f t="shared" si="10"/>
        <v>D</v>
      </c>
      <c r="L155" s="50">
        <f t="shared" si="11"/>
        <v>93000</v>
      </c>
      <c r="M155" s="124"/>
      <c r="O155">
        <f>_xlfn.XLOOKUP(B155,'BALANCETE 2022'!B:B,'BALANCETE 2022'!J:J,0)</f>
        <v>0</v>
      </c>
    </row>
    <row r="156" spans="1:16" x14ac:dyDescent="0.3">
      <c r="A156" t="s">
        <v>406</v>
      </c>
      <c r="B156" t="s">
        <v>407</v>
      </c>
      <c r="C156">
        <f t="shared" si="8"/>
        <v>1</v>
      </c>
      <c r="D156" t="str">
        <f t="shared" si="9"/>
        <v>A</v>
      </c>
      <c r="E156" s="115" t="s">
        <v>25</v>
      </c>
      <c r="F156" t="s">
        <v>14</v>
      </c>
      <c r="G156" s="16">
        <v>63000</v>
      </c>
      <c r="H156" s="50">
        <v>63000</v>
      </c>
      <c r="I156" s="50" t="s">
        <v>25</v>
      </c>
      <c r="J156" s="50" t="s">
        <v>25</v>
      </c>
      <c r="K156" s="50" t="str">
        <f t="shared" si="10"/>
        <v>D</v>
      </c>
      <c r="L156" s="50">
        <f t="shared" si="11"/>
        <v>0</v>
      </c>
      <c r="M156" s="124"/>
      <c r="O156">
        <f>_xlfn.XLOOKUP(B156,'BALANCETE 2022'!B:B,'BALANCETE 2022'!J:J,0)</f>
        <v>0</v>
      </c>
    </row>
    <row r="157" spans="1:16" x14ac:dyDescent="0.3">
      <c r="A157" s="1" t="s">
        <v>408</v>
      </c>
      <c r="B157" s="1" t="s">
        <v>409</v>
      </c>
      <c r="C157" s="1">
        <f t="shared" si="8"/>
        <v>1</v>
      </c>
      <c r="D157" s="1" t="str">
        <f t="shared" si="9"/>
        <v>s</v>
      </c>
      <c r="E157" s="122" t="s">
        <v>410</v>
      </c>
      <c r="F157" s="1" t="s">
        <v>14</v>
      </c>
      <c r="G157" s="123">
        <v>274.47000000000003</v>
      </c>
      <c r="H157" s="121">
        <v>274.47000000000003</v>
      </c>
      <c r="I157" s="121" t="s">
        <v>25</v>
      </c>
      <c r="J157" s="121" t="s">
        <v>25</v>
      </c>
      <c r="K157" s="121" t="str">
        <f t="shared" si="10"/>
        <v>D</v>
      </c>
      <c r="L157" s="121">
        <f t="shared" si="11"/>
        <v>0</v>
      </c>
      <c r="N157" s="1"/>
      <c r="O157" s="1">
        <f>_xlfn.XLOOKUP(B157,'BALANCETE 2022'!B:B,'BALANCETE 2022'!J:J,0)</f>
        <v>0</v>
      </c>
      <c r="P157" s="1"/>
    </row>
    <row r="158" spans="1:16" x14ac:dyDescent="0.3">
      <c r="A158" t="s">
        <v>411</v>
      </c>
      <c r="B158" t="s">
        <v>412</v>
      </c>
      <c r="C158">
        <f t="shared" si="8"/>
        <v>1</v>
      </c>
      <c r="D158" t="str">
        <f t="shared" si="9"/>
        <v>A</v>
      </c>
      <c r="E158" s="115" t="s">
        <v>25</v>
      </c>
      <c r="F158" t="s">
        <v>14</v>
      </c>
      <c r="G158" s="16">
        <v>274.47000000000003</v>
      </c>
      <c r="H158" s="50">
        <v>274.47000000000003</v>
      </c>
      <c r="I158" s="50" t="s">
        <v>25</v>
      </c>
      <c r="J158" s="50" t="s">
        <v>25</v>
      </c>
      <c r="K158" s="50" t="str">
        <f t="shared" si="10"/>
        <v>D</v>
      </c>
      <c r="L158" s="50">
        <f t="shared" si="11"/>
        <v>0</v>
      </c>
      <c r="M158" s="124"/>
      <c r="O158">
        <f>_xlfn.XLOOKUP(B158,'BALANCETE 2022'!B:B,'BALANCETE 2022'!J:J,0)</f>
        <v>0</v>
      </c>
    </row>
    <row r="159" spans="1:16" x14ac:dyDescent="0.3">
      <c r="A159" s="1" t="s">
        <v>413</v>
      </c>
      <c r="B159" s="1" t="s">
        <v>414</v>
      </c>
      <c r="C159" s="1">
        <f t="shared" si="8"/>
        <v>1</v>
      </c>
      <c r="D159" s="1" t="str">
        <f t="shared" si="9"/>
        <v>s</v>
      </c>
      <c r="E159" s="122" t="s">
        <v>415</v>
      </c>
      <c r="F159" s="1" t="s">
        <v>416</v>
      </c>
      <c r="G159" s="123">
        <v>1899091.81</v>
      </c>
      <c r="H159" s="121">
        <v>105321.35</v>
      </c>
      <c r="I159" s="121">
        <v>0</v>
      </c>
      <c r="J159" s="121">
        <v>0</v>
      </c>
      <c r="K159" s="121" t="str">
        <f t="shared" si="10"/>
        <v>0</v>
      </c>
      <c r="L159" s="121">
        <f t="shared" si="11"/>
        <v>0</v>
      </c>
      <c r="N159" s="1"/>
      <c r="O159" s="1">
        <f>_xlfn.XLOOKUP(B159,'BALANCETE 2022'!B:B,'BALANCETE 2022'!J:J,0)</f>
        <v>0</v>
      </c>
      <c r="P159" s="1"/>
    </row>
    <row r="160" spans="1:16" x14ac:dyDescent="0.3">
      <c r="A160" t="s">
        <v>417</v>
      </c>
      <c r="B160" t="s">
        <v>418</v>
      </c>
      <c r="C160">
        <f t="shared" si="8"/>
        <v>1</v>
      </c>
      <c r="D160" t="str">
        <f t="shared" si="9"/>
        <v>A</v>
      </c>
      <c r="E160" s="115" t="s">
        <v>419</v>
      </c>
      <c r="F160" t="s">
        <v>416</v>
      </c>
      <c r="G160" s="16">
        <v>1899091.81</v>
      </c>
      <c r="H160" s="50">
        <v>105321.35</v>
      </c>
      <c r="I160" s="50">
        <v>0</v>
      </c>
      <c r="J160" s="50">
        <v>0</v>
      </c>
      <c r="K160" s="50" t="str">
        <f t="shared" si="10"/>
        <v>0</v>
      </c>
      <c r="L160" s="50">
        <f t="shared" si="11"/>
        <v>0</v>
      </c>
      <c r="M160" s="124"/>
      <c r="O160">
        <f>_xlfn.XLOOKUP(B160,'BALANCETE 2022'!B:B,'BALANCETE 2022'!J:J,0)</f>
        <v>0</v>
      </c>
    </row>
    <row r="161" spans="1:16" x14ac:dyDescent="0.3">
      <c r="A161" s="1" t="s">
        <v>420</v>
      </c>
      <c r="B161" s="1" t="s">
        <v>421</v>
      </c>
      <c r="C161" s="1">
        <f t="shared" si="8"/>
        <v>1</v>
      </c>
      <c r="D161" s="1" t="str">
        <f t="shared" si="9"/>
        <v>s</v>
      </c>
      <c r="E161" s="122" t="s">
        <v>422</v>
      </c>
      <c r="F161" s="1" t="s">
        <v>14</v>
      </c>
      <c r="G161" s="123">
        <v>42314310.869999997</v>
      </c>
      <c r="H161" s="121">
        <v>55601771.060000002</v>
      </c>
      <c r="I161" s="121" t="s">
        <v>423</v>
      </c>
      <c r="J161" s="121" t="s">
        <v>423</v>
      </c>
      <c r="K161" s="121" t="str">
        <f t="shared" si="10"/>
        <v>D</v>
      </c>
      <c r="L161" s="121">
        <f t="shared" si="11"/>
        <v>1758248.97</v>
      </c>
      <c r="N161" s="1"/>
      <c r="O161" s="1">
        <f>_xlfn.XLOOKUP(B161,'BALANCETE 2022'!B:B,'BALANCETE 2022'!J:J,0)</f>
        <v>0</v>
      </c>
      <c r="P161" s="1"/>
    </row>
    <row r="162" spans="1:16" x14ac:dyDescent="0.3">
      <c r="A162" s="1" t="s">
        <v>424</v>
      </c>
      <c r="B162" s="1" t="s">
        <v>425</v>
      </c>
      <c r="C162" s="1">
        <f t="shared" si="8"/>
        <v>1</v>
      </c>
      <c r="D162" s="1" t="str">
        <f t="shared" si="9"/>
        <v>s</v>
      </c>
      <c r="E162" s="122" t="s">
        <v>426</v>
      </c>
      <c r="F162" s="1" t="s">
        <v>14</v>
      </c>
      <c r="G162" s="123">
        <v>0</v>
      </c>
      <c r="H162" s="121">
        <v>1069.8</v>
      </c>
      <c r="I162" s="121" t="s">
        <v>25</v>
      </c>
      <c r="J162" s="121" t="s">
        <v>25</v>
      </c>
      <c r="K162" s="121" t="str">
        <f t="shared" si="10"/>
        <v>D</v>
      </c>
      <c r="L162" s="121">
        <f t="shared" si="11"/>
        <v>0</v>
      </c>
      <c r="N162" s="1"/>
      <c r="O162" s="1">
        <f>_xlfn.XLOOKUP(B162,'BALANCETE 2022'!B:B,'BALANCETE 2022'!J:J,0)</f>
        <v>0</v>
      </c>
      <c r="P162" s="1"/>
    </row>
    <row r="163" spans="1:16" x14ac:dyDescent="0.3">
      <c r="A163" t="s">
        <v>427</v>
      </c>
      <c r="B163" t="s">
        <v>428</v>
      </c>
      <c r="C163">
        <f t="shared" si="8"/>
        <v>1</v>
      </c>
      <c r="D163" t="str">
        <f t="shared" si="9"/>
        <v>A</v>
      </c>
      <c r="E163" s="115" t="s">
        <v>429</v>
      </c>
      <c r="F163" t="s">
        <v>14</v>
      </c>
      <c r="G163" s="16">
        <v>0</v>
      </c>
      <c r="H163" s="50">
        <v>1010.8</v>
      </c>
      <c r="I163" s="50">
        <v>0</v>
      </c>
      <c r="J163" s="50">
        <v>0</v>
      </c>
      <c r="K163" s="50" t="str">
        <f t="shared" si="10"/>
        <v>0</v>
      </c>
      <c r="L163" s="50">
        <f t="shared" si="11"/>
        <v>0</v>
      </c>
      <c r="M163" s="124"/>
      <c r="O163">
        <f>_xlfn.XLOOKUP(B163,'BALANCETE 2022'!B:B,'BALANCETE 2022'!J:J,0)</f>
        <v>0</v>
      </c>
    </row>
    <row r="164" spans="1:16" x14ac:dyDescent="0.3">
      <c r="A164" t="s">
        <v>430</v>
      </c>
      <c r="B164" t="s">
        <v>431</v>
      </c>
      <c r="C164">
        <f t="shared" si="8"/>
        <v>1</v>
      </c>
      <c r="D164" t="str">
        <f t="shared" si="9"/>
        <v>A</v>
      </c>
      <c r="E164" s="115" t="s">
        <v>432</v>
      </c>
      <c r="F164" t="s">
        <v>14</v>
      </c>
      <c r="G164" s="16">
        <v>0</v>
      </c>
      <c r="H164" s="50">
        <v>59</v>
      </c>
      <c r="I164" s="50">
        <v>0</v>
      </c>
      <c r="J164" s="50">
        <v>0</v>
      </c>
      <c r="K164" s="50" t="str">
        <f t="shared" si="10"/>
        <v>0</v>
      </c>
      <c r="L164" s="50">
        <f t="shared" si="11"/>
        <v>0</v>
      </c>
      <c r="M164" s="124"/>
      <c r="O164">
        <f>_xlfn.XLOOKUP(B164,'BALANCETE 2022'!B:B,'BALANCETE 2022'!J:J,0)</f>
        <v>0</v>
      </c>
    </row>
    <row r="165" spans="1:16" x14ac:dyDescent="0.3">
      <c r="A165" s="1" t="s">
        <v>433</v>
      </c>
      <c r="B165" s="1" t="s">
        <v>434</v>
      </c>
      <c r="C165" s="1">
        <f t="shared" si="8"/>
        <v>1</v>
      </c>
      <c r="D165" s="1" t="str">
        <f t="shared" si="9"/>
        <v>s</v>
      </c>
      <c r="E165" s="122" t="s">
        <v>435</v>
      </c>
      <c r="F165" s="1" t="s">
        <v>14</v>
      </c>
      <c r="G165" s="123">
        <v>533016.48</v>
      </c>
      <c r="H165" s="121">
        <v>521311.87</v>
      </c>
      <c r="I165" s="121">
        <v>61438.400000000001</v>
      </c>
      <c r="J165" s="121">
        <v>61438.400000000001</v>
      </c>
      <c r="K165" s="121" t="str">
        <f t="shared" si="10"/>
        <v>4</v>
      </c>
      <c r="L165" s="121">
        <f t="shared" si="11"/>
        <v>-61438.400000000001</v>
      </c>
      <c r="M165" s="52">
        <v>7</v>
      </c>
      <c r="N165" s="1"/>
      <c r="O165" s="1">
        <f>_xlfn.XLOOKUP(B165,'BALANCETE 2022'!B:B,'BALANCETE 2022'!J:J,0)</f>
        <v>0</v>
      </c>
      <c r="P165" s="1"/>
    </row>
    <row r="166" spans="1:16" x14ac:dyDescent="0.3">
      <c r="A166" t="s">
        <v>436</v>
      </c>
      <c r="B166" t="s">
        <v>437</v>
      </c>
      <c r="C166">
        <f t="shared" si="8"/>
        <v>1</v>
      </c>
      <c r="D166" t="str">
        <f t="shared" si="9"/>
        <v>A</v>
      </c>
      <c r="E166" s="115" t="s">
        <v>25</v>
      </c>
      <c r="F166" t="s">
        <v>14</v>
      </c>
      <c r="G166" s="16">
        <v>188167.2</v>
      </c>
      <c r="H166" s="50">
        <v>188167.2</v>
      </c>
      <c r="I166" s="50" t="s">
        <v>25</v>
      </c>
      <c r="J166" s="50" t="s">
        <v>25</v>
      </c>
      <c r="K166" s="50" t="str">
        <f t="shared" si="10"/>
        <v>D</v>
      </c>
      <c r="L166" s="50">
        <f t="shared" si="11"/>
        <v>0</v>
      </c>
      <c r="M166" s="124"/>
      <c r="O166">
        <f>_xlfn.XLOOKUP(B166,'BALANCETE 2022'!B:B,'BALANCETE 2022'!J:J,0)</f>
        <v>0</v>
      </c>
    </row>
    <row r="167" spans="1:16" x14ac:dyDescent="0.3">
      <c r="A167" t="s">
        <v>438</v>
      </c>
      <c r="B167" t="s">
        <v>439</v>
      </c>
      <c r="C167">
        <f t="shared" si="8"/>
        <v>1</v>
      </c>
      <c r="D167" t="str">
        <f t="shared" si="9"/>
        <v>A</v>
      </c>
      <c r="E167" s="115" t="s">
        <v>440</v>
      </c>
      <c r="F167" t="s">
        <v>14</v>
      </c>
      <c r="G167" s="16">
        <v>344849.28</v>
      </c>
      <c r="H167" s="50">
        <v>333144.67</v>
      </c>
      <c r="I167" s="50" t="s">
        <v>441</v>
      </c>
      <c r="J167" s="50" t="s">
        <v>441</v>
      </c>
      <c r="K167" s="50" t="str">
        <f t="shared" si="10"/>
        <v>D</v>
      </c>
      <c r="L167" s="50">
        <f t="shared" si="11"/>
        <v>61438.400000000001</v>
      </c>
      <c r="M167" s="124"/>
      <c r="O167">
        <f>_xlfn.XLOOKUP(B167,'BALANCETE 2022'!B:B,'BALANCETE 2022'!J:J,0)</f>
        <v>0</v>
      </c>
    </row>
    <row r="168" spans="1:16" x14ac:dyDescent="0.3">
      <c r="A168" s="1" t="s">
        <v>442</v>
      </c>
      <c r="B168" s="1" t="s">
        <v>443</v>
      </c>
      <c r="C168" s="1">
        <f t="shared" si="8"/>
        <v>1</v>
      </c>
      <c r="D168" s="1" t="str">
        <f t="shared" si="9"/>
        <v>s</v>
      </c>
      <c r="E168" s="122" t="s">
        <v>444</v>
      </c>
      <c r="F168" s="1" t="s">
        <v>14</v>
      </c>
      <c r="G168" s="123">
        <v>2571381.2400000002</v>
      </c>
      <c r="H168" s="121">
        <v>3411795.64</v>
      </c>
      <c r="I168" s="121">
        <v>1269755.92</v>
      </c>
      <c r="J168" s="121">
        <v>1269755.92</v>
      </c>
      <c r="K168" s="121" t="str">
        <f t="shared" si="10"/>
        <v>2</v>
      </c>
      <c r="L168" s="121">
        <f t="shared" si="11"/>
        <v>-1269755.92</v>
      </c>
      <c r="M168" s="52">
        <v>6</v>
      </c>
      <c r="N168" s="1"/>
      <c r="O168" s="1">
        <f>_xlfn.XLOOKUP(B168,'BALANCETE 2022'!B:B,'BALANCETE 2022'!J:J,0)</f>
        <v>0</v>
      </c>
      <c r="P168" s="1"/>
    </row>
    <row r="169" spans="1:16" x14ac:dyDescent="0.3">
      <c r="A169" t="s">
        <v>445</v>
      </c>
      <c r="B169" t="s">
        <v>446</v>
      </c>
      <c r="C169">
        <f t="shared" si="8"/>
        <v>1</v>
      </c>
      <c r="D169" t="str">
        <f t="shared" si="9"/>
        <v>A</v>
      </c>
      <c r="E169" s="115" t="s">
        <v>447</v>
      </c>
      <c r="F169" t="s">
        <v>14</v>
      </c>
      <c r="G169" s="16">
        <v>756.9</v>
      </c>
      <c r="H169" s="50">
        <v>0</v>
      </c>
      <c r="I169" s="50" t="s">
        <v>448</v>
      </c>
      <c r="J169" s="50" t="s">
        <v>448</v>
      </c>
      <c r="K169" s="50" t="str">
        <f t="shared" si="10"/>
        <v>D</v>
      </c>
      <c r="L169" s="50">
        <f t="shared" si="11"/>
        <v>1339.91</v>
      </c>
      <c r="M169" s="124"/>
      <c r="O169">
        <f>_xlfn.XLOOKUP(B169,'BALANCETE 2022'!B:B,'BALANCETE 2022'!J:J,0)</f>
        <v>0</v>
      </c>
    </row>
    <row r="170" spans="1:16" x14ac:dyDescent="0.3">
      <c r="A170" t="s">
        <v>449</v>
      </c>
      <c r="B170" t="s">
        <v>450</v>
      </c>
      <c r="C170">
        <f t="shared" si="8"/>
        <v>1</v>
      </c>
      <c r="D170" t="str">
        <f t="shared" si="9"/>
        <v>A</v>
      </c>
      <c r="E170" s="115" t="s">
        <v>451</v>
      </c>
      <c r="F170" t="s">
        <v>14</v>
      </c>
      <c r="G170" s="16">
        <v>13706.65</v>
      </c>
      <c r="H170" s="50">
        <v>0</v>
      </c>
      <c r="I170" s="50" t="s">
        <v>452</v>
      </c>
      <c r="J170" s="50" t="s">
        <v>452</v>
      </c>
      <c r="K170" s="50" t="str">
        <f t="shared" si="10"/>
        <v>D</v>
      </c>
      <c r="L170" s="50">
        <f t="shared" si="11"/>
        <v>357261.98</v>
      </c>
      <c r="M170" s="124"/>
      <c r="O170">
        <f>_xlfn.XLOOKUP(B170,'BALANCETE 2022'!B:B,'BALANCETE 2022'!J:J,0)</f>
        <v>0</v>
      </c>
    </row>
    <row r="171" spans="1:16" x14ac:dyDescent="0.3">
      <c r="A171" t="s">
        <v>453</v>
      </c>
      <c r="B171" t="s">
        <v>454</v>
      </c>
      <c r="C171">
        <f t="shared" si="8"/>
        <v>1</v>
      </c>
      <c r="D171" t="str">
        <f t="shared" si="9"/>
        <v>A</v>
      </c>
      <c r="E171" s="115" t="s">
        <v>455</v>
      </c>
      <c r="F171" t="s">
        <v>14</v>
      </c>
      <c r="G171" s="16">
        <v>2099889.21</v>
      </c>
      <c r="H171" s="50">
        <v>2779324.11</v>
      </c>
      <c r="I171" s="50" t="s">
        <v>456</v>
      </c>
      <c r="J171" s="50" t="s">
        <v>456</v>
      </c>
      <c r="K171" s="50" t="str">
        <f t="shared" si="10"/>
        <v>D</v>
      </c>
      <c r="L171" s="50">
        <f t="shared" si="11"/>
        <v>747256.29</v>
      </c>
      <c r="M171" s="124"/>
      <c r="O171">
        <f>_xlfn.XLOOKUP(B171,'BALANCETE 2022'!B:B,'BALANCETE 2022'!J:J,0)</f>
        <v>0</v>
      </c>
    </row>
    <row r="172" spans="1:16" x14ac:dyDescent="0.3">
      <c r="A172" t="s">
        <v>457</v>
      </c>
      <c r="B172" t="s">
        <v>458</v>
      </c>
      <c r="C172">
        <f t="shared" si="8"/>
        <v>1</v>
      </c>
      <c r="D172" t="str">
        <f t="shared" si="9"/>
        <v>A</v>
      </c>
      <c r="E172" s="115" t="s">
        <v>459</v>
      </c>
      <c r="F172" t="s">
        <v>14</v>
      </c>
      <c r="G172" s="16">
        <v>456963.38</v>
      </c>
      <c r="H172" s="50">
        <v>604578.89</v>
      </c>
      <c r="I172" s="50" t="s">
        <v>460</v>
      </c>
      <c r="J172" s="50" t="s">
        <v>460</v>
      </c>
      <c r="K172" s="50" t="str">
        <f t="shared" si="10"/>
        <v>D</v>
      </c>
      <c r="L172" s="50">
        <f t="shared" si="11"/>
        <v>163832.64000000001</v>
      </c>
      <c r="M172" s="124"/>
      <c r="O172">
        <f>_xlfn.XLOOKUP(B172,'BALANCETE 2022'!B:B,'BALANCETE 2022'!J:J,0)</f>
        <v>0</v>
      </c>
    </row>
    <row r="173" spans="1:16" x14ac:dyDescent="0.3">
      <c r="A173" t="s">
        <v>461</v>
      </c>
      <c r="B173" t="s">
        <v>462</v>
      </c>
      <c r="C173">
        <f t="shared" si="8"/>
        <v>1</v>
      </c>
      <c r="D173" t="str">
        <f t="shared" si="9"/>
        <v>A</v>
      </c>
      <c r="E173" s="115" t="s">
        <v>463</v>
      </c>
      <c r="F173" t="s">
        <v>14</v>
      </c>
      <c r="G173" s="16">
        <v>0</v>
      </c>
      <c r="H173" s="50">
        <v>21279.75</v>
      </c>
      <c r="I173" s="50" t="s">
        <v>25</v>
      </c>
      <c r="J173" s="50" t="s">
        <v>25</v>
      </c>
      <c r="K173" s="50" t="str">
        <f t="shared" si="10"/>
        <v>D</v>
      </c>
      <c r="L173" s="50">
        <f t="shared" si="11"/>
        <v>0</v>
      </c>
      <c r="M173" s="124"/>
      <c r="O173">
        <f>_xlfn.XLOOKUP(B173,'BALANCETE 2022'!B:B,'BALANCETE 2022'!J:J,0)</f>
        <v>0</v>
      </c>
    </row>
    <row r="174" spans="1:16" x14ac:dyDescent="0.3">
      <c r="A174" t="s">
        <v>464</v>
      </c>
      <c r="B174" t="s">
        <v>465</v>
      </c>
      <c r="C174">
        <f t="shared" si="8"/>
        <v>1</v>
      </c>
      <c r="D174" t="str">
        <f t="shared" si="9"/>
        <v>A</v>
      </c>
      <c r="E174" s="115" t="s">
        <v>466</v>
      </c>
      <c r="F174" t="s">
        <v>14</v>
      </c>
      <c r="G174" s="16">
        <v>0</v>
      </c>
      <c r="H174" s="50">
        <v>5736.39</v>
      </c>
      <c r="I174" s="50" t="s">
        <v>25</v>
      </c>
      <c r="J174" s="50" t="s">
        <v>25</v>
      </c>
      <c r="K174" s="50" t="str">
        <f t="shared" si="10"/>
        <v>D</v>
      </c>
      <c r="L174" s="50">
        <f t="shared" si="11"/>
        <v>0</v>
      </c>
      <c r="M174" s="124"/>
      <c r="O174">
        <f>_xlfn.XLOOKUP(B174,'BALANCETE 2022'!B:B,'BALANCETE 2022'!J:J,0)</f>
        <v>0</v>
      </c>
    </row>
    <row r="175" spans="1:16" x14ac:dyDescent="0.3">
      <c r="A175" t="s">
        <v>467</v>
      </c>
      <c r="B175" t="s">
        <v>468</v>
      </c>
      <c r="C175">
        <f t="shared" si="8"/>
        <v>1</v>
      </c>
      <c r="D175" t="str">
        <f t="shared" si="9"/>
        <v>A</v>
      </c>
      <c r="E175" s="115" t="s">
        <v>469</v>
      </c>
      <c r="F175" t="s">
        <v>14</v>
      </c>
      <c r="G175" s="16">
        <v>65.099999999999994</v>
      </c>
      <c r="H175" s="50">
        <v>876.5</v>
      </c>
      <c r="I175" s="50" t="s">
        <v>470</v>
      </c>
      <c r="J175" s="50" t="s">
        <v>470</v>
      </c>
      <c r="K175" s="50" t="str">
        <f t="shared" si="10"/>
        <v>D</v>
      </c>
      <c r="L175" s="50">
        <f t="shared" si="11"/>
        <v>65.099999999999994</v>
      </c>
      <c r="M175" s="124"/>
      <c r="O175">
        <f>_xlfn.XLOOKUP(B175,'BALANCETE 2022'!B:B,'BALANCETE 2022'!J:J,0)</f>
        <v>0</v>
      </c>
    </row>
    <row r="176" spans="1:16" x14ac:dyDescent="0.3">
      <c r="A176" s="1" t="s">
        <v>471</v>
      </c>
      <c r="B176" s="1" t="s">
        <v>472</v>
      </c>
      <c r="C176" s="1">
        <f t="shared" si="8"/>
        <v>1</v>
      </c>
      <c r="D176" s="1" t="str">
        <f t="shared" si="9"/>
        <v>s</v>
      </c>
      <c r="E176" s="122" t="s">
        <v>473</v>
      </c>
      <c r="F176" s="1" t="s">
        <v>14</v>
      </c>
      <c r="G176" s="123">
        <v>0</v>
      </c>
      <c r="H176" s="121">
        <v>0</v>
      </c>
      <c r="I176" s="121">
        <v>71.959999999999994</v>
      </c>
      <c r="J176" s="121">
        <v>71.959999999999994</v>
      </c>
      <c r="K176" s="121" t="str">
        <f t="shared" si="10"/>
        <v>6</v>
      </c>
      <c r="L176" s="121">
        <f t="shared" si="11"/>
        <v>-71.959999999999994</v>
      </c>
      <c r="M176" s="52">
        <v>6</v>
      </c>
      <c r="N176" s="1"/>
      <c r="O176" s="1">
        <f>_xlfn.XLOOKUP(B176,'BALANCETE 2022'!B:B,'BALANCETE 2022'!J:J,0)</f>
        <v>0</v>
      </c>
      <c r="P176" s="1"/>
    </row>
    <row r="177" spans="1:16" x14ac:dyDescent="0.3">
      <c r="A177" t="s">
        <v>474</v>
      </c>
      <c r="B177" t="s">
        <v>475</v>
      </c>
      <c r="C177">
        <f t="shared" si="8"/>
        <v>1</v>
      </c>
      <c r="D177" t="str">
        <f t="shared" si="9"/>
        <v>A</v>
      </c>
      <c r="E177" s="115" t="s">
        <v>476</v>
      </c>
      <c r="F177" t="s">
        <v>14</v>
      </c>
      <c r="G177" s="16">
        <v>0</v>
      </c>
      <c r="H177" s="50">
        <v>0</v>
      </c>
      <c r="I177" s="50" t="s">
        <v>476</v>
      </c>
      <c r="J177" s="50" t="s">
        <v>476</v>
      </c>
      <c r="K177" s="50" t="str">
        <f t="shared" si="10"/>
        <v>D</v>
      </c>
      <c r="L177" s="50">
        <f t="shared" si="11"/>
        <v>32.44</v>
      </c>
      <c r="M177" s="124"/>
      <c r="O177">
        <f>_xlfn.XLOOKUP(B177,'BALANCETE 2022'!B:B,'BALANCETE 2022'!J:J,0)</f>
        <v>0</v>
      </c>
    </row>
    <row r="178" spans="1:16" x14ac:dyDescent="0.3">
      <c r="A178" t="s">
        <v>477</v>
      </c>
      <c r="B178" t="s">
        <v>478</v>
      </c>
      <c r="C178">
        <f t="shared" si="8"/>
        <v>1</v>
      </c>
      <c r="D178" t="str">
        <f t="shared" si="9"/>
        <v>A</v>
      </c>
      <c r="E178" s="115" t="s">
        <v>479</v>
      </c>
      <c r="F178" t="s">
        <v>14</v>
      </c>
      <c r="G178" s="16">
        <v>0</v>
      </c>
      <c r="H178" s="50">
        <v>0</v>
      </c>
      <c r="I178" s="50" t="s">
        <v>479</v>
      </c>
      <c r="J178" s="50" t="s">
        <v>479</v>
      </c>
      <c r="K178" s="50" t="str">
        <f t="shared" si="10"/>
        <v>D</v>
      </c>
      <c r="L178" s="50">
        <f t="shared" si="11"/>
        <v>30.14</v>
      </c>
      <c r="M178" s="124"/>
      <c r="O178">
        <f>_xlfn.XLOOKUP(B178,'BALANCETE 2022'!B:B,'BALANCETE 2022'!J:J,0)</f>
        <v>0</v>
      </c>
    </row>
    <row r="179" spans="1:16" x14ac:dyDescent="0.3">
      <c r="A179" t="s">
        <v>480</v>
      </c>
      <c r="B179" t="s">
        <v>481</v>
      </c>
      <c r="C179">
        <f t="shared" si="8"/>
        <v>1</v>
      </c>
      <c r="D179" t="str">
        <f t="shared" si="9"/>
        <v>A</v>
      </c>
      <c r="E179" s="115" t="s">
        <v>482</v>
      </c>
      <c r="F179" t="s">
        <v>14</v>
      </c>
      <c r="G179" s="16">
        <v>0</v>
      </c>
      <c r="H179" s="50">
        <v>0</v>
      </c>
      <c r="I179" s="50" t="s">
        <v>482</v>
      </c>
      <c r="J179" s="50" t="s">
        <v>482</v>
      </c>
      <c r="K179" s="50" t="str">
        <f t="shared" si="10"/>
        <v>D</v>
      </c>
      <c r="L179" s="50">
        <f t="shared" si="11"/>
        <v>9.3800000000000008</v>
      </c>
      <c r="M179" s="124"/>
      <c r="O179">
        <f>_xlfn.XLOOKUP(B179,'BALANCETE 2022'!B:B,'BALANCETE 2022'!J:J,0)</f>
        <v>0</v>
      </c>
    </row>
    <row r="180" spans="1:16" x14ac:dyDescent="0.3">
      <c r="A180" s="1" t="s">
        <v>483</v>
      </c>
      <c r="B180" s="1" t="s">
        <v>484</v>
      </c>
      <c r="C180" s="1">
        <f t="shared" si="8"/>
        <v>1</v>
      </c>
      <c r="D180" s="1" t="str">
        <f t="shared" si="9"/>
        <v>s</v>
      </c>
      <c r="E180" s="122" t="s">
        <v>410</v>
      </c>
      <c r="F180" s="1" t="s">
        <v>14</v>
      </c>
      <c r="G180" s="123">
        <v>19135472.829999998</v>
      </c>
      <c r="H180" s="121">
        <v>19135472.829999998</v>
      </c>
      <c r="I180" s="121" t="s">
        <v>25</v>
      </c>
      <c r="J180" s="121" t="s">
        <v>25</v>
      </c>
      <c r="K180" s="121" t="str">
        <f t="shared" si="10"/>
        <v>D</v>
      </c>
      <c r="L180" s="121">
        <f t="shared" si="11"/>
        <v>0</v>
      </c>
      <c r="N180" s="1"/>
      <c r="O180" s="1">
        <f>_xlfn.XLOOKUP(B180,'BALANCETE 2022'!B:B,'BALANCETE 2022'!J:J,0)</f>
        <v>0</v>
      </c>
      <c r="P180" s="1"/>
    </row>
    <row r="181" spans="1:16" x14ac:dyDescent="0.3">
      <c r="A181" t="s">
        <v>485</v>
      </c>
      <c r="B181" t="s">
        <v>486</v>
      </c>
      <c r="C181">
        <f t="shared" si="8"/>
        <v>1</v>
      </c>
      <c r="D181" t="str">
        <f t="shared" si="9"/>
        <v>A</v>
      </c>
      <c r="E181" s="115">
        <v>0</v>
      </c>
      <c r="F181" t="s">
        <v>14</v>
      </c>
      <c r="G181" s="16">
        <v>19135472.829999998</v>
      </c>
      <c r="H181" s="50">
        <v>19135472.829999998</v>
      </c>
      <c r="I181" s="50">
        <v>0</v>
      </c>
      <c r="J181" s="50">
        <v>0</v>
      </c>
      <c r="K181" s="50" t="str">
        <f t="shared" si="10"/>
        <v>0</v>
      </c>
      <c r="L181" s="50">
        <f t="shared" si="11"/>
        <v>0</v>
      </c>
      <c r="M181" s="124"/>
      <c r="O181">
        <f>_xlfn.XLOOKUP(B181,'BALANCETE 2022'!B:B,'BALANCETE 2022'!J:J,0)</f>
        <v>0</v>
      </c>
    </row>
    <row r="182" spans="1:16" x14ac:dyDescent="0.3">
      <c r="A182" s="1" t="s">
        <v>487</v>
      </c>
      <c r="B182" s="1" t="s">
        <v>488</v>
      </c>
      <c r="C182" s="1">
        <f t="shared" si="8"/>
        <v>1</v>
      </c>
      <c r="D182" s="1" t="str">
        <f t="shared" si="9"/>
        <v>s</v>
      </c>
      <c r="E182" s="122">
        <v>0</v>
      </c>
      <c r="F182" s="1" t="s">
        <v>14</v>
      </c>
      <c r="G182" s="123">
        <v>20074440.32</v>
      </c>
      <c r="H182" s="121">
        <v>20074440.32</v>
      </c>
      <c r="I182" s="121">
        <v>0</v>
      </c>
      <c r="J182" s="121">
        <v>0</v>
      </c>
      <c r="K182" s="121" t="str">
        <f t="shared" si="10"/>
        <v>0</v>
      </c>
      <c r="L182" s="121">
        <f t="shared" si="11"/>
        <v>0</v>
      </c>
      <c r="N182" s="1"/>
      <c r="O182" s="1">
        <f>_xlfn.XLOOKUP(B182,'BALANCETE 2022'!B:B,'BALANCETE 2022'!J:J,0)</f>
        <v>0</v>
      </c>
      <c r="P182" s="1"/>
    </row>
    <row r="183" spans="1:16" x14ac:dyDescent="0.3">
      <c r="A183" t="s">
        <v>489</v>
      </c>
      <c r="B183" t="s">
        <v>490</v>
      </c>
      <c r="C183">
        <f t="shared" si="8"/>
        <v>1</v>
      </c>
      <c r="D183" t="str">
        <f t="shared" si="9"/>
        <v>A</v>
      </c>
      <c r="E183" s="115">
        <v>0</v>
      </c>
      <c r="F183" t="s">
        <v>14</v>
      </c>
      <c r="G183" s="16">
        <v>20074440.32</v>
      </c>
      <c r="H183" s="50">
        <v>20074440.32</v>
      </c>
      <c r="I183" s="50">
        <v>0</v>
      </c>
      <c r="J183" s="50">
        <v>0</v>
      </c>
      <c r="K183" s="50" t="str">
        <f t="shared" si="10"/>
        <v>0</v>
      </c>
      <c r="L183" s="50">
        <f t="shared" si="11"/>
        <v>0</v>
      </c>
      <c r="M183" s="124"/>
      <c r="O183">
        <f>_xlfn.XLOOKUP(B183,'BALANCETE 2022'!B:B,'BALANCETE 2022'!J:J,0)</f>
        <v>0</v>
      </c>
    </row>
    <row r="184" spans="1:16" x14ac:dyDescent="0.3">
      <c r="A184" s="1" t="s">
        <v>491</v>
      </c>
      <c r="B184" s="1" t="s">
        <v>492</v>
      </c>
      <c r="C184" s="1">
        <f t="shared" si="8"/>
        <v>1</v>
      </c>
      <c r="D184" s="1" t="str">
        <f t="shared" si="9"/>
        <v>s</v>
      </c>
      <c r="E184" s="122" t="s">
        <v>493</v>
      </c>
      <c r="F184" s="1" t="s">
        <v>14</v>
      </c>
      <c r="G184" s="123">
        <v>0</v>
      </c>
      <c r="H184" s="121">
        <v>12457680.6</v>
      </c>
      <c r="I184" s="121">
        <v>426982.69</v>
      </c>
      <c r="J184" s="121">
        <v>426982.69</v>
      </c>
      <c r="K184" s="121" t="str">
        <f t="shared" si="10"/>
        <v>9</v>
      </c>
      <c r="L184" s="121">
        <f t="shared" si="11"/>
        <v>-426982.69</v>
      </c>
      <c r="M184" s="52">
        <v>7</v>
      </c>
      <c r="N184" s="1"/>
      <c r="O184" s="1">
        <f>_xlfn.XLOOKUP(B184,'BALANCETE 2022'!B:B,'BALANCETE 2022'!J:J,0)</f>
        <v>0</v>
      </c>
      <c r="P184" s="1"/>
    </row>
    <row r="185" spans="1:16" x14ac:dyDescent="0.3">
      <c r="A185" t="s">
        <v>494</v>
      </c>
      <c r="B185" t="s">
        <v>495</v>
      </c>
      <c r="C185">
        <f t="shared" si="8"/>
        <v>1</v>
      </c>
      <c r="D185" t="str">
        <f t="shared" si="9"/>
        <v>A</v>
      </c>
      <c r="E185" s="115" t="s">
        <v>496</v>
      </c>
      <c r="F185" t="s">
        <v>14</v>
      </c>
      <c r="G185" s="16">
        <v>0</v>
      </c>
      <c r="H185" s="50">
        <v>12457680.6</v>
      </c>
      <c r="I185" s="50" t="s">
        <v>25</v>
      </c>
      <c r="J185" s="50" t="s">
        <v>25</v>
      </c>
      <c r="K185" s="50" t="str">
        <f t="shared" si="10"/>
        <v>D</v>
      </c>
      <c r="L185" s="50">
        <f t="shared" si="11"/>
        <v>0</v>
      </c>
      <c r="M185" s="124"/>
      <c r="O185">
        <f>_xlfn.XLOOKUP(B185,'BALANCETE 2022'!B:B,'BALANCETE 2022'!J:J,0)</f>
        <v>0</v>
      </c>
    </row>
    <row r="186" spans="1:16" x14ac:dyDescent="0.3">
      <c r="A186" t="s">
        <v>497</v>
      </c>
      <c r="B186" t="s">
        <v>498</v>
      </c>
      <c r="C186">
        <f t="shared" si="8"/>
        <v>1</v>
      </c>
      <c r="D186" t="str">
        <f t="shared" si="9"/>
        <v>A</v>
      </c>
      <c r="E186" s="115" t="s">
        <v>499</v>
      </c>
      <c r="F186" t="s">
        <v>14</v>
      </c>
      <c r="G186" s="16">
        <v>0</v>
      </c>
      <c r="H186" s="50">
        <v>0</v>
      </c>
      <c r="I186" s="50" t="s">
        <v>499</v>
      </c>
      <c r="J186" s="50" t="s">
        <v>499</v>
      </c>
      <c r="K186" s="50" t="str">
        <f t="shared" si="10"/>
        <v>D</v>
      </c>
      <c r="L186" s="50">
        <f t="shared" si="11"/>
        <v>426982.69</v>
      </c>
      <c r="M186" s="124"/>
      <c r="O186">
        <f>_xlfn.XLOOKUP(B186,'BALANCETE 2022'!B:B,'BALANCETE 2022'!J:J,0)</f>
        <v>0</v>
      </c>
    </row>
    <row r="187" spans="1:16" x14ac:dyDescent="0.3">
      <c r="A187" s="1" t="s">
        <v>500</v>
      </c>
      <c r="B187" s="1" t="s">
        <v>501</v>
      </c>
      <c r="C187" s="1">
        <f t="shared" si="8"/>
        <v>1</v>
      </c>
      <c r="D187" s="1" t="str">
        <f t="shared" si="9"/>
        <v>s</v>
      </c>
      <c r="E187" s="59">
        <v>2307528.73</v>
      </c>
      <c r="F187" s="1" t="s">
        <v>14</v>
      </c>
      <c r="G187" s="123">
        <v>32072170.43</v>
      </c>
      <c r="H187" s="121">
        <v>30531489.25</v>
      </c>
      <c r="I187" s="121">
        <v>3848209.91</v>
      </c>
      <c r="J187" s="121">
        <v>3848209.91</v>
      </c>
      <c r="K187" s="121" t="str">
        <f t="shared" si="10"/>
        <v>1</v>
      </c>
      <c r="L187" s="121">
        <f t="shared" si="11"/>
        <v>-3848209.91</v>
      </c>
      <c r="M187" s="52">
        <v>8</v>
      </c>
      <c r="N187" s="1"/>
      <c r="O187" s="1">
        <f>_xlfn.XLOOKUP(B187,'BALANCETE 2022'!B:B,'BALANCETE 2022'!J:J,0)</f>
        <v>0</v>
      </c>
      <c r="P187" s="1"/>
    </row>
    <row r="188" spans="1:16" x14ac:dyDescent="0.3">
      <c r="A188" s="1" t="s">
        <v>502</v>
      </c>
      <c r="B188" s="1" t="s">
        <v>503</v>
      </c>
      <c r="C188" s="1">
        <f t="shared" si="8"/>
        <v>1</v>
      </c>
      <c r="D188" s="1" t="str">
        <f t="shared" si="9"/>
        <v>s</v>
      </c>
      <c r="E188" s="122" t="s">
        <v>504</v>
      </c>
      <c r="F188" s="1" t="s">
        <v>14</v>
      </c>
      <c r="G188" s="123">
        <v>32072170.43</v>
      </c>
      <c r="H188" s="121">
        <v>30531489.25</v>
      </c>
      <c r="I188" s="121" t="s">
        <v>505</v>
      </c>
      <c r="J188" s="121" t="s">
        <v>505</v>
      </c>
      <c r="K188" s="121" t="str">
        <f t="shared" si="10"/>
        <v>D</v>
      </c>
      <c r="L188" s="121">
        <f t="shared" si="11"/>
        <v>3848209.91</v>
      </c>
      <c r="N188" s="1"/>
      <c r="O188" s="1">
        <f>_xlfn.XLOOKUP(B188,'BALANCETE 2022'!B:B,'BALANCETE 2022'!J:J,0)</f>
        <v>0</v>
      </c>
      <c r="P188" s="1"/>
    </row>
    <row r="189" spans="1:16" x14ac:dyDescent="0.3">
      <c r="A189" t="s">
        <v>506</v>
      </c>
      <c r="B189" t="s">
        <v>507</v>
      </c>
      <c r="C189">
        <f t="shared" si="8"/>
        <v>1</v>
      </c>
      <c r="D189" t="str">
        <f t="shared" si="9"/>
        <v>A</v>
      </c>
      <c r="E189" s="115" t="s">
        <v>508</v>
      </c>
      <c r="F189" t="s">
        <v>416</v>
      </c>
      <c r="G189" s="16">
        <v>0</v>
      </c>
      <c r="H189" s="50">
        <v>0</v>
      </c>
      <c r="I189" s="50" t="s">
        <v>508</v>
      </c>
      <c r="J189" s="50" t="s">
        <v>508</v>
      </c>
      <c r="K189" s="50" t="str">
        <f t="shared" si="10"/>
        <v>C</v>
      </c>
      <c r="L189" s="50">
        <f t="shared" si="11"/>
        <v>18391.52</v>
      </c>
      <c r="M189" s="124"/>
      <c r="O189">
        <f>_xlfn.XLOOKUP(B189,'BALANCETE 2022'!B:B,'BALANCETE 2022'!J:J,0)</f>
        <v>0</v>
      </c>
    </row>
    <row r="190" spans="1:16" x14ac:dyDescent="0.3">
      <c r="A190" t="s">
        <v>509</v>
      </c>
      <c r="B190" t="s">
        <v>510</v>
      </c>
      <c r="C190">
        <f t="shared" si="8"/>
        <v>1</v>
      </c>
      <c r="D190" t="str">
        <f t="shared" si="9"/>
        <v>A</v>
      </c>
      <c r="E190" s="115" t="s">
        <v>511</v>
      </c>
      <c r="F190" t="s">
        <v>14</v>
      </c>
      <c r="G190" s="16">
        <v>6794197.8600000003</v>
      </c>
      <c r="H190" s="50">
        <v>5416516.0700000003</v>
      </c>
      <c r="I190" s="50" t="s">
        <v>512</v>
      </c>
      <c r="J190" s="50" t="s">
        <v>512</v>
      </c>
      <c r="K190" s="50" t="str">
        <f t="shared" si="10"/>
        <v>D</v>
      </c>
      <c r="L190" s="50">
        <f t="shared" si="11"/>
        <v>2895707.74</v>
      </c>
      <c r="M190" s="124"/>
      <c r="O190">
        <f>_xlfn.XLOOKUP(B190,'BALANCETE 2022'!B:B,'BALANCETE 2022'!J:J,0)</f>
        <v>0</v>
      </c>
    </row>
    <row r="191" spans="1:16" x14ac:dyDescent="0.3">
      <c r="A191" t="s">
        <v>513</v>
      </c>
      <c r="B191" t="s">
        <v>514</v>
      </c>
      <c r="C191">
        <f t="shared" si="8"/>
        <v>1</v>
      </c>
      <c r="D191" t="str">
        <f t="shared" si="9"/>
        <v>A</v>
      </c>
      <c r="E191" s="115" t="s">
        <v>515</v>
      </c>
      <c r="F191" t="s">
        <v>14</v>
      </c>
      <c r="G191" s="16">
        <v>20147972.199999999</v>
      </c>
      <c r="H191" s="50">
        <v>20794604.199999999</v>
      </c>
      <c r="I191" s="50" t="s">
        <v>516</v>
      </c>
      <c r="J191" s="50" t="s">
        <v>516</v>
      </c>
      <c r="K191" s="50" t="str">
        <f t="shared" si="10"/>
        <v>D</v>
      </c>
      <c r="L191" s="50">
        <f t="shared" si="11"/>
        <v>19320</v>
      </c>
      <c r="M191" s="124"/>
      <c r="O191">
        <f>_xlfn.XLOOKUP(B191,'BALANCETE 2022'!B:B,'BALANCETE 2022'!J:J,0)</f>
        <v>0</v>
      </c>
    </row>
    <row r="192" spans="1:16" x14ac:dyDescent="0.3">
      <c r="A192" t="s">
        <v>517</v>
      </c>
      <c r="B192" t="s">
        <v>518</v>
      </c>
      <c r="C192">
        <f t="shared" si="8"/>
        <v>1</v>
      </c>
      <c r="D192" t="str">
        <f t="shared" si="9"/>
        <v>A</v>
      </c>
      <c r="E192" s="115" t="s">
        <v>519</v>
      </c>
      <c r="F192" t="s">
        <v>14</v>
      </c>
      <c r="G192" s="16">
        <v>3769.2</v>
      </c>
      <c r="H192" s="50">
        <v>18605.45</v>
      </c>
      <c r="I192" s="50" t="s">
        <v>520</v>
      </c>
      <c r="J192" s="50" t="s">
        <v>520</v>
      </c>
      <c r="K192" s="50" t="str">
        <f t="shared" si="10"/>
        <v>D</v>
      </c>
      <c r="L192" s="50">
        <f t="shared" si="11"/>
        <v>56946.3</v>
      </c>
      <c r="M192" s="124"/>
      <c r="O192">
        <f>_xlfn.XLOOKUP(B192,'BALANCETE 2022'!B:B,'BALANCETE 2022'!J:J,0)</f>
        <v>0</v>
      </c>
    </row>
    <row r="193" spans="1:16" x14ac:dyDescent="0.3">
      <c r="A193" t="s">
        <v>521</v>
      </c>
      <c r="B193" t="s">
        <v>522</v>
      </c>
      <c r="C193">
        <f t="shared" si="8"/>
        <v>1</v>
      </c>
      <c r="D193" t="str">
        <f t="shared" si="9"/>
        <v>A</v>
      </c>
      <c r="E193" s="115" t="s">
        <v>523</v>
      </c>
      <c r="F193" t="s">
        <v>14</v>
      </c>
      <c r="G193" s="16">
        <v>8109.6</v>
      </c>
      <c r="H193" s="50">
        <v>27200.639999999999</v>
      </c>
      <c r="I193" s="50" t="s">
        <v>524</v>
      </c>
      <c r="J193" s="50" t="s">
        <v>524</v>
      </c>
      <c r="K193" s="50" t="str">
        <f t="shared" si="10"/>
        <v>D</v>
      </c>
      <c r="L193" s="50">
        <f t="shared" si="11"/>
        <v>37864.639999999999</v>
      </c>
      <c r="M193" s="124"/>
      <c r="O193">
        <f>_xlfn.XLOOKUP(B193,'BALANCETE 2022'!B:B,'BALANCETE 2022'!J:J,0)</f>
        <v>0</v>
      </c>
    </row>
    <row r="194" spans="1:16" x14ac:dyDescent="0.3">
      <c r="A194" t="s">
        <v>525</v>
      </c>
      <c r="B194" t="s">
        <v>526</v>
      </c>
      <c r="C194">
        <f t="shared" si="8"/>
        <v>1</v>
      </c>
      <c r="D194" t="str">
        <f t="shared" si="9"/>
        <v>A</v>
      </c>
      <c r="E194" s="115" t="s">
        <v>527</v>
      </c>
      <c r="F194" t="s">
        <v>14</v>
      </c>
      <c r="G194" s="16">
        <v>5620.96</v>
      </c>
      <c r="H194" s="50">
        <v>5528.51</v>
      </c>
      <c r="I194" s="50" t="s">
        <v>528</v>
      </c>
      <c r="J194" s="50" t="s">
        <v>528</v>
      </c>
      <c r="K194" s="50" t="str">
        <f t="shared" si="10"/>
        <v>D</v>
      </c>
      <c r="L194" s="50">
        <f t="shared" si="11"/>
        <v>1423.73</v>
      </c>
      <c r="M194" s="124"/>
      <c r="O194">
        <f>_xlfn.XLOOKUP(B194,'BALANCETE 2022'!B:B,'BALANCETE 2022'!J:J,0)</f>
        <v>0</v>
      </c>
    </row>
    <row r="195" spans="1:16" x14ac:dyDescent="0.3">
      <c r="A195" t="s">
        <v>529</v>
      </c>
      <c r="B195" t="s">
        <v>530</v>
      </c>
      <c r="C195">
        <f t="shared" si="8"/>
        <v>1</v>
      </c>
      <c r="D195" t="str">
        <f t="shared" si="9"/>
        <v>A</v>
      </c>
      <c r="E195" s="115" t="s">
        <v>25</v>
      </c>
      <c r="F195" t="s">
        <v>14</v>
      </c>
      <c r="G195" s="16">
        <v>15824.64</v>
      </c>
      <c r="H195" s="50">
        <v>15675.65</v>
      </c>
      <c r="I195" s="50" t="s">
        <v>531</v>
      </c>
      <c r="J195" s="50" t="s">
        <v>531</v>
      </c>
      <c r="K195" s="50" t="str">
        <f t="shared" si="10"/>
        <v>D</v>
      </c>
      <c r="L195" s="50">
        <f t="shared" si="11"/>
        <v>148.99</v>
      </c>
      <c r="M195" s="124"/>
      <c r="O195">
        <f>_xlfn.XLOOKUP(B195,'BALANCETE 2022'!B:B,'BALANCETE 2022'!J:J,0)</f>
        <v>0</v>
      </c>
    </row>
    <row r="196" spans="1:16" x14ac:dyDescent="0.3">
      <c r="A196" t="s">
        <v>532</v>
      </c>
      <c r="B196" t="s">
        <v>533</v>
      </c>
      <c r="C196">
        <f t="shared" si="8"/>
        <v>1</v>
      </c>
      <c r="D196" t="str">
        <f t="shared" si="9"/>
        <v>A</v>
      </c>
      <c r="E196" s="115" t="s">
        <v>534</v>
      </c>
      <c r="F196" t="s">
        <v>14</v>
      </c>
      <c r="G196" s="16">
        <v>47461.120000000003</v>
      </c>
      <c r="H196" s="50">
        <v>14844.36</v>
      </c>
      <c r="I196" s="50" t="s">
        <v>535</v>
      </c>
      <c r="J196" s="50" t="s">
        <v>535</v>
      </c>
      <c r="K196" s="50" t="str">
        <f t="shared" si="10"/>
        <v>D</v>
      </c>
      <c r="L196" s="50">
        <f t="shared" si="11"/>
        <v>41097.32</v>
      </c>
      <c r="M196" s="124"/>
      <c r="O196">
        <f>_xlfn.XLOOKUP(B196,'BALANCETE 2022'!B:B,'BALANCETE 2022'!J:J,0)</f>
        <v>0</v>
      </c>
    </row>
    <row r="197" spans="1:16" x14ac:dyDescent="0.3">
      <c r="A197" t="s">
        <v>536</v>
      </c>
      <c r="B197" t="s">
        <v>537</v>
      </c>
      <c r="C197">
        <f t="shared" si="8"/>
        <v>1</v>
      </c>
      <c r="D197" t="str">
        <f t="shared" si="9"/>
        <v>A</v>
      </c>
      <c r="E197" s="115" t="s">
        <v>538</v>
      </c>
      <c r="F197" t="s">
        <v>14</v>
      </c>
      <c r="G197" s="16">
        <v>7386.96</v>
      </c>
      <c r="H197" s="50">
        <v>10657.35</v>
      </c>
      <c r="I197" s="50" t="s">
        <v>539</v>
      </c>
      <c r="J197" s="50" t="s">
        <v>539</v>
      </c>
      <c r="K197" s="50" t="str">
        <f t="shared" si="10"/>
        <v>D</v>
      </c>
      <c r="L197" s="50">
        <f t="shared" si="11"/>
        <v>121.84</v>
      </c>
      <c r="M197" s="124"/>
      <c r="O197">
        <f>_xlfn.XLOOKUP(B197,'BALANCETE 2022'!B:B,'BALANCETE 2022'!J:J,0)</f>
        <v>0</v>
      </c>
    </row>
    <row r="198" spans="1:16" x14ac:dyDescent="0.3">
      <c r="A198" t="s">
        <v>540</v>
      </c>
      <c r="B198" t="s">
        <v>541</v>
      </c>
      <c r="C198">
        <f t="shared" si="8"/>
        <v>1</v>
      </c>
      <c r="D198" t="str">
        <f t="shared" si="9"/>
        <v>A</v>
      </c>
      <c r="E198" s="115" t="s">
        <v>25</v>
      </c>
      <c r="F198" t="s">
        <v>14</v>
      </c>
      <c r="G198" s="16">
        <v>364.01</v>
      </c>
      <c r="H198" s="50">
        <v>1.1200000000000001</v>
      </c>
      <c r="I198" s="50" t="s">
        <v>542</v>
      </c>
      <c r="J198" s="50" t="s">
        <v>542</v>
      </c>
      <c r="K198" s="50" t="str">
        <f t="shared" si="10"/>
        <v>D</v>
      </c>
      <c r="L198" s="50">
        <f t="shared" si="11"/>
        <v>362.89</v>
      </c>
      <c r="M198" s="124"/>
      <c r="O198">
        <f>_xlfn.XLOOKUP(B198,'BALANCETE 2022'!B:B,'BALANCETE 2022'!J:J,0)</f>
        <v>0</v>
      </c>
    </row>
    <row r="199" spans="1:16" x14ac:dyDescent="0.3">
      <c r="A199" t="s">
        <v>543</v>
      </c>
      <c r="B199" t="s">
        <v>544</v>
      </c>
      <c r="C199">
        <f t="shared" si="8"/>
        <v>1</v>
      </c>
      <c r="D199" t="str">
        <f t="shared" si="9"/>
        <v>A</v>
      </c>
      <c r="E199" s="115" t="s">
        <v>25</v>
      </c>
      <c r="F199" t="s">
        <v>14</v>
      </c>
      <c r="G199" s="16">
        <v>1780874.69</v>
      </c>
      <c r="H199" s="50">
        <v>1536862.61</v>
      </c>
      <c r="I199" s="50" t="s">
        <v>545</v>
      </c>
      <c r="J199" s="50" t="s">
        <v>545</v>
      </c>
      <c r="K199" s="50" t="str">
        <f t="shared" si="10"/>
        <v>D</v>
      </c>
      <c r="L199" s="50">
        <f t="shared" si="11"/>
        <v>244012.08</v>
      </c>
      <c r="M199" s="124"/>
      <c r="O199">
        <f>_xlfn.XLOOKUP(B199,'BALANCETE 2022'!B:B,'BALANCETE 2022'!J:J,0)</f>
        <v>0</v>
      </c>
    </row>
    <row r="200" spans="1:16" x14ac:dyDescent="0.3">
      <c r="A200" t="s">
        <v>546</v>
      </c>
      <c r="B200" t="s">
        <v>547</v>
      </c>
      <c r="C200">
        <f t="shared" si="8"/>
        <v>1</v>
      </c>
      <c r="D200" t="str">
        <f t="shared" si="9"/>
        <v>A</v>
      </c>
      <c r="E200" s="115" t="s">
        <v>25</v>
      </c>
      <c r="F200" t="s">
        <v>14</v>
      </c>
      <c r="G200" s="16">
        <v>3260589.19</v>
      </c>
      <c r="H200" s="50">
        <v>2690993.29</v>
      </c>
      <c r="I200" s="50" t="s">
        <v>548</v>
      </c>
      <c r="J200" s="50" t="s">
        <v>548</v>
      </c>
      <c r="K200" s="50" t="str">
        <f t="shared" si="10"/>
        <v>D</v>
      </c>
      <c r="L200" s="50">
        <f t="shared" si="11"/>
        <v>569595.9</v>
      </c>
      <c r="M200" s="124"/>
      <c r="O200">
        <f>_xlfn.XLOOKUP(B200,'BALANCETE 2022'!B:B,'BALANCETE 2022'!J:J,0)</f>
        <v>0</v>
      </c>
    </row>
    <row r="201" spans="1:16" x14ac:dyDescent="0.3">
      <c r="A201" s="1" t="s">
        <v>549</v>
      </c>
      <c r="B201" s="1" t="s">
        <v>550</v>
      </c>
      <c r="C201" s="1">
        <f t="shared" si="8"/>
        <v>1</v>
      </c>
      <c r="D201" s="1" t="str">
        <f t="shared" si="9"/>
        <v>s</v>
      </c>
      <c r="E201" s="59">
        <v>58288.95</v>
      </c>
      <c r="F201" s="1" t="s">
        <v>14</v>
      </c>
      <c r="G201" s="123">
        <v>61341.43</v>
      </c>
      <c r="H201" s="121">
        <v>65859.16</v>
      </c>
      <c r="I201" s="121">
        <v>53771.22</v>
      </c>
      <c r="J201" s="121">
        <v>53771.22</v>
      </c>
      <c r="K201" s="121" t="str">
        <f t="shared" si="10"/>
        <v>2</v>
      </c>
      <c r="L201" s="121">
        <f t="shared" si="11"/>
        <v>-53771.22</v>
      </c>
      <c r="M201" s="52">
        <v>8</v>
      </c>
      <c r="N201" s="1"/>
      <c r="O201" s="1">
        <f>_xlfn.XLOOKUP(B201,'BALANCETE 2022'!B:B,'BALANCETE 2022'!J:J,0)</f>
        <v>0</v>
      </c>
      <c r="P201" s="1"/>
    </row>
    <row r="202" spans="1:16" x14ac:dyDescent="0.3">
      <c r="A202" s="1" t="s">
        <v>551</v>
      </c>
      <c r="B202" s="1" t="s">
        <v>552</v>
      </c>
      <c r="C202" s="1">
        <f t="shared" ref="C202:C265" si="12">(LEFT(SUBSTITUTE(B202,"[",""),1))+0</f>
        <v>1</v>
      </c>
      <c r="D202" s="1" t="str">
        <f t="shared" ref="D202:D265" si="13">IF((LEN(B202)+0)&lt;15,"s","A")</f>
        <v>s</v>
      </c>
      <c r="E202" s="122" t="s">
        <v>553</v>
      </c>
      <c r="F202" s="1" t="s">
        <v>14</v>
      </c>
      <c r="G202" s="123">
        <v>61341.43</v>
      </c>
      <c r="H202" s="121">
        <v>65859.16</v>
      </c>
      <c r="I202" s="121" t="s">
        <v>554</v>
      </c>
      <c r="J202" s="121" t="s">
        <v>554</v>
      </c>
      <c r="K202" s="121" t="str">
        <f t="shared" ref="K202:K265" si="14">RIGHT(J202)</f>
        <v>D</v>
      </c>
      <c r="L202" s="121">
        <f t="shared" ref="L202:L265" si="15">(SUBSTITUTE(SUBSTITUTE(J202,"D","",1),"C","",1)+0)*IF(K202=F202,1,-1)</f>
        <v>53771.22</v>
      </c>
      <c r="N202" s="1"/>
      <c r="O202" s="1">
        <f>_xlfn.XLOOKUP(B202,'BALANCETE 2022'!B:B,'BALANCETE 2022'!J:J,0)</f>
        <v>0</v>
      </c>
      <c r="P202" s="1"/>
    </row>
    <row r="203" spans="1:16" x14ac:dyDescent="0.3">
      <c r="A203" t="s">
        <v>555</v>
      </c>
      <c r="B203" t="s">
        <v>556</v>
      </c>
      <c r="C203">
        <f t="shared" si="12"/>
        <v>1</v>
      </c>
      <c r="D203" t="str">
        <f t="shared" si="13"/>
        <v>A</v>
      </c>
      <c r="E203" s="115" t="s">
        <v>557</v>
      </c>
      <c r="F203" t="s">
        <v>14</v>
      </c>
      <c r="G203" s="16">
        <v>61341.43</v>
      </c>
      <c r="H203" s="50">
        <v>65859.16</v>
      </c>
      <c r="I203" s="50" t="s">
        <v>554</v>
      </c>
      <c r="J203" s="50" t="s">
        <v>554</v>
      </c>
      <c r="K203" s="50" t="str">
        <f t="shared" si="14"/>
        <v>D</v>
      </c>
      <c r="L203" s="50">
        <f t="shared" si="15"/>
        <v>53771.22</v>
      </c>
      <c r="M203" s="124"/>
      <c r="O203">
        <f>_xlfn.XLOOKUP(B203,'BALANCETE 2022'!B:B,'BALANCETE 2022'!J:J,0)</f>
        <v>0</v>
      </c>
    </row>
    <row r="204" spans="1:16" x14ac:dyDescent="0.3">
      <c r="A204" s="1" t="s">
        <v>558</v>
      </c>
      <c r="B204" s="1" t="s">
        <v>559</v>
      </c>
      <c r="C204" s="1">
        <f t="shared" si="12"/>
        <v>1</v>
      </c>
      <c r="D204" s="1" t="str">
        <f t="shared" si="13"/>
        <v>s</v>
      </c>
      <c r="E204" s="59">
        <v>373340.64</v>
      </c>
      <c r="F204" s="1" t="s">
        <v>14</v>
      </c>
      <c r="G204" s="123">
        <v>530537.6</v>
      </c>
      <c r="H204" s="121">
        <v>534142.69999999995</v>
      </c>
      <c r="I204" s="121">
        <v>369735.54</v>
      </c>
      <c r="J204" s="121">
        <v>369735.54</v>
      </c>
      <c r="K204" s="121" t="str">
        <f t="shared" si="14"/>
        <v>4</v>
      </c>
      <c r="L204" s="121">
        <f t="shared" si="15"/>
        <v>-369735.54</v>
      </c>
      <c r="M204" s="52">
        <v>8</v>
      </c>
      <c r="N204" s="1"/>
      <c r="O204" s="1">
        <f>_xlfn.XLOOKUP(B204,'BALANCETE 2022'!B:B,'BALANCETE 2022'!J:J,0)</f>
        <v>0</v>
      </c>
      <c r="P204" s="1"/>
    </row>
    <row r="205" spans="1:16" x14ac:dyDescent="0.3">
      <c r="A205" s="1" t="s">
        <v>560</v>
      </c>
      <c r="B205" s="1" t="s">
        <v>561</v>
      </c>
      <c r="C205" s="1">
        <f t="shared" si="12"/>
        <v>1</v>
      </c>
      <c r="D205" s="1" t="str">
        <f t="shared" si="13"/>
        <v>s</v>
      </c>
      <c r="E205" s="122" t="s">
        <v>562</v>
      </c>
      <c r="F205" s="1" t="s">
        <v>14</v>
      </c>
      <c r="G205" s="123">
        <v>530537.6</v>
      </c>
      <c r="H205" s="121">
        <v>534142.69999999995</v>
      </c>
      <c r="I205" s="121" t="s">
        <v>563</v>
      </c>
      <c r="J205" s="121" t="s">
        <v>563</v>
      </c>
      <c r="K205" s="121" t="str">
        <f t="shared" si="14"/>
        <v>D</v>
      </c>
      <c r="L205" s="121">
        <f t="shared" si="15"/>
        <v>369735.54</v>
      </c>
      <c r="N205" s="1"/>
      <c r="O205" s="1">
        <f>_xlfn.XLOOKUP(B205,'BALANCETE 2022'!B:B,'BALANCETE 2022'!J:J,0)</f>
        <v>0</v>
      </c>
      <c r="P205" s="1"/>
    </row>
    <row r="206" spans="1:16" x14ac:dyDescent="0.3">
      <c r="A206" t="s">
        <v>564</v>
      </c>
      <c r="B206" t="s">
        <v>565</v>
      </c>
      <c r="C206">
        <f t="shared" si="12"/>
        <v>1</v>
      </c>
      <c r="D206" t="str">
        <f t="shared" si="13"/>
        <v>A</v>
      </c>
      <c r="E206" s="115" t="s">
        <v>566</v>
      </c>
      <c r="F206" t="s">
        <v>14</v>
      </c>
      <c r="G206" s="16">
        <v>530245.61</v>
      </c>
      <c r="H206" s="50">
        <v>534142.69999999995</v>
      </c>
      <c r="I206" s="50" t="s">
        <v>567</v>
      </c>
      <c r="J206" s="50" t="s">
        <v>567</v>
      </c>
      <c r="K206" s="50" t="str">
        <f t="shared" si="14"/>
        <v>D</v>
      </c>
      <c r="L206" s="50">
        <f t="shared" si="15"/>
        <v>518131.83</v>
      </c>
      <c r="M206" s="124"/>
      <c r="O206">
        <f>_xlfn.XLOOKUP(B206,'BALANCETE 2022'!B:B,'BALANCETE 2022'!J:J,0)</f>
        <v>0</v>
      </c>
    </row>
    <row r="207" spans="1:16" x14ac:dyDescent="0.3">
      <c r="A207" t="s">
        <v>568</v>
      </c>
      <c r="B207" t="s">
        <v>569</v>
      </c>
      <c r="C207">
        <f t="shared" si="12"/>
        <v>1</v>
      </c>
      <c r="D207" t="str">
        <f t="shared" si="13"/>
        <v>A</v>
      </c>
      <c r="E207" s="115" t="s">
        <v>570</v>
      </c>
      <c r="F207" t="s">
        <v>416</v>
      </c>
      <c r="G207" s="16">
        <v>291.99</v>
      </c>
      <c r="H207" s="50">
        <v>0</v>
      </c>
      <c r="I207" s="50" t="s">
        <v>571</v>
      </c>
      <c r="J207" s="50" t="s">
        <v>571</v>
      </c>
      <c r="K207" s="50" t="str">
        <f t="shared" si="14"/>
        <v>C</v>
      </c>
      <c r="L207" s="50">
        <f t="shared" si="15"/>
        <v>148396.29</v>
      </c>
      <c r="M207" s="124"/>
      <c r="O207">
        <f>_xlfn.XLOOKUP(B207,'BALANCETE 2022'!B:B,'BALANCETE 2022'!J:J,0)</f>
        <v>0</v>
      </c>
    </row>
    <row r="208" spans="1:16" x14ac:dyDescent="0.3">
      <c r="A208" s="1" t="s">
        <v>572</v>
      </c>
      <c r="B208" s="1" t="s">
        <v>573</v>
      </c>
      <c r="C208" s="1">
        <f t="shared" si="12"/>
        <v>1</v>
      </c>
      <c r="D208" s="1" t="str">
        <f t="shared" si="13"/>
        <v>s</v>
      </c>
      <c r="E208" s="59">
        <v>1446534.79</v>
      </c>
      <c r="F208" s="1" t="s">
        <v>14</v>
      </c>
      <c r="G208" s="123">
        <v>126666.76</v>
      </c>
      <c r="H208" s="121">
        <v>106837.59</v>
      </c>
      <c r="I208" s="121">
        <v>1466363.9680000001</v>
      </c>
      <c r="J208" s="121">
        <v>1466363.9680000001</v>
      </c>
      <c r="K208" s="121" t="str">
        <f t="shared" si="14"/>
        <v>8</v>
      </c>
      <c r="L208" s="121">
        <f t="shared" si="15"/>
        <v>-1466363.9680000001</v>
      </c>
      <c r="M208" s="52">
        <v>8</v>
      </c>
      <c r="N208" s="1"/>
      <c r="O208" s="1">
        <f>_xlfn.XLOOKUP(B208,'BALANCETE 2022'!B:B,'BALANCETE 2022'!J:J,0)</f>
        <v>0</v>
      </c>
      <c r="P208" s="1"/>
    </row>
    <row r="209" spans="1:16" x14ac:dyDescent="0.3">
      <c r="A209" s="1" t="s">
        <v>574</v>
      </c>
      <c r="B209" s="1" t="s">
        <v>575</v>
      </c>
      <c r="C209" s="1">
        <f t="shared" si="12"/>
        <v>1</v>
      </c>
      <c r="D209" s="1" t="str">
        <f t="shared" si="13"/>
        <v>s</v>
      </c>
      <c r="E209" s="122" t="s">
        <v>576</v>
      </c>
      <c r="F209" s="1" t="s">
        <v>14</v>
      </c>
      <c r="G209" s="123">
        <v>126666.76</v>
      </c>
      <c r="H209" s="121">
        <v>106837.59</v>
      </c>
      <c r="I209" s="121" t="s">
        <v>577</v>
      </c>
      <c r="J209" s="121" t="s">
        <v>577</v>
      </c>
      <c r="K209" s="121" t="str">
        <f t="shared" si="14"/>
        <v>D</v>
      </c>
      <c r="L209" s="121">
        <f t="shared" si="15"/>
        <v>1466363.96</v>
      </c>
      <c r="N209" s="1"/>
      <c r="O209" s="1">
        <f>_xlfn.XLOOKUP(B209,'BALANCETE 2022'!B:B,'BALANCETE 2022'!J:J,0)</f>
        <v>0</v>
      </c>
      <c r="P209" s="1"/>
    </row>
    <row r="210" spans="1:16" x14ac:dyDescent="0.3">
      <c r="A210" t="s">
        <v>578</v>
      </c>
      <c r="B210" t="s">
        <v>579</v>
      </c>
      <c r="C210">
        <f t="shared" si="12"/>
        <v>1</v>
      </c>
      <c r="D210" t="str">
        <f t="shared" si="13"/>
        <v>A</v>
      </c>
      <c r="E210" s="115" t="s">
        <v>580</v>
      </c>
      <c r="F210" t="s">
        <v>14</v>
      </c>
      <c r="G210" s="16">
        <v>111602.77</v>
      </c>
      <c r="H210" s="50">
        <v>106837.59</v>
      </c>
      <c r="I210" s="50" t="s">
        <v>581</v>
      </c>
      <c r="J210" s="50" t="s">
        <v>581</v>
      </c>
      <c r="K210" s="50" t="str">
        <f t="shared" si="14"/>
        <v>D</v>
      </c>
      <c r="L210" s="50">
        <f t="shared" si="15"/>
        <v>98323.49</v>
      </c>
      <c r="M210" s="124"/>
      <c r="O210">
        <f>_xlfn.XLOOKUP(B210,'BALANCETE 2022'!B:B,'BALANCETE 2022'!J:J,0)</f>
        <v>0</v>
      </c>
    </row>
    <row r="211" spans="1:16" x14ac:dyDescent="0.3">
      <c r="A211" t="s">
        <v>582</v>
      </c>
      <c r="B211" t="s">
        <v>583</v>
      </c>
      <c r="C211">
        <f t="shared" si="12"/>
        <v>1</v>
      </c>
      <c r="D211" t="str">
        <f t="shared" si="13"/>
        <v>A</v>
      </c>
      <c r="E211" s="115" t="s">
        <v>584</v>
      </c>
      <c r="F211" t="s">
        <v>14</v>
      </c>
      <c r="G211" s="16">
        <v>15063.99</v>
      </c>
      <c r="H211" s="50">
        <v>0</v>
      </c>
      <c r="I211" s="50" t="s">
        <v>585</v>
      </c>
      <c r="J211" s="50" t="s">
        <v>585</v>
      </c>
      <c r="K211" s="50" t="str">
        <f t="shared" si="14"/>
        <v>D</v>
      </c>
      <c r="L211" s="50">
        <f t="shared" si="15"/>
        <v>1368040.47</v>
      </c>
      <c r="M211" s="124"/>
      <c r="O211">
        <f>_xlfn.XLOOKUP(B211,'BALANCETE 2022'!B:B,'BALANCETE 2022'!J:J,0)</f>
        <v>0</v>
      </c>
    </row>
    <row r="212" spans="1:16" x14ac:dyDescent="0.3">
      <c r="A212" s="1" t="s">
        <v>586</v>
      </c>
      <c r="B212" s="1" t="s">
        <v>587</v>
      </c>
      <c r="C212" s="1">
        <f t="shared" si="12"/>
        <v>1</v>
      </c>
      <c r="D212" s="1" t="str">
        <f t="shared" si="13"/>
        <v>s</v>
      </c>
      <c r="E212" s="122" t="s">
        <v>588</v>
      </c>
      <c r="F212" s="1" t="s">
        <v>14</v>
      </c>
      <c r="G212" s="123">
        <v>524220.1</v>
      </c>
      <c r="H212" s="121">
        <v>732811.89</v>
      </c>
      <c r="I212" s="121">
        <v>1525367.88</v>
      </c>
      <c r="J212" s="121">
        <v>1525367.88</v>
      </c>
      <c r="K212" s="121" t="str">
        <f t="shared" si="14"/>
        <v>8</v>
      </c>
      <c r="L212" s="121">
        <f t="shared" si="15"/>
        <v>-1525367.88</v>
      </c>
      <c r="M212" s="52">
        <v>9</v>
      </c>
      <c r="N212" s="1"/>
      <c r="O212" s="1">
        <f>_xlfn.XLOOKUP(B212,'BALANCETE 2022'!B:B,'BALANCETE 2022'!J:J,0)</f>
        <v>0</v>
      </c>
      <c r="P212" s="1"/>
    </row>
    <row r="213" spans="1:16" x14ac:dyDescent="0.3">
      <c r="A213" s="1" t="s">
        <v>589</v>
      </c>
      <c r="B213" s="1" t="s">
        <v>590</v>
      </c>
      <c r="C213" s="1">
        <f t="shared" si="12"/>
        <v>1</v>
      </c>
      <c r="D213" s="1" t="str">
        <f t="shared" si="13"/>
        <v>s</v>
      </c>
      <c r="E213" s="122" t="s">
        <v>588</v>
      </c>
      <c r="F213" s="1" t="s">
        <v>14</v>
      </c>
      <c r="G213" s="123">
        <v>524220.1</v>
      </c>
      <c r="H213" s="121">
        <v>732811.89</v>
      </c>
      <c r="I213" s="121" t="s">
        <v>591</v>
      </c>
      <c r="J213" s="121" t="s">
        <v>591</v>
      </c>
      <c r="K213" s="121" t="str">
        <f t="shared" si="14"/>
        <v>D</v>
      </c>
      <c r="L213" s="121">
        <f t="shared" si="15"/>
        <v>1525367.88</v>
      </c>
      <c r="N213" s="1"/>
      <c r="O213" s="1">
        <f>_xlfn.XLOOKUP(B213,'BALANCETE 2022'!B:B,'BALANCETE 2022'!J:J,0)</f>
        <v>0</v>
      </c>
      <c r="P213" s="1"/>
    </row>
    <row r="214" spans="1:16" x14ac:dyDescent="0.3">
      <c r="A214" t="s">
        <v>592</v>
      </c>
      <c r="B214" t="s">
        <v>593</v>
      </c>
      <c r="C214">
        <f t="shared" si="12"/>
        <v>1</v>
      </c>
      <c r="D214" t="str">
        <f t="shared" si="13"/>
        <v>A</v>
      </c>
      <c r="E214" s="115" t="s">
        <v>594</v>
      </c>
      <c r="F214" t="s">
        <v>14</v>
      </c>
      <c r="G214" s="16">
        <v>524220.1</v>
      </c>
      <c r="H214" s="50">
        <v>732811.89</v>
      </c>
      <c r="I214" s="50" t="s">
        <v>591</v>
      </c>
      <c r="J214" s="50" t="s">
        <v>591</v>
      </c>
      <c r="K214" s="50" t="str">
        <f t="shared" si="14"/>
        <v>D</v>
      </c>
      <c r="L214" s="50">
        <f t="shared" si="15"/>
        <v>1525367.88</v>
      </c>
      <c r="M214" s="124"/>
      <c r="O214">
        <f>_xlfn.XLOOKUP(B214,'BALANCETE 2022'!B:B,'BALANCETE 2022'!J:J,0)</f>
        <v>0</v>
      </c>
    </row>
    <row r="215" spans="1:16" x14ac:dyDescent="0.3">
      <c r="A215" s="1" t="s">
        <v>595</v>
      </c>
      <c r="B215" s="1" t="s">
        <v>596</v>
      </c>
      <c r="C215" s="1">
        <f t="shared" si="12"/>
        <v>1</v>
      </c>
      <c r="D215" s="1" t="str">
        <f t="shared" si="13"/>
        <v>s</v>
      </c>
      <c r="E215" s="122" t="s">
        <v>597</v>
      </c>
      <c r="F215" s="1" t="s">
        <v>14</v>
      </c>
      <c r="G215" s="123">
        <v>47377981.530000001</v>
      </c>
      <c r="H215" s="121">
        <v>19208729.539999999</v>
      </c>
      <c r="I215" s="121" t="s">
        <v>598</v>
      </c>
      <c r="J215" s="121" t="s">
        <v>598</v>
      </c>
      <c r="K215" s="121" t="str">
        <f t="shared" si="14"/>
        <v>D</v>
      </c>
      <c r="L215" s="121">
        <f t="shared" si="15"/>
        <v>67568401.680000007</v>
      </c>
      <c r="N215" s="1"/>
      <c r="O215" s="1">
        <f>_xlfn.XLOOKUP(B215,'BALANCETE 2022'!B:B,'BALANCETE 2022'!J:J,0)</f>
        <v>0</v>
      </c>
      <c r="P215" s="1"/>
    </row>
    <row r="216" spans="1:16" x14ac:dyDescent="0.3">
      <c r="A216" s="1" t="s">
        <v>599</v>
      </c>
      <c r="B216" s="1" t="s">
        <v>600</v>
      </c>
      <c r="C216" s="1">
        <f t="shared" si="12"/>
        <v>1</v>
      </c>
      <c r="D216" s="1" t="str">
        <f t="shared" si="13"/>
        <v>s</v>
      </c>
      <c r="E216" s="122" t="s">
        <v>601</v>
      </c>
      <c r="F216" s="1" t="s">
        <v>14</v>
      </c>
      <c r="G216" s="123">
        <v>417432.6</v>
      </c>
      <c r="H216" s="121">
        <v>291821.24</v>
      </c>
      <c r="I216" s="121">
        <v>6256695.2999999998</v>
      </c>
      <c r="J216" s="121">
        <v>6256695.2999999998</v>
      </c>
      <c r="K216" s="121" t="str">
        <f t="shared" si="14"/>
        <v>3</v>
      </c>
      <c r="L216" s="121">
        <f t="shared" si="15"/>
        <v>-6256695.2999999998</v>
      </c>
      <c r="M216" s="52">
        <v>10</v>
      </c>
      <c r="N216" s="1"/>
      <c r="O216" s="1">
        <f>_xlfn.XLOOKUP(B216,'BALANCETE 2022'!B:B,'BALANCETE 2022'!J:J,0)</f>
        <v>0</v>
      </c>
      <c r="P216" s="1"/>
    </row>
    <row r="217" spans="1:16" x14ac:dyDescent="0.3">
      <c r="A217" s="1" t="s">
        <v>602</v>
      </c>
      <c r="B217" s="1" t="s">
        <v>603</v>
      </c>
      <c r="C217" s="1">
        <f t="shared" si="12"/>
        <v>1</v>
      </c>
      <c r="D217" s="1" t="str">
        <f t="shared" si="13"/>
        <v>s</v>
      </c>
      <c r="E217" s="122" t="s">
        <v>604</v>
      </c>
      <c r="F217" s="1" t="s">
        <v>14</v>
      </c>
      <c r="G217" s="123">
        <v>0</v>
      </c>
      <c r="H217" s="121">
        <v>0</v>
      </c>
      <c r="I217" s="121" t="s">
        <v>605</v>
      </c>
      <c r="J217" s="121" t="s">
        <v>605</v>
      </c>
      <c r="K217" s="121" t="str">
        <f t="shared" si="14"/>
        <v>D</v>
      </c>
      <c r="L217" s="121">
        <f t="shared" si="15"/>
        <v>4618.91</v>
      </c>
      <c r="N217" s="1"/>
      <c r="O217" s="1">
        <f>_xlfn.XLOOKUP(B217,'BALANCETE 2022'!B:B,'BALANCETE 2022'!J:J,0)</f>
        <v>0</v>
      </c>
      <c r="P217" s="1"/>
    </row>
    <row r="218" spans="1:16" x14ac:dyDescent="0.3">
      <c r="A218" t="s">
        <v>606</v>
      </c>
      <c r="B218" t="s">
        <v>607</v>
      </c>
      <c r="C218">
        <f t="shared" si="12"/>
        <v>1</v>
      </c>
      <c r="D218" t="str">
        <f t="shared" si="13"/>
        <v>A</v>
      </c>
      <c r="E218" s="115" t="s">
        <v>608</v>
      </c>
      <c r="F218" t="s">
        <v>14</v>
      </c>
      <c r="G218" s="16">
        <v>0</v>
      </c>
      <c r="H218" s="50">
        <v>0</v>
      </c>
      <c r="I218" s="50" t="s">
        <v>608</v>
      </c>
      <c r="J218" s="50" t="s">
        <v>608</v>
      </c>
      <c r="K218" s="50" t="str">
        <f t="shared" si="14"/>
        <v>D</v>
      </c>
      <c r="L218" s="50">
        <f t="shared" si="15"/>
        <v>530.16</v>
      </c>
      <c r="M218" s="124"/>
      <c r="O218">
        <f>_xlfn.XLOOKUP(B218,'BALANCETE 2022'!B:B,'BALANCETE 2022'!J:J,0)</f>
        <v>0</v>
      </c>
    </row>
    <row r="219" spans="1:16" x14ac:dyDescent="0.3">
      <c r="A219" t="s">
        <v>609</v>
      </c>
      <c r="B219" t="s">
        <v>610</v>
      </c>
      <c r="C219">
        <f t="shared" si="12"/>
        <v>1</v>
      </c>
      <c r="D219" t="str">
        <f t="shared" si="13"/>
        <v>A</v>
      </c>
      <c r="E219" s="115" t="s">
        <v>611</v>
      </c>
      <c r="F219" t="s">
        <v>14</v>
      </c>
      <c r="G219" s="16">
        <v>0</v>
      </c>
      <c r="H219" s="50">
        <v>0</v>
      </c>
      <c r="I219" s="50" t="s">
        <v>611</v>
      </c>
      <c r="J219" s="50" t="s">
        <v>611</v>
      </c>
      <c r="K219" s="50" t="str">
        <f t="shared" si="14"/>
        <v>D</v>
      </c>
      <c r="L219" s="50">
        <f t="shared" si="15"/>
        <v>4088.75</v>
      </c>
      <c r="M219" s="124"/>
      <c r="O219">
        <f>_xlfn.XLOOKUP(B219,'BALANCETE 2022'!B:B,'BALANCETE 2022'!J:J,0)</f>
        <v>0</v>
      </c>
    </row>
    <row r="220" spans="1:16" x14ac:dyDescent="0.3">
      <c r="A220" s="1" t="s">
        <v>612</v>
      </c>
      <c r="B220" s="1" t="s">
        <v>613</v>
      </c>
      <c r="C220" s="1">
        <f t="shared" si="12"/>
        <v>1</v>
      </c>
      <c r="D220" s="1" t="str">
        <f t="shared" si="13"/>
        <v>s</v>
      </c>
      <c r="E220" s="122" t="s">
        <v>614</v>
      </c>
      <c r="F220" s="1" t="s">
        <v>14</v>
      </c>
      <c r="G220" s="123">
        <v>417432.6</v>
      </c>
      <c r="H220" s="121">
        <v>291821.24</v>
      </c>
      <c r="I220" s="121" t="s">
        <v>615</v>
      </c>
      <c r="J220" s="121" t="s">
        <v>615</v>
      </c>
      <c r="K220" s="121" t="str">
        <f t="shared" si="14"/>
        <v>D</v>
      </c>
      <c r="L220" s="121">
        <f t="shared" si="15"/>
        <v>6252076.3899999997</v>
      </c>
      <c r="N220" s="1"/>
      <c r="O220" s="1">
        <f>_xlfn.XLOOKUP(B220,'BALANCETE 2022'!B:B,'BALANCETE 2022'!J:J,0)</f>
        <v>0</v>
      </c>
      <c r="P220" s="1"/>
    </row>
    <row r="221" spans="1:16" x14ac:dyDescent="0.3">
      <c r="A221" t="s">
        <v>616</v>
      </c>
      <c r="B221" t="s">
        <v>617</v>
      </c>
      <c r="C221">
        <f t="shared" si="12"/>
        <v>1</v>
      </c>
      <c r="D221" t="str">
        <f t="shared" si="13"/>
        <v>A</v>
      </c>
      <c r="E221" s="115" t="s">
        <v>618</v>
      </c>
      <c r="F221" t="s">
        <v>14</v>
      </c>
      <c r="G221" s="16">
        <v>396386.65</v>
      </c>
      <c r="H221" s="50">
        <v>42348.87</v>
      </c>
      <c r="I221" s="50" t="s">
        <v>619</v>
      </c>
      <c r="J221" s="50" t="s">
        <v>619</v>
      </c>
      <c r="K221" s="50" t="str">
        <f t="shared" si="14"/>
        <v>D</v>
      </c>
      <c r="L221" s="50">
        <f t="shared" si="15"/>
        <v>4270804.41</v>
      </c>
      <c r="M221" s="124"/>
      <c r="O221">
        <f>_xlfn.XLOOKUP(B221,'BALANCETE 2022'!B:B,'BALANCETE 2022'!J:J,0)</f>
        <v>0</v>
      </c>
    </row>
    <row r="222" spans="1:16" x14ac:dyDescent="0.3">
      <c r="A222" t="s">
        <v>620</v>
      </c>
      <c r="B222" t="s">
        <v>621</v>
      </c>
      <c r="C222">
        <f t="shared" si="12"/>
        <v>1</v>
      </c>
      <c r="D222" t="str">
        <f t="shared" si="13"/>
        <v>A</v>
      </c>
      <c r="E222" s="115" t="s">
        <v>622</v>
      </c>
      <c r="F222" t="s">
        <v>14</v>
      </c>
      <c r="G222" s="16">
        <v>21045.95</v>
      </c>
      <c r="H222" s="50">
        <v>249472.37</v>
      </c>
      <c r="I222" s="50" t="s">
        <v>623</v>
      </c>
      <c r="J222" s="50" t="s">
        <v>623</v>
      </c>
      <c r="K222" s="50" t="str">
        <f t="shared" si="14"/>
        <v>D</v>
      </c>
      <c r="L222" s="50">
        <f t="shared" si="15"/>
        <v>1981271.98</v>
      </c>
      <c r="M222" s="124"/>
      <c r="O222">
        <f>_xlfn.XLOOKUP(B222,'BALANCETE 2022'!B:B,'BALANCETE 2022'!J:J,0)</f>
        <v>0</v>
      </c>
    </row>
    <row r="223" spans="1:16" x14ac:dyDescent="0.3">
      <c r="A223" s="1" t="s">
        <v>624</v>
      </c>
      <c r="B223" s="1" t="s">
        <v>625</v>
      </c>
      <c r="C223" s="1">
        <f t="shared" si="12"/>
        <v>1</v>
      </c>
      <c r="D223" s="1" t="str">
        <f t="shared" si="13"/>
        <v>s</v>
      </c>
      <c r="E223" s="122" t="s">
        <v>626</v>
      </c>
      <c r="F223" s="1" t="s">
        <v>14</v>
      </c>
      <c r="G223" s="123">
        <v>0</v>
      </c>
      <c r="H223" s="121">
        <v>0</v>
      </c>
      <c r="I223" s="121">
        <v>52634.400000000001</v>
      </c>
      <c r="J223" s="121">
        <v>52634.400000000001</v>
      </c>
      <c r="K223" s="121" t="str">
        <f t="shared" si="14"/>
        <v>4</v>
      </c>
      <c r="L223" s="121">
        <f t="shared" si="15"/>
        <v>-52634.400000000001</v>
      </c>
      <c r="M223" s="52" t="s">
        <v>627</v>
      </c>
      <c r="N223" s="1"/>
      <c r="O223" s="1">
        <f>_xlfn.XLOOKUP(B223,'BALANCETE 2022'!B:B,'BALANCETE 2022'!J:J,0)</f>
        <v>0</v>
      </c>
      <c r="P223" s="1"/>
    </row>
    <row r="224" spans="1:16" x14ac:dyDescent="0.3">
      <c r="A224" s="1" t="s">
        <v>628</v>
      </c>
      <c r="B224" s="1" t="s">
        <v>629</v>
      </c>
      <c r="C224" s="1">
        <f t="shared" si="12"/>
        <v>1</v>
      </c>
      <c r="D224" s="1" t="str">
        <f t="shared" si="13"/>
        <v>s</v>
      </c>
      <c r="E224" s="122" t="s">
        <v>630</v>
      </c>
      <c r="F224" s="1" t="s">
        <v>14</v>
      </c>
      <c r="G224" s="123">
        <v>0</v>
      </c>
      <c r="H224" s="121">
        <v>0</v>
      </c>
      <c r="I224" s="121" t="s">
        <v>631</v>
      </c>
      <c r="J224" s="121" t="s">
        <v>631</v>
      </c>
      <c r="K224" s="121" t="str">
        <f t="shared" si="14"/>
        <v>D</v>
      </c>
      <c r="L224" s="121">
        <f t="shared" si="15"/>
        <v>42022.61</v>
      </c>
      <c r="N224" s="1"/>
      <c r="O224" s="1">
        <f>_xlfn.XLOOKUP(B224,'BALANCETE 2022'!B:B,'BALANCETE 2022'!J:J,0)</f>
        <v>0</v>
      </c>
      <c r="P224" s="1"/>
    </row>
    <row r="225" spans="1:16" x14ac:dyDescent="0.3">
      <c r="A225" t="s">
        <v>632</v>
      </c>
      <c r="B225" t="s">
        <v>633</v>
      </c>
      <c r="C225">
        <f t="shared" si="12"/>
        <v>1</v>
      </c>
      <c r="D225" t="str">
        <f t="shared" si="13"/>
        <v>A</v>
      </c>
      <c r="E225" s="115" t="s">
        <v>634</v>
      </c>
      <c r="F225" t="s">
        <v>14</v>
      </c>
      <c r="G225" s="16">
        <v>0</v>
      </c>
      <c r="H225" s="50">
        <v>0</v>
      </c>
      <c r="I225" s="50" t="s">
        <v>634</v>
      </c>
      <c r="J225" s="50" t="s">
        <v>634</v>
      </c>
      <c r="K225" s="50" t="str">
        <f t="shared" si="14"/>
        <v>D</v>
      </c>
      <c r="L225" s="50">
        <f t="shared" si="15"/>
        <v>1066.44</v>
      </c>
      <c r="M225" s="124"/>
      <c r="O225">
        <f>_xlfn.XLOOKUP(B225,'BALANCETE 2022'!B:B,'BALANCETE 2022'!J:J,0)</f>
        <v>0</v>
      </c>
    </row>
    <row r="226" spans="1:16" x14ac:dyDescent="0.3">
      <c r="A226" t="s">
        <v>635</v>
      </c>
      <c r="B226" t="s">
        <v>636</v>
      </c>
      <c r="C226">
        <f t="shared" si="12"/>
        <v>1</v>
      </c>
      <c r="D226" t="str">
        <f t="shared" si="13"/>
        <v>A</v>
      </c>
      <c r="E226" s="115" t="s">
        <v>637</v>
      </c>
      <c r="F226" t="s">
        <v>14</v>
      </c>
      <c r="G226" s="16">
        <v>0</v>
      </c>
      <c r="H226" s="50">
        <v>0</v>
      </c>
      <c r="I226" s="50" t="s">
        <v>637</v>
      </c>
      <c r="J226" s="50" t="s">
        <v>637</v>
      </c>
      <c r="K226" s="50" t="str">
        <f t="shared" si="14"/>
        <v>D</v>
      </c>
      <c r="L226" s="50">
        <f t="shared" si="15"/>
        <v>450.01</v>
      </c>
      <c r="M226" s="124"/>
      <c r="O226">
        <f>_xlfn.XLOOKUP(B226,'BALANCETE 2022'!B:B,'BALANCETE 2022'!J:J,0)</f>
        <v>0</v>
      </c>
    </row>
    <row r="227" spans="1:16" x14ac:dyDescent="0.3">
      <c r="A227" t="s">
        <v>638</v>
      </c>
      <c r="B227" t="s">
        <v>639</v>
      </c>
      <c r="C227">
        <f t="shared" si="12"/>
        <v>1</v>
      </c>
      <c r="D227" t="str">
        <f t="shared" si="13"/>
        <v>A</v>
      </c>
      <c r="E227" s="115" t="s">
        <v>640</v>
      </c>
      <c r="F227" t="s">
        <v>14</v>
      </c>
      <c r="G227" s="16">
        <v>0</v>
      </c>
      <c r="H227" s="50">
        <v>0</v>
      </c>
      <c r="I227" s="50" t="s">
        <v>640</v>
      </c>
      <c r="J227" s="50" t="s">
        <v>640</v>
      </c>
      <c r="K227" s="50" t="str">
        <f t="shared" si="14"/>
        <v>D</v>
      </c>
      <c r="L227" s="50">
        <f t="shared" si="15"/>
        <v>2725.64</v>
      </c>
      <c r="M227" s="124"/>
      <c r="O227">
        <f>_xlfn.XLOOKUP(B227,'BALANCETE 2022'!B:B,'BALANCETE 2022'!J:J,0)</f>
        <v>0</v>
      </c>
    </row>
    <row r="228" spans="1:16" x14ac:dyDescent="0.3">
      <c r="A228" t="s">
        <v>641</v>
      </c>
      <c r="B228" t="s">
        <v>642</v>
      </c>
      <c r="C228">
        <f t="shared" si="12"/>
        <v>1</v>
      </c>
      <c r="D228" t="str">
        <f t="shared" si="13"/>
        <v>A</v>
      </c>
      <c r="E228" s="115" t="s">
        <v>643</v>
      </c>
      <c r="F228" t="s">
        <v>14</v>
      </c>
      <c r="G228" s="16">
        <v>0</v>
      </c>
      <c r="H228" s="50">
        <v>0</v>
      </c>
      <c r="I228" s="50" t="s">
        <v>643</v>
      </c>
      <c r="J228" s="50" t="s">
        <v>643</v>
      </c>
      <c r="K228" s="50" t="str">
        <f t="shared" si="14"/>
        <v>D</v>
      </c>
      <c r="L228" s="50">
        <f t="shared" si="15"/>
        <v>34997.629999999997</v>
      </c>
      <c r="M228" s="124"/>
      <c r="O228">
        <f>_xlfn.XLOOKUP(B228,'BALANCETE 2022'!B:B,'BALANCETE 2022'!J:J,0)</f>
        <v>0</v>
      </c>
    </row>
    <row r="229" spans="1:16" x14ac:dyDescent="0.3">
      <c r="A229" t="s">
        <v>644</v>
      </c>
      <c r="B229" t="s">
        <v>645</v>
      </c>
      <c r="C229">
        <f t="shared" si="12"/>
        <v>1</v>
      </c>
      <c r="D229" t="str">
        <f t="shared" si="13"/>
        <v>A</v>
      </c>
      <c r="E229" s="115" t="s">
        <v>646</v>
      </c>
      <c r="F229" t="s">
        <v>14</v>
      </c>
      <c r="G229" s="16">
        <v>0</v>
      </c>
      <c r="H229" s="50">
        <v>0</v>
      </c>
      <c r="I229" s="50" t="s">
        <v>646</v>
      </c>
      <c r="J229" s="50" t="s">
        <v>646</v>
      </c>
      <c r="K229" s="50" t="str">
        <f t="shared" si="14"/>
        <v>D</v>
      </c>
      <c r="L229" s="50">
        <f t="shared" si="15"/>
        <v>62.89</v>
      </c>
      <c r="M229" s="124"/>
      <c r="O229">
        <f>_xlfn.XLOOKUP(B229,'BALANCETE 2022'!B:B,'BALANCETE 2022'!J:J,0)</f>
        <v>0</v>
      </c>
    </row>
    <row r="230" spans="1:16" x14ac:dyDescent="0.3">
      <c r="A230" t="s">
        <v>647</v>
      </c>
      <c r="B230" t="s">
        <v>648</v>
      </c>
      <c r="C230">
        <f t="shared" si="12"/>
        <v>1</v>
      </c>
      <c r="D230" t="str">
        <f t="shared" si="13"/>
        <v>A</v>
      </c>
      <c r="E230" s="115" t="s">
        <v>649</v>
      </c>
      <c r="F230" t="s">
        <v>14</v>
      </c>
      <c r="G230" s="16">
        <v>0</v>
      </c>
      <c r="H230" s="50">
        <v>0</v>
      </c>
      <c r="I230" s="50" t="s">
        <v>649</v>
      </c>
      <c r="J230" s="50" t="s">
        <v>649</v>
      </c>
      <c r="K230" s="50" t="str">
        <f t="shared" si="14"/>
        <v>D</v>
      </c>
      <c r="L230" s="50">
        <f t="shared" si="15"/>
        <v>2720</v>
      </c>
      <c r="M230" s="124"/>
      <c r="O230">
        <f>_xlfn.XLOOKUP(B230,'BALANCETE 2022'!B:B,'BALANCETE 2022'!J:J,0)</f>
        <v>0</v>
      </c>
    </row>
    <row r="231" spans="1:16" x14ac:dyDescent="0.3">
      <c r="A231" s="1" t="s">
        <v>650</v>
      </c>
      <c r="B231" s="1" t="s">
        <v>651</v>
      </c>
      <c r="C231" s="1">
        <f t="shared" si="12"/>
        <v>1</v>
      </c>
      <c r="D231" s="1" t="str">
        <f t="shared" si="13"/>
        <v>s</v>
      </c>
      <c r="E231" s="122" t="s">
        <v>652</v>
      </c>
      <c r="F231" s="1" t="s">
        <v>14</v>
      </c>
      <c r="G231" s="123">
        <v>0</v>
      </c>
      <c r="H231" s="121">
        <v>0</v>
      </c>
      <c r="I231" s="121" t="s">
        <v>653</v>
      </c>
      <c r="J231" s="121" t="s">
        <v>653</v>
      </c>
      <c r="K231" s="121" t="str">
        <f t="shared" si="14"/>
        <v>D</v>
      </c>
      <c r="L231" s="121">
        <f t="shared" si="15"/>
        <v>10611.79</v>
      </c>
      <c r="N231" s="1"/>
      <c r="O231" s="1">
        <f>_xlfn.XLOOKUP(B231,'BALANCETE 2022'!B:B,'BALANCETE 2022'!J:J,0)</f>
        <v>0</v>
      </c>
      <c r="P231" s="1"/>
    </row>
    <row r="232" spans="1:16" x14ac:dyDescent="0.3">
      <c r="A232" t="s">
        <v>654</v>
      </c>
      <c r="B232" t="s">
        <v>655</v>
      </c>
      <c r="C232">
        <f t="shared" si="12"/>
        <v>1</v>
      </c>
      <c r="D232" t="str">
        <f t="shared" si="13"/>
        <v>A</v>
      </c>
      <c r="E232" s="115" t="s">
        <v>656</v>
      </c>
      <c r="F232" t="s">
        <v>14</v>
      </c>
      <c r="G232" s="16">
        <v>0</v>
      </c>
      <c r="H232" s="50">
        <v>0</v>
      </c>
      <c r="I232" s="50" t="s">
        <v>656</v>
      </c>
      <c r="J232" s="50" t="s">
        <v>656</v>
      </c>
      <c r="K232" s="50" t="str">
        <f t="shared" si="14"/>
        <v>D</v>
      </c>
      <c r="L232" s="50">
        <f t="shared" si="15"/>
        <v>3864.04</v>
      </c>
      <c r="M232" s="124"/>
      <c r="O232">
        <f>_xlfn.XLOOKUP(B232,'BALANCETE 2022'!B:B,'BALANCETE 2022'!J:J,0)</f>
        <v>0</v>
      </c>
    </row>
    <row r="233" spans="1:16" x14ac:dyDescent="0.3">
      <c r="A233" t="s">
        <v>657</v>
      </c>
      <c r="B233" t="s">
        <v>658</v>
      </c>
      <c r="C233">
        <f t="shared" si="12"/>
        <v>1</v>
      </c>
      <c r="D233" t="str">
        <f t="shared" si="13"/>
        <v>A</v>
      </c>
      <c r="E233" s="115" t="s">
        <v>659</v>
      </c>
      <c r="F233" t="s">
        <v>14</v>
      </c>
      <c r="G233" s="16">
        <v>0</v>
      </c>
      <c r="H233" s="50">
        <v>0</v>
      </c>
      <c r="I233" s="50" t="s">
        <v>659</v>
      </c>
      <c r="J233" s="50" t="s">
        <v>659</v>
      </c>
      <c r="K233" s="50" t="str">
        <f t="shared" si="14"/>
        <v>D</v>
      </c>
      <c r="L233" s="50">
        <f t="shared" si="15"/>
        <v>2355.9899999999998</v>
      </c>
      <c r="M233" s="124"/>
      <c r="O233">
        <f>_xlfn.XLOOKUP(B233,'BALANCETE 2022'!B:B,'BALANCETE 2022'!J:J,0)</f>
        <v>0</v>
      </c>
    </row>
    <row r="234" spans="1:16" x14ac:dyDescent="0.3">
      <c r="A234" t="s">
        <v>660</v>
      </c>
      <c r="B234" t="s">
        <v>661</v>
      </c>
      <c r="C234">
        <f t="shared" si="12"/>
        <v>1</v>
      </c>
      <c r="D234" t="str">
        <f t="shared" si="13"/>
        <v>A</v>
      </c>
      <c r="E234" s="115" t="s">
        <v>662</v>
      </c>
      <c r="F234" t="s">
        <v>14</v>
      </c>
      <c r="G234" s="16">
        <v>0</v>
      </c>
      <c r="H234" s="50">
        <v>0</v>
      </c>
      <c r="I234" s="50" t="s">
        <v>662</v>
      </c>
      <c r="J234" s="50" t="s">
        <v>662</v>
      </c>
      <c r="K234" s="50" t="str">
        <f t="shared" si="14"/>
        <v>D</v>
      </c>
      <c r="L234" s="50">
        <f t="shared" si="15"/>
        <v>4391.76</v>
      </c>
      <c r="M234" s="124"/>
      <c r="O234">
        <f>_xlfn.XLOOKUP(B234,'BALANCETE 2022'!B:B,'BALANCETE 2022'!J:J,0)</f>
        <v>0</v>
      </c>
    </row>
    <row r="235" spans="1:16" x14ac:dyDescent="0.3">
      <c r="A235" s="1" t="s">
        <v>663</v>
      </c>
      <c r="B235" s="1" t="s">
        <v>664</v>
      </c>
      <c r="C235" s="1">
        <f t="shared" si="12"/>
        <v>1</v>
      </c>
      <c r="D235" s="1" t="str">
        <f t="shared" si="13"/>
        <v>s</v>
      </c>
      <c r="E235" s="122" t="s">
        <v>665</v>
      </c>
      <c r="F235" s="1" t="s">
        <v>14</v>
      </c>
      <c r="G235" s="123">
        <v>46960548.93</v>
      </c>
      <c r="H235" s="121">
        <v>18916908.300000001</v>
      </c>
      <c r="I235" s="121">
        <v>61259071.979999997</v>
      </c>
      <c r="J235" s="121">
        <v>61259071.979999997</v>
      </c>
      <c r="K235" s="121" t="str">
        <f t="shared" si="14"/>
        <v>8</v>
      </c>
      <c r="L235" s="121">
        <f t="shared" si="15"/>
        <v>-61259071.979999997</v>
      </c>
      <c r="M235" s="52">
        <v>11</v>
      </c>
      <c r="N235" s="1"/>
      <c r="O235" s="1">
        <f>_xlfn.XLOOKUP(B235,'BALANCETE 2022'!B:B,'BALANCETE 2022'!J:J,0)</f>
        <v>0</v>
      </c>
      <c r="P235" s="1"/>
    </row>
    <row r="236" spans="1:16" x14ac:dyDescent="0.3">
      <c r="A236" s="1" t="s">
        <v>666</v>
      </c>
      <c r="B236" s="1" t="s">
        <v>667</v>
      </c>
      <c r="C236" s="1">
        <f t="shared" si="12"/>
        <v>1</v>
      </c>
      <c r="D236" s="1" t="str">
        <f t="shared" si="13"/>
        <v>s</v>
      </c>
      <c r="E236" s="122" t="s">
        <v>668</v>
      </c>
      <c r="F236" s="1" t="s">
        <v>14</v>
      </c>
      <c r="G236" s="123">
        <v>39604001.859999999</v>
      </c>
      <c r="H236" s="121">
        <v>15070624.52</v>
      </c>
      <c r="I236" s="121" t="s">
        <v>669</v>
      </c>
      <c r="J236" s="121" t="s">
        <v>669</v>
      </c>
      <c r="K236" s="121" t="str">
        <f t="shared" si="14"/>
        <v>D</v>
      </c>
      <c r="L236" s="121">
        <f t="shared" si="15"/>
        <v>61000000</v>
      </c>
      <c r="N236" s="1"/>
      <c r="O236" s="1">
        <f>_xlfn.XLOOKUP(B236,'BALANCETE 2022'!B:B,'BALANCETE 2022'!J:J,0)</f>
        <v>0</v>
      </c>
      <c r="P236" s="1"/>
    </row>
    <row r="237" spans="1:16" x14ac:dyDescent="0.3">
      <c r="A237" t="s">
        <v>670</v>
      </c>
      <c r="B237" t="s">
        <v>671</v>
      </c>
      <c r="C237">
        <f t="shared" si="12"/>
        <v>1</v>
      </c>
      <c r="D237" t="str">
        <f t="shared" si="13"/>
        <v>A</v>
      </c>
      <c r="E237" s="115" t="s">
        <v>672</v>
      </c>
      <c r="F237" t="s">
        <v>14</v>
      </c>
      <c r="G237" s="16">
        <v>0</v>
      </c>
      <c r="H237" s="50">
        <v>0</v>
      </c>
      <c r="I237" s="50" t="s">
        <v>672</v>
      </c>
      <c r="J237" s="50" t="s">
        <v>672</v>
      </c>
      <c r="K237" s="50" t="str">
        <f t="shared" si="14"/>
        <v>D</v>
      </c>
      <c r="L237" s="50">
        <f t="shared" si="15"/>
        <v>12002725.800000001</v>
      </c>
      <c r="M237" s="124"/>
      <c r="O237">
        <f>_xlfn.XLOOKUP(B237,'BALANCETE 2022'!B:B,'BALANCETE 2022'!J:J,0)</f>
        <v>0</v>
      </c>
    </row>
    <row r="238" spans="1:16" x14ac:dyDescent="0.3">
      <c r="A238" t="s">
        <v>673</v>
      </c>
      <c r="B238" t="s">
        <v>674</v>
      </c>
      <c r="C238">
        <f t="shared" si="12"/>
        <v>1</v>
      </c>
      <c r="D238" t="str">
        <f t="shared" si="13"/>
        <v>A</v>
      </c>
      <c r="E238" s="115" t="s">
        <v>675</v>
      </c>
      <c r="F238" t="s">
        <v>14</v>
      </c>
      <c r="G238" s="16">
        <v>0</v>
      </c>
      <c r="H238" s="50">
        <v>3504764.89</v>
      </c>
      <c r="I238" s="50" t="s">
        <v>676</v>
      </c>
      <c r="J238" s="50" t="s">
        <v>676</v>
      </c>
      <c r="K238" s="50" t="str">
        <f t="shared" si="14"/>
        <v>D</v>
      </c>
      <c r="L238" s="50">
        <f t="shared" si="15"/>
        <v>3887289.28</v>
      </c>
      <c r="M238" s="124"/>
      <c r="O238">
        <f>_xlfn.XLOOKUP(B238,'BALANCETE 2022'!B:B,'BALANCETE 2022'!J:J,0)</f>
        <v>0</v>
      </c>
    </row>
    <row r="239" spans="1:16" x14ac:dyDescent="0.3">
      <c r="A239" t="s">
        <v>677</v>
      </c>
      <c r="B239" t="s">
        <v>678</v>
      </c>
      <c r="C239">
        <f t="shared" si="12"/>
        <v>1</v>
      </c>
      <c r="D239" t="str">
        <f t="shared" si="13"/>
        <v>A</v>
      </c>
      <c r="E239" s="115" t="s">
        <v>679</v>
      </c>
      <c r="F239" t="s">
        <v>14</v>
      </c>
      <c r="G239" s="16">
        <v>0</v>
      </c>
      <c r="H239" s="50">
        <v>440300.64</v>
      </c>
      <c r="I239" s="50" t="s">
        <v>680</v>
      </c>
      <c r="J239" s="50" t="s">
        <v>680</v>
      </c>
      <c r="K239" s="50" t="str">
        <f t="shared" si="14"/>
        <v>D</v>
      </c>
      <c r="L239" s="50">
        <f t="shared" si="15"/>
        <v>488356.86</v>
      </c>
      <c r="M239" s="124"/>
      <c r="O239">
        <f>_xlfn.XLOOKUP(B239,'BALANCETE 2022'!B:B,'BALANCETE 2022'!J:J,0)</f>
        <v>0</v>
      </c>
    </row>
    <row r="240" spans="1:16" x14ac:dyDescent="0.3">
      <c r="A240" t="s">
        <v>681</v>
      </c>
      <c r="B240" t="s">
        <v>682</v>
      </c>
      <c r="C240">
        <f t="shared" si="12"/>
        <v>1</v>
      </c>
      <c r="D240" t="str">
        <f t="shared" si="13"/>
        <v>A</v>
      </c>
      <c r="E240" s="115" t="s">
        <v>683</v>
      </c>
      <c r="F240" t="s">
        <v>14</v>
      </c>
      <c r="G240" s="16">
        <v>0</v>
      </c>
      <c r="H240" s="50">
        <v>125727.1</v>
      </c>
      <c r="I240" s="50" t="s">
        <v>684</v>
      </c>
      <c r="J240" s="50" t="s">
        <v>684</v>
      </c>
      <c r="K240" s="50" t="str">
        <f t="shared" si="14"/>
        <v>D</v>
      </c>
      <c r="L240" s="50">
        <f t="shared" si="15"/>
        <v>139449.47</v>
      </c>
      <c r="M240" s="124"/>
      <c r="O240">
        <f>_xlfn.XLOOKUP(B240,'BALANCETE 2022'!B:B,'BALANCETE 2022'!J:J,0)</f>
        <v>0</v>
      </c>
    </row>
    <row r="241" spans="1:16" x14ac:dyDescent="0.3">
      <c r="A241" t="s">
        <v>685</v>
      </c>
      <c r="B241" t="s">
        <v>686</v>
      </c>
      <c r="C241">
        <f t="shared" si="12"/>
        <v>1</v>
      </c>
      <c r="D241" t="str">
        <f t="shared" si="13"/>
        <v>A</v>
      </c>
      <c r="E241" s="115" t="s">
        <v>687</v>
      </c>
      <c r="F241" t="s">
        <v>14</v>
      </c>
      <c r="G241" s="16">
        <v>0</v>
      </c>
      <c r="H241" s="50">
        <v>130482.7</v>
      </c>
      <c r="I241" s="50" t="s">
        <v>688</v>
      </c>
      <c r="J241" s="50" t="s">
        <v>688</v>
      </c>
      <c r="K241" s="50" t="str">
        <f t="shared" si="14"/>
        <v>D</v>
      </c>
      <c r="L241" s="50">
        <f t="shared" si="15"/>
        <v>144724.13</v>
      </c>
      <c r="M241" s="124"/>
      <c r="O241">
        <f>_xlfn.XLOOKUP(B241,'BALANCETE 2022'!B:B,'BALANCETE 2022'!J:J,0)</f>
        <v>0</v>
      </c>
    </row>
    <row r="242" spans="1:16" x14ac:dyDescent="0.3">
      <c r="A242" t="s">
        <v>689</v>
      </c>
      <c r="B242" t="s">
        <v>690</v>
      </c>
      <c r="C242">
        <f t="shared" si="12"/>
        <v>1</v>
      </c>
      <c r="D242" t="str">
        <f t="shared" si="13"/>
        <v>A</v>
      </c>
      <c r="E242" s="115" t="s">
        <v>691</v>
      </c>
      <c r="F242" t="s">
        <v>14</v>
      </c>
      <c r="G242" s="16">
        <v>0</v>
      </c>
      <c r="H242" s="50">
        <v>151754.20000000001</v>
      </c>
      <c r="I242" s="50" t="s">
        <v>692</v>
      </c>
      <c r="J242" s="50" t="s">
        <v>692</v>
      </c>
      <c r="K242" s="50" t="str">
        <f t="shared" si="14"/>
        <v>D</v>
      </c>
      <c r="L242" s="50">
        <f t="shared" si="15"/>
        <v>168317.28</v>
      </c>
      <c r="M242" s="124"/>
      <c r="O242">
        <f>_xlfn.XLOOKUP(B242,'BALANCETE 2022'!B:B,'BALANCETE 2022'!J:J,0)</f>
        <v>0</v>
      </c>
    </row>
    <row r="243" spans="1:16" x14ac:dyDescent="0.3">
      <c r="A243" t="s">
        <v>693</v>
      </c>
      <c r="B243" t="s">
        <v>694</v>
      </c>
      <c r="C243">
        <f t="shared" si="12"/>
        <v>1</v>
      </c>
      <c r="D243" t="str">
        <f t="shared" si="13"/>
        <v>A</v>
      </c>
      <c r="E243" s="115" t="s">
        <v>695</v>
      </c>
      <c r="F243" t="s">
        <v>14</v>
      </c>
      <c r="G243" s="16">
        <v>0</v>
      </c>
      <c r="H243" s="50">
        <v>0</v>
      </c>
      <c r="I243" s="50" t="s">
        <v>695</v>
      </c>
      <c r="J243" s="50" t="s">
        <v>695</v>
      </c>
      <c r="K243" s="50" t="str">
        <f t="shared" si="14"/>
        <v>D</v>
      </c>
      <c r="L243" s="50">
        <f t="shared" si="15"/>
        <v>12550576.34</v>
      </c>
      <c r="M243" s="124"/>
      <c r="O243">
        <f>_xlfn.XLOOKUP(B243,'BALANCETE 2022'!B:B,'BALANCETE 2022'!J:J,0)</f>
        <v>0</v>
      </c>
    </row>
    <row r="244" spans="1:16" x14ac:dyDescent="0.3">
      <c r="A244" t="s">
        <v>696</v>
      </c>
      <c r="B244" t="s">
        <v>697</v>
      </c>
      <c r="C244">
        <f t="shared" si="12"/>
        <v>1</v>
      </c>
      <c r="D244" t="str">
        <f t="shared" si="13"/>
        <v>A</v>
      </c>
      <c r="E244" s="115" t="s">
        <v>698</v>
      </c>
      <c r="F244" t="s">
        <v>14</v>
      </c>
      <c r="G244" s="16">
        <v>0</v>
      </c>
      <c r="H244" s="50">
        <v>115488.74</v>
      </c>
      <c r="I244" s="50" t="s">
        <v>699</v>
      </c>
      <c r="J244" s="50" t="s">
        <v>699</v>
      </c>
      <c r="K244" s="50" t="str">
        <f t="shared" si="14"/>
        <v>D</v>
      </c>
      <c r="L244" s="50">
        <f t="shared" si="15"/>
        <v>128093.66</v>
      </c>
      <c r="M244" s="124"/>
      <c r="O244">
        <f>_xlfn.XLOOKUP(B244,'BALANCETE 2022'!B:B,'BALANCETE 2022'!J:J,0)</f>
        <v>0</v>
      </c>
    </row>
    <row r="245" spans="1:16" x14ac:dyDescent="0.3">
      <c r="A245" t="s">
        <v>700</v>
      </c>
      <c r="B245" t="s">
        <v>701</v>
      </c>
      <c r="C245">
        <f t="shared" si="12"/>
        <v>1</v>
      </c>
      <c r="D245" t="str">
        <f t="shared" si="13"/>
        <v>A</v>
      </c>
      <c r="E245" s="115" t="s">
        <v>702</v>
      </c>
      <c r="F245" t="s">
        <v>14</v>
      </c>
      <c r="G245" s="16">
        <v>0</v>
      </c>
      <c r="H245" s="50">
        <v>758008.9</v>
      </c>
      <c r="I245" s="50" t="s">
        <v>703</v>
      </c>
      <c r="J245" s="50" t="s">
        <v>703</v>
      </c>
      <c r="K245" s="50" t="str">
        <f t="shared" si="14"/>
        <v>D</v>
      </c>
      <c r="L245" s="50">
        <f t="shared" si="15"/>
        <v>840741.1</v>
      </c>
      <c r="M245" s="124"/>
      <c r="O245">
        <f>_xlfn.XLOOKUP(B245,'BALANCETE 2022'!B:B,'BALANCETE 2022'!J:J,0)</f>
        <v>0</v>
      </c>
    </row>
    <row r="246" spans="1:16" x14ac:dyDescent="0.3">
      <c r="A246" t="s">
        <v>704</v>
      </c>
      <c r="B246" t="s">
        <v>705</v>
      </c>
      <c r="C246">
        <f t="shared" si="12"/>
        <v>1</v>
      </c>
      <c r="D246" t="str">
        <f t="shared" si="13"/>
        <v>A</v>
      </c>
      <c r="E246" s="115" t="s">
        <v>706</v>
      </c>
      <c r="F246" t="s">
        <v>14</v>
      </c>
      <c r="G246" s="16">
        <v>0</v>
      </c>
      <c r="H246" s="50">
        <v>889821.57</v>
      </c>
      <c r="I246" s="50" t="s">
        <v>25</v>
      </c>
      <c r="J246" s="50" t="s">
        <v>25</v>
      </c>
      <c r="K246" s="50" t="str">
        <f t="shared" si="14"/>
        <v>D</v>
      </c>
      <c r="L246" s="50">
        <f t="shared" si="15"/>
        <v>0</v>
      </c>
      <c r="M246" s="124"/>
      <c r="O246">
        <f>_xlfn.XLOOKUP(B246,'BALANCETE 2022'!B:B,'BALANCETE 2022'!J:J,0)</f>
        <v>0</v>
      </c>
    </row>
    <row r="247" spans="1:16" x14ac:dyDescent="0.3">
      <c r="A247" t="s">
        <v>707</v>
      </c>
      <c r="B247" t="s">
        <v>708</v>
      </c>
      <c r="C247">
        <f t="shared" si="12"/>
        <v>1</v>
      </c>
      <c r="D247" t="str">
        <f t="shared" si="13"/>
        <v>A</v>
      </c>
      <c r="E247" s="115">
        <v>0</v>
      </c>
      <c r="F247" t="s">
        <v>14</v>
      </c>
      <c r="G247" s="16">
        <v>36446697.859999999</v>
      </c>
      <c r="H247" s="50">
        <v>0</v>
      </c>
      <c r="I247" s="50" t="s">
        <v>709</v>
      </c>
      <c r="J247" s="50" t="s">
        <v>709</v>
      </c>
      <c r="K247" s="50" t="str">
        <f t="shared" si="14"/>
        <v>D</v>
      </c>
      <c r="L247" s="50">
        <f t="shared" si="15"/>
        <v>36446697.859999999</v>
      </c>
      <c r="M247" s="124"/>
      <c r="O247">
        <f>_xlfn.XLOOKUP(B247,'BALANCETE 2022'!B:B,'BALANCETE 2022'!J:J,0)</f>
        <v>0</v>
      </c>
    </row>
    <row r="248" spans="1:16" x14ac:dyDescent="0.3">
      <c r="A248" t="s">
        <v>710</v>
      </c>
      <c r="B248" t="s">
        <v>711</v>
      </c>
      <c r="C248">
        <f t="shared" si="12"/>
        <v>1</v>
      </c>
      <c r="D248" t="str">
        <f t="shared" si="13"/>
        <v>A</v>
      </c>
      <c r="E248" s="115" t="s">
        <v>25</v>
      </c>
      <c r="F248" t="s">
        <v>14</v>
      </c>
      <c r="G248" s="16">
        <v>1828160.71</v>
      </c>
      <c r="H248" s="50">
        <v>0</v>
      </c>
      <c r="I248" s="50" t="s">
        <v>712</v>
      </c>
      <c r="J248" s="50" t="s">
        <v>712</v>
      </c>
      <c r="K248" s="50" t="str">
        <f t="shared" si="14"/>
        <v>D</v>
      </c>
      <c r="L248" s="50">
        <f t="shared" si="15"/>
        <v>1828160.71</v>
      </c>
      <c r="M248" s="124"/>
      <c r="O248">
        <f>_xlfn.XLOOKUP(B248,'BALANCETE 2022'!B:B,'BALANCETE 2022'!J:J,0)</f>
        <v>0</v>
      </c>
    </row>
    <row r="249" spans="1:16" x14ac:dyDescent="0.3">
      <c r="A249" t="s">
        <v>713</v>
      </c>
      <c r="B249" t="s">
        <v>714</v>
      </c>
      <c r="C249">
        <f t="shared" si="12"/>
        <v>1</v>
      </c>
      <c r="D249" t="str">
        <f t="shared" si="13"/>
        <v>A</v>
      </c>
      <c r="E249" s="115" t="s">
        <v>25</v>
      </c>
      <c r="F249" t="s">
        <v>14</v>
      </c>
      <c r="G249" s="16">
        <v>56843.14</v>
      </c>
      <c r="H249" s="50">
        <v>0</v>
      </c>
      <c r="I249" s="50" t="s">
        <v>715</v>
      </c>
      <c r="J249" s="50" t="s">
        <v>715</v>
      </c>
      <c r="K249" s="50" t="str">
        <f t="shared" si="14"/>
        <v>D</v>
      </c>
      <c r="L249" s="50">
        <f t="shared" si="15"/>
        <v>56843.14</v>
      </c>
      <c r="M249" s="124"/>
      <c r="O249">
        <f>_xlfn.XLOOKUP(B249,'BALANCETE 2022'!B:B,'BALANCETE 2022'!J:J,0)</f>
        <v>0</v>
      </c>
    </row>
    <row r="250" spans="1:16" x14ac:dyDescent="0.3">
      <c r="A250" t="s">
        <v>716</v>
      </c>
      <c r="B250" t="s">
        <v>717</v>
      </c>
      <c r="C250">
        <f t="shared" si="12"/>
        <v>1</v>
      </c>
      <c r="D250" t="str">
        <f t="shared" si="13"/>
        <v>A</v>
      </c>
      <c r="E250" s="115" t="s">
        <v>25</v>
      </c>
      <c r="F250" t="s">
        <v>14</v>
      </c>
      <c r="G250" s="16">
        <v>209478.53</v>
      </c>
      <c r="H250" s="50">
        <v>0</v>
      </c>
      <c r="I250" s="50" t="s">
        <v>718</v>
      </c>
      <c r="J250" s="50" t="s">
        <v>718</v>
      </c>
      <c r="K250" s="50" t="str">
        <f t="shared" si="14"/>
        <v>D</v>
      </c>
      <c r="L250" s="50">
        <f t="shared" si="15"/>
        <v>209478.53</v>
      </c>
      <c r="M250" s="124"/>
      <c r="O250">
        <f>_xlfn.XLOOKUP(B250,'BALANCETE 2022'!B:B,'BALANCETE 2022'!J:J,0)</f>
        <v>0</v>
      </c>
    </row>
    <row r="251" spans="1:16" x14ac:dyDescent="0.3">
      <c r="A251" t="s">
        <v>719</v>
      </c>
      <c r="B251" t="s">
        <v>720</v>
      </c>
      <c r="C251">
        <f t="shared" si="12"/>
        <v>1</v>
      </c>
      <c r="D251" t="str">
        <f t="shared" si="13"/>
        <v>A</v>
      </c>
      <c r="E251" s="115" t="s">
        <v>25</v>
      </c>
      <c r="F251" t="s">
        <v>14</v>
      </c>
      <c r="G251" s="16">
        <v>56739.38</v>
      </c>
      <c r="H251" s="50">
        <v>0</v>
      </c>
      <c r="I251" s="50" t="s">
        <v>721</v>
      </c>
      <c r="J251" s="50" t="s">
        <v>721</v>
      </c>
      <c r="K251" s="50" t="str">
        <f t="shared" si="14"/>
        <v>D</v>
      </c>
      <c r="L251" s="50">
        <f t="shared" si="15"/>
        <v>56739.38</v>
      </c>
      <c r="M251" s="124"/>
      <c r="O251">
        <f>_xlfn.XLOOKUP(B251,'BALANCETE 2022'!B:B,'BALANCETE 2022'!J:J,0)</f>
        <v>0</v>
      </c>
    </row>
    <row r="252" spans="1:16" x14ac:dyDescent="0.3">
      <c r="A252" t="s">
        <v>722</v>
      </c>
      <c r="B252" t="s">
        <v>723</v>
      </c>
      <c r="C252">
        <f t="shared" si="12"/>
        <v>1</v>
      </c>
      <c r="D252" t="str">
        <f t="shared" si="13"/>
        <v>A</v>
      </c>
      <c r="E252" s="115" t="s">
        <v>25</v>
      </c>
      <c r="F252" t="s">
        <v>14</v>
      </c>
      <c r="G252" s="16">
        <v>74806.34</v>
      </c>
      <c r="H252" s="50">
        <v>0</v>
      </c>
      <c r="I252" s="50" t="s">
        <v>724</v>
      </c>
      <c r="J252" s="50" t="s">
        <v>724</v>
      </c>
      <c r="K252" s="50" t="str">
        <f t="shared" si="14"/>
        <v>D</v>
      </c>
      <c r="L252" s="50">
        <f t="shared" si="15"/>
        <v>74806.34</v>
      </c>
      <c r="M252" s="124"/>
      <c r="O252">
        <f>_xlfn.XLOOKUP(B252,'BALANCETE 2022'!B:B,'BALANCETE 2022'!J:J,0)</f>
        <v>0</v>
      </c>
    </row>
    <row r="253" spans="1:16" x14ac:dyDescent="0.3">
      <c r="A253" t="s">
        <v>725</v>
      </c>
      <c r="B253" t="s">
        <v>726</v>
      </c>
      <c r="C253">
        <f t="shared" si="12"/>
        <v>1</v>
      </c>
      <c r="D253" t="str">
        <f t="shared" si="13"/>
        <v>A</v>
      </c>
      <c r="E253" s="115" t="s">
        <v>25</v>
      </c>
      <c r="F253" t="s">
        <v>14</v>
      </c>
      <c r="G253" s="16">
        <v>931275.9</v>
      </c>
      <c r="H253" s="50">
        <v>0</v>
      </c>
      <c r="I253" s="50" t="s">
        <v>727</v>
      </c>
      <c r="J253" s="50" t="s">
        <v>727</v>
      </c>
      <c r="K253" s="50" t="str">
        <f t="shared" si="14"/>
        <v>D</v>
      </c>
      <c r="L253" s="50">
        <f t="shared" si="15"/>
        <v>931275.9</v>
      </c>
      <c r="M253" s="124"/>
      <c r="O253">
        <f>_xlfn.XLOOKUP(B253,'BALANCETE 2022'!B:B,'BALANCETE 2022'!J:J,0)</f>
        <v>0</v>
      </c>
    </row>
    <row r="254" spans="1:16" x14ac:dyDescent="0.3">
      <c r="A254" t="s">
        <v>728</v>
      </c>
      <c r="B254" t="s">
        <v>729</v>
      </c>
      <c r="C254">
        <f t="shared" si="12"/>
        <v>1</v>
      </c>
      <c r="D254" t="str">
        <f t="shared" si="13"/>
        <v>A</v>
      </c>
      <c r="E254" s="115" t="s">
        <v>25</v>
      </c>
      <c r="F254" t="s">
        <v>416</v>
      </c>
      <c r="G254" s="16">
        <v>0</v>
      </c>
      <c r="H254" s="50">
        <v>8894738.5</v>
      </c>
      <c r="I254" s="50" t="s">
        <v>730</v>
      </c>
      <c r="J254" s="50" t="s">
        <v>730</v>
      </c>
      <c r="K254" s="50" t="str">
        <f t="shared" si="14"/>
        <v>C</v>
      </c>
      <c r="L254" s="50">
        <f t="shared" si="15"/>
        <v>8894738.5</v>
      </c>
      <c r="M254" s="124"/>
      <c r="O254">
        <f>_xlfn.XLOOKUP(B254,'BALANCETE 2022'!B:B,'BALANCETE 2022'!J:J,0)</f>
        <v>0</v>
      </c>
    </row>
    <row r="255" spans="1:16" x14ac:dyDescent="0.3">
      <c r="A255" t="s">
        <v>731</v>
      </c>
      <c r="B255" t="s">
        <v>732</v>
      </c>
      <c r="C255">
        <f t="shared" si="12"/>
        <v>1</v>
      </c>
      <c r="D255" t="str">
        <f t="shared" si="13"/>
        <v>A</v>
      </c>
      <c r="E255" s="115" t="s">
        <v>25</v>
      </c>
      <c r="F255" t="s">
        <v>416</v>
      </c>
      <c r="G255" s="16">
        <v>0</v>
      </c>
      <c r="H255" s="50">
        <v>59537.279999999999</v>
      </c>
      <c r="I255" s="50" t="s">
        <v>733</v>
      </c>
      <c r="J255" s="50" t="s">
        <v>733</v>
      </c>
      <c r="K255" s="50" t="str">
        <f t="shared" si="14"/>
        <v>C</v>
      </c>
      <c r="L255" s="50">
        <f t="shared" si="15"/>
        <v>59537.279999999999</v>
      </c>
      <c r="M255" s="124"/>
      <c r="O255">
        <f>_xlfn.XLOOKUP(B255,'BALANCETE 2022'!B:B,'BALANCETE 2022'!J:J,0)</f>
        <v>0</v>
      </c>
    </row>
    <row r="256" spans="1:16" x14ac:dyDescent="0.3">
      <c r="A256" s="1" t="s">
        <v>734</v>
      </c>
      <c r="B256" s="1" t="s">
        <v>735</v>
      </c>
      <c r="C256" s="1">
        <f t="shared" si="12"/>
        <v>1</v>
      </c>
      <c r="D256" s="1" t="str">
        <f t="shared" si="13"/>
        <v>s</v>
      </c>
      <c r="E256" s="122" t="s">
        <v>736</v>
      </c>
      <c r="F256" s="1" t="s">
        <v>14</v>
      </c>
      <c r="G256" s="123">
        <v>5425</v>
      </c>
      <c r="H256" s="121">
        <v>0</v>
      </c>
      <c r="I256" s="121" t="s">
        <v>737</v>
      </c>
      <c r="J256" s="121" t="s">
        <v>737</v>
      </c>
      <c r="K256" s="121" t="str">
        <f t="shared" si="14"/>
        <v>D</v>
      </c>
      <c r="L256" s="121">
        <f t="shared" si="15"/>
        <v>18340187.350000001</v>
      </c>
      <c r="N256" s="1"/>
      <c r="O256" s="1">
        <f>_xlfn.XLOOKUP(B256,'BALANCETE 2022'!B:B,'BALANCETE 2022'!J:J,0)</f>
        <v>0</v>
      </c>
      <c r="P256" s="1"/>
    </row>
    <row r="257" spans="1:16" x14ac:dyDescent="0.3">
      <c r="A257" t="s">
        <v>738</v>
      </c>
      <c r="B257" t="s">
        <v>739</v>
      </c>
      <c r="C257">
        <f t="shared" si="12"/>
        <v>1</v>
      </c>
      <c r="D257" t="str">
        <f t="shared" si="13"/>
        <v>A</v>
      </c>
      <c r="E257" s="115" t="s">
        <v>740</v>
      </c>
      <c r="F257" t="s">
        <v>14</v>
      </c>
      <c r="G257" s="16">
        <v>5425</v>
      </c>
      <c r="H257" s="50">
        <v>0</v>
      </c>
      <c r="I257" s="50" t="s">
        <v>741</v>
      </c>
      <c r="J257" s="50" t="s">
        <v>741</v>
      </c>
      <c r="K257" s="50" t="str">
        <f t="shared" si="14"/>
        <v>D</v>
      </c>
      <c r="L257" s="50">
        <f t="shared" si="15"/>
        <v>13817001.050000001</v>
      </c>
      <c r="M257" s="124"/>
      <c r="O257">
        <f>_xlfn.XLOOKUP(B257,'BALANCETE 2022'!B:B,'BALANCETE 2022'!J:J,0)</f>
        <v>0</v>
      </c>
    </row>
    <row r="258" spans="1:16" x14ac:dyDescent="0.3">
      <c r="A258" t="s">
        <v>742</v>
      </c>
      <c r="B258" t="s">
        <v>743</v>
      </c>
      <c r="C258">
        <f t="shared" si="12"/>
        <v>1</v>
      </c>
      <c r="D258" t="str">
        <f t="shared" si="13"/>
        <v>A</v>
      </c>
      <c r="E258" s="115" t="s">
        <v>744</v>
      </c>
      <c r="F258" t="s">
        <v>14</v>
      </c>
      <c r="G258" s="16">
        <v>0</v>
      </c>
      <c r="H258" s="50">
        <v>0</v>
      </c>
      <c r="I258" s="50" t="s">
        <v>744</v>
      </c>
      <c r="J258" s="50" t="s">
        <v>744</v>
      </c>
      <c r="K258" s="50" t="str">
        <f t="shared" si="14"/>
        <v>D</v>
      </c>
      <c r="L258" s="50">
        <f t="shared" si="15"/>
        <v>3504751.94</v>
      </c>
      <c r="M258" s="124"/>
      <c r="O258">
        <f>_xlfn.XLOOKUP(B258,'BALANCETE 2022'!B:B,'BALANCETE 2022'!J:J,0)</f>
        <v>0</v>
      </c>
    </row>
    <row r="259" spans="1:16" x14ac:dyDescent="0.3">
      <c r="A259" t="s">
        <v>745</v>
      </c>
      <c r="B259" t="s">
        <v>746</v>
      </c>
      <c r="C259">
        <f t="shared" si="12"/>
        <v>1</v>
      </c>
      <c r="D259" t="str">
        <f t="shared" si="13"/>
        <v>A</v>
      </c>
      <c r="E259" s="115" t="s">
        <v>747</v>
      </c>
      <c r="F259" t="s">
        <v>14</v>
      </c>
      <c r="G259" s="16">
        <v>0</v>
      </c>
      <c r="H259" s="50">
        <v>0</v>
      </c>
      <c r="I259" s="50" t="s">
        <v>747</v>
      </c>
      <c r="J259" s="50" t="s">
        <v>747</v>
      </c>
      <c r="K259" s="50" t="str">
        <f t="shared" si="14"/>
        <v>D</v>
      </c>
      <c r="L259" s="50">
        <f t="shared" si="15"/>
        <v>514640.71</v>
      </c>
      <c r="M259" s="124"/>
      <c r="O259">
        <f>_xlfn.XLOOKUP(B259,'BALANCETE 2022'!B:B,'BALANCETE 2022'!J:J,0)</f>
        <v>0</v>
      </c>
    </row>
    <row r="260" spans="1:16" x14ac:dyDescent="0.3">
      <c r="A260" t="s">
        <v>748</v>
      </c>
      <c r="B260" t="s">
        <v>749</v>
      </c>
      <c r="C260">
        <f t="shared" si="12"/>
        <v>1</v>
      </c>
      <c r="D260" t="str">
        <f t="shared" si="13"/>
        <v>A</v>
      </c>
      <c r="E260" s="115" t="s">
        <v>750</v>
      </c>
      <c r="F260" t="s">
        <v>14</v>
      </c>
      <c r="G260" s="16">
        <v>0</v>
      </c>
      <c r="H260" s="50">
        <v>0</v>
      </c>
      <c r="I260" s="50" t="s">
        <v>750</v>
      </c>
      <c r="J260" s="50" t="s">
        <v>750</v>
      </c>
      <c r="K260" s="50" t="str">
        <f t="shared" si="14"/>
        <v>D</v>
      </c>
      <c r="L260" s="50">
        <f t="shared" si="15"/>
        <v>27047.66</v>
      </c>
      <c r="M260" s="124"/>
      <c r="O260">
        <f>_xlfn.XLOOKUP(B260,'BALANCETE 2022'!B:B,'BALANCETE 2022'!J:J,0)</f>
        <v>0</v>
      </c>
    </row>
    <row r="261" spans="1:16" x14ac:dyDescent="0.3">
      <c r="A261" t="s">
        <v>751</v>
      </c>
      <c r="B261" t="s">
        <v>752</v>
      </c>
      <c r="C261">
        <f t="shared" si="12"/>
        <v>1</v>
      </c>
      <c r="D261" t="str">
        <f t="shared" si="13"/>
        <v>A</v>
      </c>
      <c r="E261" s="115" t="s">
        <v>753</v>
      </c>
      <c r="F261" t="s">
        <v>14</v>
      </c>
      <c r="G261" s="16">
        <v>0</v>
      </c>
      <c r="H261" s="50">
        <v>0</v>
      </c>
      <c r="I261" s="50" t="s">
        <v>753</v>
      </c>
      <c r="J261" s="50" t="s">
        <v>753</v>
      </c>
      <c r="K261" s="50" t="str">
        <f t="shared" si="14"/>
        <v>D</v>
      </c>
      <c r="L261" s="50">
        <f t="shared" si="15"/>
        <v>407630.55</v>
      </c>
      <c r="M261" s="124"/>
      <c r="O261">
        <f>_xlfn.XLOOKUP(B261,'BALANCETE 2022'!B:B,'BALANCETE 2022'!J:J,0)</f>
        <v>0</v>
      </c>
    </row>
    <row r="262" spans="1:16" x14ac:dyDescent="0.3">
      <c r="A262" t="s">
        <v>754</v>
      </c>
      <c r="B262" t="s">
        <v>755</v>
      </c>
      <c r="C262">
        <f t="shared" si="12"/>
        <v>1</v>
      </c>
      <c r="D262" t="str">
        <f t="shared" si="13"/>
        <v>A</v>
      </c>
      <c r="E262" s="115" t="s">
        <v>756</v>
      </c>
      <c r="F262" t="s">
        <v>14</v>
      </c>
      <c r="G262" s="16">
        <v>0</v>
      </c>
      <c r="H262" s="50">
        <v>0</v>
      </c>
      <c r="I262" s="50" t="s">
        <v>756</v>
      </c>
      <c r="J262" s="50" t="s">
        <v>756</v>
      </c>
      <c r="K262" s="50" t="str">
        <f t="shared" si="14"/>
        <v>D</v>
      </c>
      <c r="L262" s="50">
        <f t="shared" si="15"/>
        <v>9299.7900000000009</v>
      </c>
      <c r="M262" s="124"/>
      <c r="O262">
        <f>_xlfn.XLOOKUP(B262,'BALANCETE 2022'!B:B,'BALANCETE 2022'!J:J,0)</f>
        <v>0</v>
      </c>
    </row>
    <row r="263" spans="1:16" x14ac:dyDescent="0.3">
      <c r="A263" t="s">
        <v>757</v>
      </c>
      <c r="B263" t="s">
        <v>758</v>
      </c>
      <c r="C263">
        <f t="shared" si="12"/>
        <v>1</v>
      </c>
      <c r="D263" t="str">
        <f t="shared" si="13"/>
        <v>A</v>
      </c>
      <c r="E263" s="115" t="s">
        <v>759</v>
      </c>
      <c r="F263" t="s">
        <v>14</v>
      </c>
      <c r="G263" s="16">
        <v>0</v>
      </c>
      <c r="H263" s="50">
        <v>0</v>
      </c>
      <c r="I263" s="50" t="s">
        <v>759</v>
      </c>
      <c r="J263" s="50" t="s">
        <v>759</v>
      </c>
      <c r="K263" s="50" t="str">
        <f t="shared" si="14"/>
        <v>D</v>
      </c>
      <c r="L263" s="50">
        <f t="shared" si="15"/>
        <v>50786.65</v>
      </c>
      <c r="M263" s="124"/>
      <c r="O263">
        <f>_xlfn.XLOOKUP(B263,'BALANCETE 2022'!B:B,'BALANCETE 2022'!J:J,0)</f>
        <v>0</v>
      </c>
    </row>
    <row r="264" spans="1:16" x14ac:dyDescent="0.3">
      <c r="A264" t="s">
        <v>760</v>
      </c>
      <c r="B264" t="s">
        <v>761</v>
      </c>
      <c r="C264">
        <f t="shared" si="12"/>
        <v>1</v>
      </c>
      <c r="D264" t="str">
        <f t="shared" si="13"/>
        <v>A</v>
      </c>
      <c r="E264" s="115" t="s">
        <v>762</v>
      </c>
      <c r="F264" t="s">
        <v>14</v>
      </c>
      <c r="G264" s="16">
        <v>0</v>
      </c>
      <c r="H264" s="50">
        <v>0</v>
      </c>
      <c r="I264" s="50" t="s">
        <v>762</v>
      </c>
      <c r="J264" s="50" t="s">
        <v>762</v>
      </c>
      <c r="K264" s="50" t="str">
        <f t="shared" si="14"/>
        <v>D</v>
      </c>
      <c r="L264" s="50">
        <f t="shared" si="15"/>
        <v>9029</v>
      </c>
      <c r="M264" s="124"/>
      <c r="O264">
        <f>_xlfn.XLOOKUP(B264,'BALANCETE 2022'!B:B,'BALANCETE 2022'!J:J,0)</f>
        <v>0</v>
      </c>
    </row>
    <row r="265" spans="1:16" x14ac:dyDescent="0.3">
      <c r="A265" s="1" t="s">
        <v>763</v>
      </c>
      <c r="B265" s="1" t="s">
        <v>764</v>
      </c>
      <c r="C265" s="1">
        <f t="shared" si="12"/>
        <v>1</v>
      </c>
      <c r="D265" s="1" t="str">
        <f t="shared" si="13"/>
        <v>s</v>
      </c>
      <c r="E265" s="122" t="s">
        <v>765</v>
      </c>
      <c r="F265" s="1" t="s">
        <v>14</v>
      </c>
      <c r="G265" s="123">
        <v>0</v>
      </c>
      <c r="H265" s="121">
        <v>0</v>
      </c>
      <c r="I265" s="121" t="s">
        <v>766</v>
      </c>
      <c r="J265" s="121" t="s">
        <v>766</v>
      </c>
      <c r="K265" s="121" t="str">
        <f t="shared" si="14"/>
        <v>D</v>
      </c>
      <c r="L265" s="121">
        <f t="shared" si="15"/>
        <v>511296.63</v>
      </c>
      <c r="N265" s="1"/>
      <c r="O265" s="1">
        <f>_xlfn.XLOOKUP(B265,'BALANCETE 2022'!B:B,'BALANCETE 2022'!J:J,0)</f>
        <v>0</v>
      </c>
      <c r="P265" s="1"/>
    </row>
    <row r="266" spans="1:16" x14ac:dyDescent="0.3">
      <c r="A266" t="s">
        <v>767</v>
      </c>
      <c r="B266" t="s">
        <v>768</v>
      </c>
      <c r="C266">
        <f t="shared" ref="C266:C329" si="16">(LEFT(SUBSTITUTE(B266,"[",""),1))+0</f>
        <v>1</v>
      </c>
      <c r="D266" t="str">
        <f t="shared" ref="D266:D329" si="17">IF((LEN(B266)+0)&lt;15,"s","A")</f>
        <v>A</v>
      </c>
      <c r="E266" s="115" t="s">
        <v>769</v>
      </c>
      <c r="F266" t="s">
        <v>14</v>
      </c>
      <c r="G266" s="16">
        <v>0</v>
      </c>
      <c r="H266" s="50">
        <v>0</v>
      </c>
      <c r="I266" s="50" t="s">
        <v>769</v>
      </c>
      <c r="J266" s="50" t="s">
        <v>769</v>
      </c>
      <c r="K266" s="50" t="str">
        <f t="shared" ref="K266:K329" si="18">RIGHT(J266)</f>
        <v>D</v>
      </c>
      <c r="L266" s="50">
        <f t="shared" ref="L266:L329" si="19">(SUBSTITUTE(SUBSTITUTE(J266,"D","",1),"C","",1)+0)*IF(K266=F266,1,-1)</f>
        <v>120705.73</v>
      </c>
      <c r="M266" s="124"/>
      <c r="O266">
        <f>_xlfn.XLOOKUP(B266,'BALANCETE 2022'!B:B,'BALANCETE 2022'!J:J,0)</f>
        <v>0</v>
      </c>
    </row>
    <row r="267" spans="1:16" x14ac:dyDescent="0.3">
      <c r="A267" t="s">
        <v>770</v>
      </c>
      <c r="B267" t="s">
        <v>771</v>
      </c>
      <c r="C267">
        <f t="shared" si="16"/>
        <v>1</v>
      </c>
      <c r="D267" t="str">
        <f t="shared" si="17"/>
        <v>A</v>
      </c>
      <c r="E267" s="115" t="s">
        <v>772</v>
      </c>
      <c r="F267" t="s">
        <v>14</v>
      </c>
      <c r="G267" s="16">
        <v>0</v>
      </c>
      <c r="H267" s="50">
        <v>0</v>
      </c>
      <c r="I267" s="50" t="s">
        <v>772</v>
      </c>
      <c r="J267" s="50" t="s">
        <v>772</v>
      </c>
      <c r="K267" s="50" t="str">
        <f t="shared" si="18"/>
        <v>D</v>
      </c>
      <c r="L267" s="50">
        <f t="shared" si="19"/>
        <v>133637.76999999999</v>
      </c>
      <c r="M267" s="124"/>
      <c r="O267">
        <f>_xlfn.XLOOKUP(B267,'BALANCETE 2022'!B:B,'BALANCETE 2022'!J:J,0)</f>
        <v>0</v>
      </c>
    </row>
    <row r="268" spans="1:16" x14ac:dyDescent="0.3">
      <c r="A268" t="s">
        <v>773</v>
      </c>
      <c r="B268" t="s">
        <v>774</v>
      </c>
      <c r="C268">
        <f t="shared" si="16"/>
        <v>1</v>
      </c>
      <c r="D268" t="str">
        <f t="shared" si="17"/>
        <v>A</v>
      </c>
      <c r="E268" s="115" t="s">
        <v>775</v>
      </c>
      <c r="F268" t="s">
        <v>14</v>
      </c>
      <c r="G268" s="16">
        <v>0</v>
      </c>
      <c r="H268" s="50">
        <v>0</v>
      </c>
      <c r="I268" s="50" t="s">
        <v>775</v>
      </c>
      <c r="J268" s="50" t="s">
        <v>775</v>
      </c>
      <c r="K268" s="50" t="str">
        <f t="shared" si="18"/>
        <v>D</v>
      </c>
      <c r="L268" s="50">
        <f t="shared" si="19"/>
        <v>14324.91</v>
      </c>
      <c r="M268" s="124"/>
      <c r="O268">
        <f>_xlfn.XLOOKUP(B268,'BALANCETE 2022'!B:B,'BALANCETE 2022'!J:J,0)</f>
        <v>0</v>
      </c>
    </row>
    <row r="269" spans="1:16" x14ac:dyDescent="0.3">
      <c r="A269" t="s">
        <v>776</v>
      </c>
      <c r="B269" t="s">
        <v>777</v>
      </c>
      <c r="C269">
        <f t="shared" si="16"/>
        <v>1</v>
      </c>
      <c r="D269" t="str">
        <f t="shared" si="17"/>
        <v>A</v>
      </c>
      <c r="E269" s="115" t="s">
        <v>778</v>
      </c>
      <c r="F269" t="s">
        <v>14</v>
      </c>
      <c r="G269" s="16">
        <v>0</v>
      </c>
      <c r="H269" s="50">
        <v>0</v>
      </c>
      <c r="I269" s="50" t="s">
        <v>778</v>
      </c>
      <c r="J269" s="50" t="s">
        <v>778</v>
      </c>
      <c r="K269" s="50" t="str">
        <f t="shared" si="18"/>
        <v>D</v>
      </c>
      <c r="L269" s="50">
        <f t="shared" si="19"/>
        <v>222607.32</v>
      </c>
      <c r="M269" s="124"/>
      <c r="O269">
        <f>_xlfn.XLOOKUP(B269,'BALANCETE 2022'!B:B,'BALANCETE 2022'!J:J,0)</f>
        <v>0</v>
      </c>
    </row>
    <row r="270" spans="1:16" x14ac:dyDescent="0.3">
      <c r="A270" t="s">
        <v>779</v>
      </c>
      <c r="B270" t="s">
        <v>780</v>
      </c>
      <c r="C270">
        <f t="shared" si="16"/>
        <v>1</v>
      </c>
      <c r="D270" t="str">
        <f t="shared" si="17"/>
        <v>A</v>
      </c>
      <c r="E270" s="115" t="s">
        <v>781</v>
      </c>
      <c r="F270" t="s">
        <v>14</v>
      </c>
      <c r="G270" s="16">
        <v>0</v>
      </c>
      <c r="H270" s="50">
        <v>0</v>
      </c>
      <c r="I270" s="50" t="s">
        <v>781</v>
      </c>
      <c r="J270" s="50" t="s">
        <v>781</v>
      </c>
      <c r="K270" s="50" t="str">
        <f t="shared" si="18"/>
        <v>D</v>
      </c>
      <c r="L270" s="50">
        <f t="shared" si="19"/>
        <v>20020.900000000001</v>
      </c>
      <c r="M270" s="124"/>
      <c r="O270">
        <f>_xlfn.XLOOKUP(B270,'BALANCETE 2022'!B:B,'BALANCETE 2022'!J:J,0)</f>
        <v>0</v>
      </c>
    </row>
    <row r="271" spans="1:16" x14ac:dyDescent="0.3">
      <c r="A271" s="1" t="s">
        <v>782</v>
      </c>
      <c r="B271" s="1" t="s">
        <v>783</v>
      </c>
      <c r="C271" s="1">
        <f t="shared" si="16"/>
        <v>1</v>
      </c>
      <c r="D271" s="1" t="str">
        <f t="shared" si="17"/>
        <v>s</v>
      </c>
      <c r="E271" s="122" t="s">
        <v>784</v>
      </c>
      <c r="F271" s="1" t="s">
        <v>14</v>
      </c>
      <c r="G271" s="123">
        <v>0</v>
      </c>
      <c r="H271" s="121">
        <v>3202809.3</v>
      </c>
      <c r="I271" s="121" t="s">
        <v>25</v>
      </c>
      <c r="J271" s="121" t="s">
        <v>25</v>
      </c>
      <c r="K271" s="121" t="str">
        <f t="shared" si="18"/>
        <v>D</v>
      </c>
      <c r="L271" s="121">
        <f t="shared" si="19"/>
        <v>0</v>
      </c>
      <c r="N271" s="1"/>
      <c r="O271" s="1">
        <f>_xlfn.XLOOKUP(B271,'BALANCETE 2022'!B:B,'BALANCETE 2022'!J:J,0)</f>
        <v>0</v>
      </c>
      <c r="P271" s="1"/>
    </row>
    <row r="272" spans="1:16" x14ac:dyDescent="0.3">
      <c r="A272" t="s">
        <v>785</v>
      </c>
      <c r="B272" t="s">
        <v>786</v>
      </c>
      <c r="C272">
        <f t="shared" si="16"/>
        <v>1</v>
      </c>
      <c r="D272" t="str">
        <f t="shared" si="17"/>
        <v>A</v>
      </c>
      <c r="E272" s="115" t="s">
        <v>787</v>
      </c>
      <c r="F272" t="s">
        <v>14</v>
      </c>
      <c r="G272" s="16">
        <v>0</v>
      </c>
      <c r="H272" s="50">
        <v>798629.93</v>
      </c>
      <c r="I272" s="50" t="s">
        <v>788</v>
      </c>
      <c r="J272" s="50" t="s">
        <v>788</v>
      </c>
      <c r="K272" s="50" t="str">
        <f t="shared" si="18"/>
        <v>D</v>
      </c>
      <c r="L272" s="50">
        <f t="shared" si="19"/>
        <v>738439.71</v>
      </c>
      <c r="M272" s="124"/>
      <c r="O272">
        <f>_xlfn.XLOOKUP(B272,'BALANCETE 2022'!B:B,'BALANCETE 2022'!J:J,0)</f>
        <v>0</v>
      </c>
    </row>
    <row r="273" spans="1:16" x14ac:dyDescent="0.3">
      <c r="A273" t="s">
        <v>789</v>
      </c>
      <c r="B273" t="s">
        <v>790</v>
      </c>
      <c r="C273">
        <f t="shared" si="16"/>
        <v>1</v>
      </c>
      <c r="D273" t="str">
        <f t="shared" si="17"/>
        <v>A</v>
      </c>
      <c r="E273" s="115" t="s">
        <v>791</v>
      </c>
      <c r="F273" t="s">
        <v>14</v>
      </c>
      <c r="G273" s="16">
        <v>0</v>
      </c>
      <c r="H273" s="50">
        <v>137622.89000000001</v>
      </c>
      <c r="I273" s="50" t="s">
        <v>792</v>
      </c>
      <c r="J273" s="50" t="s">
        <v>792</v>
      </c>
      <c r="K273" s="50" t="str">
        <f t="shared" si="18"/>
        <v>D</v>
      </c>
      <c r="L273" s="50">
        <f t="shared" si="19"/>
        <v>127250.69</v>
      </c>
      <c r="M273" s="124"/>
      <c r="O273">
        <f>_xlfn.XLOOKUP(B273,'BALANCETE 2022'!B:B,'BALANCETE 2022'!J:J,0)</f>
        <v>0</v>
      </c>
    </row>
    <row r="274" spans="1:16" x14ac:dyDescent="0.3">
      <c r="A274" t="s">
        <v>793</v>
      </c>
      <c r="B274" t="s">
        <v>794</v>
      </c>
      <c r="C274">
        <f t="shared" si="16"/>
        <v>1</v>
      </c>
      <c r="D274" t="str">
        <f t="shared" si="17"/>
        <v>A</v>
      </c>
      <c r="E274" s="115" t="s">
        <v>795</v>
      </c>
      <c r="F274" t="s">
        <v>14</v>
      </c>
      <c r="G274" s="16">
        <v>0</v>
      </c>
      <c r="H274" s="50">
        <v>587558.81999999995</v>
      </c>
      <c r="I274" s="50" t="s">
        <v>796</v>
      </c>
      <c r="J274" s="50" t="s">
        <v>796</v>
      </c>
      <c r="K274" s="50" t="str">
        <f t="shared" si="18"/>
        <v>D</v>
      </c>
      <c r="L274" s="50">
        <f t="shared" si="19"/>
        <v>543276.38</v>
      </c>
      <c r="M274" s="124"/>
      <c r="O274">
        <f>_xlfn.XLOOKUP(B274,'BALANCETE 2022'!B:B,'BALANCETE 2022'!J:J,0)</f>
        <v>0</v>
      </c>
    </row>
    <row r="275" spans="1:16" x14ac:dyDescent="0.3">
      <c r="A275" t="s">
        <v>797</v>
      </c>
      <c r="B275" t="s">
        <v>798</v>
      </c>
      <c r="C275">
        <f t="shared" si="16"/>
        <v>1</v>
      </c>
      <c r="D275" t="str">
        <f t="shared" si="17"/>
        <v>A</v>
      </c>
      <c r="E275" s="115" t="s">
        <v>799</v>
      </c>
      <c r="F275" t="s">
        <v>14</v>
      </c>
      <c r="G275" s="16">
        <v>0</v>
      </c>
      <c r="H275" s="50">
        <v>467.62</v>
      </c>
      <c r="I275" s="50" t="s">
        <v>800</v>
      </c>
      <c r="J275" s="50" t="s">
        <v>800</v>
      </c>
      <c r="K275" s="50" t="str">
        <f t="shared" si="18"/>
        <v>D</v>
      </c>
      <c r="L275" s="50">
        <f t="shared" si="19"/>
        <v>432.38</v>
      </c>
      <c r="M275" s="124"/>
      <c r="O275">
        <f>_xlfn.XLOOKUP(B275,'BALANCETE 2022'!B:B,'BALANCETE 2022'!J:J,0)</f>
        <v>0</v>
      </c>
    </row>
    <row r="276" spans="1:16" x14ac:dyDescent="0.3">
      <c r="A276" t="s">
        <v>801</v>
      </c>
      <c r="B276" t="s">
        <v>802</v>
      </c>
      <c r="C276">
        <f t="shared" si="16"/>
        <v>1</v>
      </c>
      <c r="D276" t="str">
        <f t="shared" si="17"/>
        <v>A</v>
      </c>
      <c r="E276" s="115" t="s">
        <v>803</v>
      </c>
      <c r="F276" t="s">
        <v>14</v>
      </c>
      <c r="G276" s="16">
        <v>0</v>
      </c>
      <c r="H276" s="50">
        <v>139834.9</v>
      </c>
      <c r="I276" s="50" t="s">
        <v>804</v>
      </c>
      <c r="J276" s="50" t="s">
        <v>804</v>
      </c>
      <c r="K276" s="50" t="str">
        <f t="shared" si="18"/>
        <v>D</v>
      </c>
      <c r="L276" s="50">
        <f t="shared" si="19"/>
        <v>129295.98</v>
      </c>
      <c r="M276" s="124"/>
      <c r="O276">
        <f>_xlfn.XLOOKUP(B276,'BALANCETE 2022'!B:B,'BALANCETE 2022'!J:J,0)</f>
        <v>0</v>
      </c>
    </row>
    <row r="277" spans="1:16" x14ac:dyDescent="0.3">
      <c r="A277" t="s">
        <v>805</v>
      </c>
      <c r="B277" t="s">
        <v>806</v>
      </c>
      <c r="C277">
        <f t="shared" si="16"/>
        <v>1</v>
      </c>
      <c r="D277" t="str">
        <f t="shared" si="17"/>
        <v>A</v>
      </c>
      <c r="E277" s="115" t="s">
        <v>25</v>
      </c>
      <c r="F277" t="s">
        <v>416</v>
      </c>
      <c r="G277" s="16">
        <v>0</v>
      </c>
      <c r="H277" s="50">
        <v>738439.71</v>
      </c>
      <c r="I277" s="50" t="s">
        <v>807</v>
      </c>
      <c r="J277" s="50" t="s">
        <v>807</v>
      </c>
      <c r="K277" s="50" t="str">
        <f t="shared" si="18"/>
        <v>C</v>
      </c>
      <c r="L277" s="50">
        <f t="shared" si="19"/>
        <v>738439.71</v>
      </c>
      <c r="M277" s="124"/>
      <c r="O277">
        <f>_xlfn.XLOOKUP(B277,'BALANCETE 2022'!B:B,'BALANCETE 2022'!J:J,0)</f>
        <v>0</v>
      </c>
    </row>
    <row r="278" spans="1:16" x14ac:dyDescent="0.3">
      <c r="A278" t="s">
        <v>808</v>
      </c>
      <c r="B278" t="s">
        <v>809</v>
      </c>
      <c r="C278">
        <f t="shared" si="16"/>
        <v>1</v>
      </c>
      <c r="D278" t="str">
        <f t="shared" si="17"/>
        <v>A</v>
      </c>
      <c r="E278" s="115" t="s">
        <v>25</v>
      </c>
      <c r="F278" t="s">
        <v>416</v>
      </c>
      <c r="G278" s="16">
        <v>0</v>
      </c>
      <c r="H278" s="50">
        <v>127250.69</v>
      </c>
      <c r="I278" s="50" t="s">
        <v>810</v>
      </c>
      <c r="J278" s="50" t="s">
        <v>810</v>
      </c>
      <c r="K278" s="50" t="str">
        <f t="shared" si="18"/>
        <v>C</v>
      </c>
      <c r="L278" s="50">
        <f t="shared" si="19"/>
        <v>127250.69</v>
      </c>
      <c r="M278" s="124"/>
      <c r="O278">
        <f>_xlfn.XLOOKUP(B278,'BALANCETE 2022'!B:B,'BALANCETE 2022'!J:J,0)</f>
        <v>0</v>
      </c>
    </row>
    <row r="279" spans="1:16" x14ac:dyDescent="0.3">
      <c r="A279" t="s">
        <v>811</v>
      </c>
      <c r="B279" t="s">
        <v>812</v>
      </c>
      <c r="C279">
        <f t="shared" si="16"/>
        <v>1</v>
      </c>
      <c r="D279" t="str">
        <f t="shared" si="17"/>
        <v>A</v>
      </c>
      <c r="E279" s="115" t="s">
        <v>25</v>
      </c>
      <c r="F279" t="s">
        <v>416</v>
      </c>
      <c r="G279" s="16">
        <v>0</v>
      </c>
      <c r="H279" s="50">
        <v>543276.38</v>
      </c>
      <c r="I279" s="50" t="s">
        <v>813</v>
      </c>
      <c r="J279" s="50" t="s">
        <v>813</v>
      </c>
      <c r="K279" s="50" t="str">
        <f t="shared" si="18"/>
        <v>C</v>
      </c>
      <c r="L279" s="50">
        <f t="shared" si="19"/>
        <v>543276.38</v>
      </c>
      <c r="M279" s="124"/>
      <c r="O279">
        <f>_xlfn.XLOOKUP(B279,'BALANCETE 2022'!B:B,'BALANCETE 2022'!J:J,0)</f>
        <v>0</v>
      </c>
    </row>
    <row r="280" spans="1:16" x14ac:dyDescent="0.3">
      <c r="A280" t="s">
        <v>814</v>
      </c>
      <c r="B280" t="s">
        <v>815</v>
      </c>
      <c r="C280">
        <f t="shared" si="16"/>
        <v>1</v>
      </c>
      <c r="D280" t="str">
        <f t="shared" si="17"/>
        <v>A</v>
      </c>
      <c r="E280" s="115" t="s">
        <v>25</v>
      </c>
      <c r="F280" t="s">
        <v>416</v>
      </c>
      <c r="G280" s="16">
        <v>0</v>
      </c>
      <c r="H280" s="50">
        <v>432.38</v>
      </c>
      <c r="I280" s="50" t="s">
        <v>816</v>
      </c>
      <c r="J280" s="50" t="s">
        <v>816</v>
      </c>
      <c r="K280" s="50" t="str">
        <f t="shared" si="18"/>
        <v>C</v>
      </c>
      <c r="L280" s="50">
        <f t="shared" si="19"/>
        <v>432.38</v>
      </c>
      <c r="M280" s="124"/>
      <c r="O280">
        <f>_xlfn.XLOOKUP(B280,'BALANCETE 2022'!B:B,'BALANCETE 2022'!J:J,0)</f>
        <v>0</v>
      </c>
    </row>
    <row r="281" spans="1:16" x14ac:dyDescent="0.3">
      <c r="A281" t="s">
        <v>817</v>
      </c>
      <c r="B281" t="s">
        <v>818</v>
      </c>
      <c r="C281">
        <f t="shared" si="16"/>
        <v>1</v>
      </c>
      <c r="D281" t="str">
        <f t="shared" si="17"/>
        <v>A</v>
      </c>
      <c r="E281" s="115" t="s">
        <v>25</v>
      </c>
      <c r="F281" t="s">
        <v>416</v>
      </c>
      <c r="G281" s="16">
        <v>0</v>
      </c>
      <c r="H281" s="50">
        <v>129295.98</v>
      </c>
      <c r="I281" s="50" t="s">
        <v>819</v>
      </c>
      <c r="J281" s="50" t="s">
        <v>819</v>
      </c>
      <c r="K281" s="50" t="str">
        <f t="shared" si="18"/>
        <v>C</v>
      </c>
      <c r="L281" s="50">
        <f t="shared" si="19"/>
        <v>129295.98</v>
      </c>
      <c r="M281" s="124"/>
      <c r="O281">
        <f>_xlfn.XLOOKUP(B281,'BALANCETE 2022'!B:B,'BALANCETE 2022'!J:J,0)</f>
        <v>0</v>
      </c>
    </row>
    <row r="282" spans="1:16" x14ac:dyDescent="0.3">
      <c r="A282" s="1" t="s">
        <v>820</v>
      </c>
      <c r="B282" s="1" t="s">
        <v>821</v>
      </c>
      <c r="C282" s="1">
        <f t="shared" si="16"/>
        <v>1</v>
      </c>
      <c r="D282" s="1" t="str">
        <f t="shared" si="17"/>
        <v>s</v>
      </c>
      <c r="E282" s="122" t="s">
        <v>822</v>
      </c>
      <c r="F282" s="1" t="s">
        <v>14</v>
      </c>
      <c r="G282" s="123">
        <v>0</v>
      </c>
      <c r="H282" s="121">
        <v>0</v>
      </c>
      <c r="I282" s="121" t="s">
        <v>823</v>
      </c>
      <c r="J282" s="121" t="s">
        <v>823</v>
      </c>
      <c r="K282" s="121" t="str">
        <f t="shared" si="18"/>
        <v>D</v>
      </c>
      <c r="L282" s="121">
        <f t="shared" si="19"/>
        <v>32880.080000000002</v>
      </c>
      <c r="N282" s="1"/>
      <c r="O282" s="1">
        <f>_xlfn.XLOOKUP(B282,'BALANCETE 2022'!B:B,'BALANCETE 2022'!J:J,0)</f>
        <v>0</v>
      </c>
      <c r="P282" s="1"/>
    </row>
    <row r="283" spans="1:16" x14ac:dyDescent="0.3">
      <c r="A283" t="s">
        <v>824</v>
      </c>
      <c r="B283" t="s">
        <v>825</v>
      </c>
      <c r="C283">
        <f t="shared" si="16"/>
        <v>1</v>
      </c>
      <c r="D283" t="str">
        <f t="shared" si="17"/>
        <v>A</v>
      </c>
      <c r="E283" s="115" t="s">
        <v>826</v>
      </c>
      <c r="F283" t="s">
        <v>14</v>
      </c>
      <c r="G283" s="16">
        <v>0</v>
      </c>
      <c r="H283" s="50">
        <v>0</v>
      </c>
      <c r="I283" s="50" t="s">
        <v>826</v>
      </c>
      <c r="J283" s="50" t="s">
        <v>826</v>
      </c>
      <c r="K283" s="50" t="str">
        <f t="shared" si="18"/>
        <v>D</v>
      </c>
      <c r="L283" s="50">
        <f t="shared" si="19"/>
        <v>8945.5</v>
      </c>
      <c r="M283" s="124"/>
      <c r="O283">
        <f>_xlfn.XLOOKUP(B283,'BALANCETE 2022'!B:B,'BALANCETE 2022'!J:J,0)</f>
        <v>0</v>
      </c>
    </row>
    <row r="284" spans="1:16" x14ac:dyDescent="0.3">
      <c r="A284" t="s">
        <v>827</v>
      </c>
      <c r="B284" t="s">
        <v>828</v>
      </c>
      <c r="C284">
        <f t="shared" si="16"/>
        <v>1</v>
      </c>
      <c r="D284" t="str">
        <f t="shared" si="17"/>
        <v>A</v>
      </c>
      <c r="E284" s="115" t="s">
        <v>829</v>
      </c>
      <c r="F284" t="s">
        <v>14</v>
      </c>
      <c r="G284" s="16">
        <v>0</v>
      </c>
      <c r="H284" s="50">
        <v>0</v>
      </c>
      <c r="I284" s="50" t="s">
        <v>829</v>
      </c>
      <c r="J284" s="50" t="s">
        <v>829</v>
      </c>
      <c r="K284" s="50" t="str">
        <f t="shared" si="18"/>
        <v>D</v>
      </c>
      <c r="L284" s="50">
        <f t="shared" si="19"/>
        <v>19674.09</v>
      </c>
      <c r="M284" s="124"/>
      <c r="O284">
        <f>_xlfn.XLOOKUP(B284,'BALANCETE 2022'!B:B,'BALANCETE 2022'!J:J,0)</f>
        <v>0</v>
      </c>
    </row>
    <row r="285" spans="1:16" x14ac:dyDescent="0.3">
      <c r="A285" t="s">
        <v>830</v>
      </c>
      <c r="B285" t="s">
        <v>831</v>
      </c>
      <c r="C285">
        <f t="shared" si="16"/>
        <v>1</v>
      </c>
      <c r="D285" t="str">
        <f t="shared" si="17"/>
        <v>A</v>
      </c>
      <c r="E285" s="115" t="s">
        <v>832</v>
      </c>
      <c r="F285" t="s">
        <v>14</v>
      </c>
      <c r="G285" s="16">
        <v>0</v>
      </c>
      <c r="H285" s="50">
        <v>0</v>
      </c>
      <c r="I285" s="50" t="s">
        <v>832</v>
      </c>
      <c r="J285" s="50" t="s">
        <v>832</v>
      </c>
      <c r="K285" s="50" t="str">
        <f t="shared" si="18"/>
        <v>D</v>
      </c>
      <c r="L285" s="50">
        <f t="shared" si="19"/>
        <v>4260.49</v>
      </c>
      <c r="M285" s="124"/>
      <c r="O285">
        <f>_xlfn.XLOOKUP(B285,'BALANCETE 2022'!B:B,'BALANCETE 2022'!J:J,0)</f>
        <v>0</v>
      </c>
    </row>
    <row r="286" spans="1:16" x14ac:dyDescent="0.3">
      <c r="A286" s="1" t="s">
        <v>833</v>
      </c>
      <c r="B286" s="1" t="s">
        <v>834</v>
      </c>
      <c r="C286" s="1">
        <f t="shared" si="16"/>
        <v>1</v>
      </c>
      <c r="D286" s="1" t="str">
        <f t="shared" si="17"/>
        <v>s</v>
      </c>
      <c r="E286" s="122" t="s">
        <v>835</v>
      </c>
      <c r="F286" s="1" t="s">
        <v>14</v>
      </c>
      <c r="G286" s="123">
        <v>0</v>
      </c>
      <c r="H286" s="121">
        <v>0</v>
      </c>
      <c r="I286" s="121" t="s">
        <v>836</v>
      </c>
      <c r="J286" s="121" t="s">
        <v>836</v>
      </c>
      <c r="K286" s="121" t="str">
        <f t="shared" si="18"/>
        <v>D</v>
      </c>
      <c r="L286" s="121">
        <f t="shared" si="19"/>
        <v>788886.11</v>
      </c>
      <c r="N286" s="1"/>
      <c r="O286" s="1">
        <f>_xlfn.XLOOKUP(B286,'BALANCETE 2022'!B:B,'BALANCETE 2022'!J:J,0)</f>
        <v>0</v>
      </c>
      <c r="P286" s="1"/>
    </row>
    <row r="287" spans="1:16" x14ac:dyDescent="0.3">
      <c r="A287" t="s">
        <v>837</v>
      </c>
      <c r="B287" t="s">
        <v>838</v>
      </c>
      <c r="C287">
        <f t="shared" si="16"/>
        <v>1</v>
      </c>
      <c r="D287" t="str">
        <f t="shared" si="17"/>
        <v>A</v>
      </c>
      <c r="E287" s="115" t="s">
        <v>836</v>
      </c>
      <c r="F287" t="s">
        <v>14</v>
      </c>
      <c r="G287" s="16">
        <v>0</v>
      </c>
      <c r="H287" s="50">
        <v>0</v>
      </c>
      <c r="I287" s="50" t="s">
        <v>836</v>
      </c>
      <c r="J287" s="50" t="s">
        <v>836</v>
      </c>
      <c r="K287" s="50" t="str">
        <f t="shared" si="18"/>
        <v>D</v>
      </c>
      <c r="L287" s="50">
        <f t="shared" si="19"/>
        <v>788886.11</v>
      </c>
      <c r="M287" s="124"/>
      <c r="O287">
        <f>_xlfn.XLOOKUP(B287,'BALANCETE 2022'!B:B,'BALANCETE 2022'!J:J,0)</f>
        <v>0</v>
      </c>
    </row>
    <row r="288" spans="1:16" x14ac:dyDescent="0.3">
      <c r="A288" s="1" t="s">
        <v>839</v>
      </c>
      <c r="B288" s="1" t="s">
        <v>840</v>
      </c>
      <c r="C288" s="1">
        <f t="shared" si="16"/>
        <v>1</v>
      </c>
      <c r="D288" s="1" t="str">
        <f t="shared" si="17"/>
        <v>s</v>
      </c>
      <c r="E288" s="122" t="s">
        <v>841</v>
      </c>
      <c r="F288" s="1" t="s">
        <v>14</v>
      </c>
      <c r="G288" s="123">
        <v>0</v>
      </c>
      <c r="H288" s="121">
        <v>0</v>
      </c>
      <c r="I288" s="121" t="s">
        <v>842</v>
      </c>
      <c r="J288" s="121" t="s">
        <v>842</v>
      </c>
      <c r="K288" s="121" t="str">
        <f t="shared" si="18"/>
        <v>D</v>
      </c>
      <c r="L288" s="121">
        <f t="shared" si="19"/>
        <v>641310.31000000006</v>
      </c>
      <c r="N288" s="1"/>
      <c r="O288" s="1">
        <f>_xlfn.XLOOKUP(B288,'BALANCETE 2022'!B:B,'BALANCETE 2022'!J:J,0)</f>
        <v>0</v>
      </c>
      <c r="P288" s="1"/>
    </row>
    <row r="289" spans="1:16" x14ac:dyDescent="0.3">
      <c r="A289" t="s">
        <v>843</v>
      </c>
      <c r="B289" t="s">
        <v>844</v>
      </c>
      <c r="C289">
        <f t="shared" si="16"/>
        <v>1</v>
      </c>
      <c r="D289" t="str">
        <f t="shared" si="17"/>
        <v>A</v>
      </c>
      <c r="E289" s="115" t="s">
        <v>845</v>
      </c>
      <c r="F289" t="s">
        <v>14</v>
      </c>
      <c r="G289" s="16">
        <v>0</v>
      </c>
      <c r="H289" s="50">
        <v>0</v>
      </c>
      <c r="I289" s="50" t="s">
        <v>845</v>
      </c>
      <c r="J289" s="50" t="s">
        <v>845</v>
      </c>
      <c r="K289" s="50" t="str">
        <f t="shared" si="18"/>
        <v>D</v>
      </c>
      <c r="L289" s="50">
        <f t="shared" si="19"/>
        <v>223286.58</v>
      </c>
      <c r="M289" s="124"/>
      <c r="O289">
        <f>_xlfn.XLOOKUP(B289,'BALANCETE 2022'!B:B,'BALANCETE 2022'!J:J,0)</f>
        <v>0</v>
      </c>
    </row>
    <row r="290" spans="1:16" x14ac:dyDescent="0.3">
      <c r="A290" t="s">
        <v>846</v>
      </c>
      <c r="B290" t="s">
        <v>847</v>
      </c>
      <c r="C290">
        <f t="shared" si="16"/>
        <v>1</v>
      </c>
      <c r="D290" t="str">
        <f t="shared" si="17"/>
        <v>A</v>
      </c>
      <c r="E290" s="115" t="s">
        <v>848</v>
      </c>
      <c r="F290" t="s">
        <v>14</v>
      </c>
      <c r="G290" s="16">
        <v>0</v>
      </c>
      <c r="H290" s="50">
        <v>0</v>
      </c>
      <c r="I290" s="50" t="s">
        <v>848</v>
      </c>
      <c r="J290" s="50" t="s">
        <v>848</v>
      </c>
      <c r="K290" s="50" t="str">
        <f t="shared" si="18"/>
        <v>D</v>
      </c>
      <c r="L290" s="50">
        <f t="shared" si="19"/>
        <v>13732.65</v>
      </c>
      <c r="M290" s="124"/>
      <c r="O290">
        <f>_xlfn.XLOOKUP(B290,'BALANCETE 2022'!B:B,'BALANCETE 2022'!J:J,0)</f>
        <v>0</v>
      </c>
    </row>
    <row r="291" spans="1:16" x14ac:dyDescent="0.3">
      <c r="A291" t="s">
        <v>849</v>
      </c>
      <c r="B291" t="s">
        <v>850</v>
      </c>
      <c r="C291">
        <f t="shared" si="16"/>
        <v>1</v>
      </c>
      <c r="D291" t="str">
        <f t="shared" si="17"/>
        <v>A</v>
      </c>
      <c r="E291" s="115" t="s">
        <v>851</v>
      </c>
      <c r="F291" t="s">
        <v>14</v>
      </c>
      <c r="G291" s="16">
        <v>0</v>
      </c>
      <c r="H291" s="50">
        <v>0</v>
      </c>
      <c r="I291" s="50" t="s">
        <v>851</v>
      </c>
      <c r="J291" s="50" t="s">
        <v>851</v>
      </c>
      <c r="K291" s="50" t="str">
        <f t="shared" si="18"/>
        <v>D</v>
      </c>
      <c r="L291" s="50">
        <f t="shared" si="19"/>
        <v>630.28</v>
      </c>
      <c r="M291" s="124"/>
      <c r="O291">
        <f>_xlfn.XLOOKUP(B291,'BALANCETE 2022'!B:B,'BALANCETE 2022'!J:J,0)</f>
        <v>0</v>
      </c>
    </row>
    <row r="292" spans="1:16" x14ac:dyDescent="0.3">
      <c r="A292" t="s">
        <v>852</v>
      </c>
      <c r="B292" t="s">
        <v>853</v>
      </c>
      <c r="C292">
        <f t="shared" si="16"/>
        <v>1</v>
      </c>
      <c r="D292" t="str">
        <f t="shared" si="17"/>
        <v>A</v>
      </c>
      <c r="E292" s="115" t="s">
        <v>854</v>
      </c>
      <c r="F292" t="s">
        <v>14</v>
      </c>
      <c r="G292" s="16">
        <v>0</v>
      </c>
      <c r="H292" s="50">
        <v>0</v>
      </c>
      <c r="I292" s="50" t="s">
        <v>854</v>
      </c>
      <c r="J292" s="50" t="s">
        <v>854</v>
      </c>
      <c r="K292" s="50" t="str">
        <f t="shared" si="18"/>
        <v>D</v>
      </c>
      <c r="L292" s="50">
        <f t="shared" si="19"/>
        <v>400252.21</v>
      </c>
      <c r="M292" s="124"/>
      <c r="O292">
        <f>_xlfn.XLOOKUP(B292,'BALANCETE 2022'!B:B,'BALANCETE 2022'!J:J,0)</f>
        <v>0</v>
      </c>
    </row>
    <row r="293" spans="1:16" x14ac:dyDescent="0.3">
      <c r="A293" t="s">
        <v>855</v>
      </c>
      <c r="B293" t="s">
        <v>856</v>
      </c>
      <c r="C293">
        <f t="shared" si="16"/>
        <v>1</v>
      </c>
      <c r="D293" t="str">
        <f t="shared" si="17"/>
        <v>A</v>
      </c>
      <c r="E293" s="115" t="s">
        <v>857</v>
      </c>
      <c r="F293" t="s">
        <v>14</v>
      </c>
      <c r="G293" s="16">
        <v>0</v>
      </c>
      <c r="H293" s="50">
        <v>0</v>
      </c>
      <c r="I293" s="50" t="s">
        <v>857</v>
      </c>
      <c r="J293" s="50" t="s">
        <v>857</v>
      </c>
      <c r="K293" s="50" t="str">
        <f t="shared" si="18"/>
        <v>D</v>
      </c>
      <c r="L293" s="50">
        <f t="shared" si="19"/>
        <v>3408.59</v>
      </c>
      <c r="M293" s="124"/>
      <c r="O293">
        <f>_xlfn.XLOOKUP(B293,'BALANCETE 2022'!B:B,'BALANCETE 2022'!J:J,0)</f>
        <v>0</v>
      </c>
    </row>
    <row r="294" spans="1:16" x14ac:dyDescent="0.3">
      <c r="A294" s="1" t="s">
        <v>858</v>
      </c>
      <c r="B294" s="1" t="s">
        <v>859</v>
      </c>
      <c r="C294" s="1">
        <f t="shared" si="16"/>
        <v>1</v>
      </c>
      <c r="D294" s="1" t="str">
        <f t="shared" si="17"/>
        <v>s</v>
      </c>
      <c r="E294" s="122" t="s">
        <v>860</v>
      </c>
      <c r="F294" s="1" t="s">
        <v>14</v>
      </c>
      <c r="G294" s="123">
        <v>0</v>
      </c>
      <c r="H294" s="121">
        <v>0</v>
      </c>
      <c r="I294" s="121" t="s">
        <v>861</v>
      </c>
      <c r="J294" s="121" t="s">
        <v>861</v>
      </c>
      <c r="K294" s="121" t="str">
        <f t="shared" si="18"/>
        <v>D</v>
      </c>
      <c r="L294" s="121">
        <f t="shared" si="19"/>
        <v>337165.95</v>
      </c>
      <c r="N294" s="1"/>
      <c r="O294" s="1">
        <f>_xlfn.XLOOKUP(B294,'BALANCETE 2022'!B:B,'BALANCETE 2022'!J:J,0)</f>
        <v>0</v>
      </c>
      <c r="P294" s="1"/>
    </row>
    <row r="295" spans="1:16" x14ac:dyDescent="0.3">
      <c r="A295" t="s">
        <v>862</v>
      </c>
      <c r="B295" t="s">
        <v>863</v>
      </c>
      <c r="C295">
        <f t="shared" si="16"/>
        <v>1</v>
      </c>
      <c r="D295" t="str">
        <f t="shared" si="17"/>
        <v>A</v>
      </c>
      <c r="E295" s="115" t="s">
        <v>864</v>
      </c>
      <c r="F295" t="s">
        <v>14</v>
      </c>
      <c r="G295" s="16">
        <v>0</v>
      </c>
      <c r="H295" s="50">
        <v>0</v>
      </c>
      <c r="I295" s="50" t="s">
        <v>864</v>
      </c>
      <c r="J295" s="50" t="s">
        <v>864</v>
      </c>
      <c r="K295" s="50" t="str">
        <f t="shared" si="18"/>
        <v>D</v>
      </c>
      <c r="L295" s="50">
        <f t="shared" si="19"/>
        <v>5210.63</v>
      </c>
      <c r="M295" s="124"/>
      <c r="O295">
        <f>_xlfn.XLOOKUP(B295,'BALANCETE 2022'!B:B,'BALANCETE 2022'!J:J,0)</f>
        <v>0</v>
      </c>
    </row>
    <row r="296" spans="1:16" x14ac:dyDescent="0.3">
      <c r="A296" t="s">
        <v>865</v>
      </c>
      <c r="B296" t="s">
        <v>866</v>
      </c>
      <c r="C296">
        <f t="shared" si="16"/>
        <v>1</v>
      </c>
      <c r="D296" t="str">
        <f t="shared" si="17"/>
        <v>A</v>
      </c>
      <c r="E296" s="115" t="s">
        <v>867</v>
      </c>
      <c r="F296" t="s">
        <v>14</v>
      </c>
      <c r="G296" s="16">
        <v>0</v>
      </c>
      <c r="H296" s="50">
        <v>0</v>
      </c>
      <c r="I296" s="50" t="s">
        <v>867</v>
      </c>
      <c r="J296" s="50" t="s">
        <v>867</v>
      </c>
      <c r="K296" s="50" t="str">
        <f t="shared" si="18"/>
        <v>D</v>
      </c>
      <c r="L296" s="50">
        <f t="shared" si="19"/>
        <v>490</v>
      </c>
      <c r="M296" s="124"/>
      <c r="O296">
        <f>_xlfn.XLOOKUP(B296,'BALANCETE 2022'!B:B,'BALANCETE 2022'!J:J,0)</f>
        <v>0</v>
      </c>
    </row>
    <row r="297" spans="1:16" x14ac:dyDescent="0.3">
      <c r="A297" t="s">
        <v>868</v>
      </c>
      <c r="B297" t="s">
        <v>869</v>
      </c>
      <c r="C297">
        <f t="shared" si="16"/>
        <v>1</v>
      </c>
      <c r="D297" t="str">
        <f t="shared" si="17"/>
        <v>A</v>
      </c>
      <c r="E297" s="115" t="s">
        <v>870</v>
      </c>
      <c r="F297" t="s">
        <v>14</v>
      </c>
      <c r="G297" s="16">
        <v>0</v>
      </c>
      <c r="H297" s="50">
        <v>0</v>
      </c>
      <c r="I297" s="50" t="s">
        <v>870</v>
      </c>
      <c r="J297" s="50" t="s">
        <v>870</v>
      </c>
      <c r="K297" s="50" t="str">
        <f t="shared" si="18"/>
        <v>D</v>
      </c>
      <c r="L297" s="50">
        <f t="shared" si="19"/>
        <v>331465.32</v>
      </c>
      <c r="M297" s="124"/>
      <c r="O297">
        <f>_xlfn.XLOOKUP(B297,'BALANCETE 2022'!B:B,'BALANCETE 2022'!J:J,0)</f>
        <v>0</v>
      </c>
    </row>
    <row r="298" spans="1:16" x14ac:dyDescent="0.3">
      <c r="A298" s="1" t="s">
        <v>871</v>
      </c>
      <c r="B298" s="1" t="s">
        <v>872</v>
      </c>
      <c r="C298" s="1">
        <f t="shared" si="16"/>
        <v>1</v>
      </c>
      <c r="D298" s="1" t="str">
        <f t="shared" si="17"/>
        <v>s</v>
      </c>
      <c r="E298" s="122" t="s">
        <v>873</v>
      </c>
      <c r="F298" s="1" t="s">
        <v>14</v>
      </c>
      <c r="G298" s="123">
        <v>0</v>
      </c>
      <c r="H298" s="121">
        <v>0</v>
      </c>
      <c r="I298" s="121" t="s">
        <v>874</v>
      </c>
      <c r="J298" s="121" t="s">
        <v>874</v>
      </c>
      <c r="K298" s="121" t="str">
        <f t="shared" si="18"/>
        <v>D</v>
      </c>
      <c r="L298" s="121">
        <f t="shared" si="19"/>
        <v>4569.91</v>
      </c>
      <c r="N298" s="1"/>
      <c r="O298" s="1">
        <f>_xlfn.XLOOKUP(B298,'BALANCETE 2022'!B:B,'BALANCETE 2022'!J:J,0)</f>
        <v>0</v>
      </c>
      <c r="P298" s="1"/>
    </row>
    <row r="299" spans="1:16" x14ac:dyDescent="0.3">
      <c r="A299" t="s">
        <v>875</v>
      </c>
      <c r="B299" t="s">
        <v>876</v>
      </c>
      <c r="C299">
        <f t="shared" si="16"/>
        <v>1</v>
      </c>
      <c r="D299" t="str">
        <f t="shared" si="17"/>
        <v>A</v>
      </c>
      <c r="E299" s="115" t="s">
        <v>874</v>
      </c>
      <c r="F299" t="s">
        <v>14</v>
      </c>
      <c r="G299" s="16">
        <v>0</v>
      </c>
      <c r="H299" s="50">
        <v>0</v>
      </c>
      <c r="I299" s="50" t="s">
        <v>874</v>
      </c>
      <c r="J299" s="50" t="s">
        <v>874</v>
      </c>
      <c r="K299" s="50" t="str">
        <f t="shared" si="18"/>
        <v>D</v>
      </c>
      <c r="L299" s="50">
        <f t="shared" si="19"/>
        <v>4569.91</v>
      </c>
      <c r="M299" s="124"/>
      <c r="O299">
        <f>_xlfn.XLOOKUP(B299,'BALANCETE 2022'!B:B,'BALANCETE 2022'!J:J,0)</f>
        <v>0</v>
      </c>
    </row>
    <row r="300" spans="1:16" x14ac:dyDescent="0.3">
      <c r="A300" s="1" t="s">
        <v>877</v>
      </c>
      <c r="B300" s="1" t="s">
        <v>878</v>
      </c>
      <c r="C300" s="1">
        <f t="shared" si="16"/>
        <v>1</v>
      </c>
      <c r="D300" s="1" t="str">
        <f t="shared" si="17"/>
        <v>s</v>
      </c>
      <c r="E300" s="122" t="s">
        <v>879</v>
      </c>
      <c r="F300" s="1" t="s">
        <v>416</v>
      </c>
      <c r="G300" s="123">
        <v>7351122.0700000003</v>
      </c>
      <c r="H300" s="121">
        <v>643474.48</v>
      </c>
      <c r="I300" s="121" t="s">
        <v>880</v>
      </c>
      <c r="J300" s="121" t="s">
        <v>880</v>
      </c>
      <c r="K300" s="121" t="str">
        <f t="shared" si="18"/>
        <v>C</v>
      </c>
      <c r="L300" s="121">
        <f t="shared" si="19"/>
        <v>20397224.359999999</v>
      </c>
      <c r="N300" s="1"/>
      <c r="O300" s="1">
        <f>_xlfn.XLOOKUP(B300,'BALANCETE 2022'!B:B,'BALANCETE 2022'!J:J,0)</f>
        <v>0</v>
      </c>
      <c r="P300" s="1"/>
    </row>
    <row r="301" spans="1:16" x14ac:dyDescent="0.3">
      <c r="A301" t="s">
        <v>881</v>
      </c>
      <c r="B301" t="s">
        <v>882</v>
      </c>
      <c r="C301">
        <f t="shared" si="16"/>
        <v>1</v>
      </c>
      <c r="D301" t="str">
        <f t="shared" si="17"/>
        <v>A</v>
      </c>
      <c r="E301" s="115" t="s">
        <v>883</v>
      </c>
      <c r="F301" t="s">
        <v>416</v>
      </c>
      <c r="G301" s="16">
        <v>5648414.71</v>
      </c>
      <c r="H301" s="50">
        <v>551847.44999999995</v>
      </c>
      <c r="I301" s="50" t="s">
        <v>884</v>
      </c>
      <c r="J301" s="50" t="s">
        <v>884</v>
      </c>
      <c r="K301" s="50" t="str">
        <f t="shared" si="18"/>
        <v>C</v>
      </c>
      <c r="L301" s="50">
        <f t="shared" si="19"/>
        <v>0</v>
      </c>
      <c r="M301" s="124"/>
      <c r="O301">
        <f>_xlfn.XLOOKUP(B301,'BALANCETE 2022'!B:B,'BALANCETE 2022'!J:J,0)</f>
        <v>0</v>
      </c>
    </row>
    <row r="302" spans="1:16" x14ac:dyDescent="0.3">
      <c r="A302" t="s">
        <v>885</v>
      </c>
      <c r="B302" t="s">
        <v>886</v>
      </c>
      <c r="C302">
        <f t="shared" si="16"/>
        <v>1</v>
      </c>
      <c r="D302" t="str">
        <f t="shared" si="17"/>
        <v>A</v>
      </c>
      <c r="E302" s="115" t="s">
        <v>887</v>
      </c>
      <c r="F302" t="s">
        <v>416</v>
      </c>
      <c r="G302" s="16">
        <v>0</v>
      </c>
      <c r="H302" s="50">
        <v>54.76</v>
      </c>
      <c r="I302" s="50" t="s">
        <v>888</v>
      </c>
      <c r="J302" s="50" t="s">
        <v>888</v>
      </c>
      <c r="K302" s="50" t="str">
        <f t="shared" si="18"/>
        <v>C</v>
      </c>
      <c r="L302" s="50">
        <f t="shared" si="19"/>
        <v>18334817.109999999</v>
      </c>
      <c r="M302" s="124"/>
      <c r="O302">
        <f>_xlfn.XLOOKUP(B302,'BALANCETE 2022'!B:B,'BALANCETE 2022'!J:J,0)</f>
        <v>0</v>
      </c>
    </row>
    <row r="303" spans="1:16" x14ac:dyDescent="0.3">
      <c r="A303" t="s">
        <v>889</v>
      </c>
      <c r="B303" t="s">
        <v>890</v>
      </c>
      <c r="C303">
        <f t="shared" si="16"/>
        <v>1</v>
      </c>
      <c r="D303" t="str">
        <f t="shared" si="17"/>
        <v>A</v>
      </c>
      <c r="E303" s="115" t="s">
        <v>891</v>
      </c>
      <c r="F303" t="s">
        <v>416</v>
      </c>
      <c r="G303" s="16">
        <v>38593.199999999997</v>
      </c>
      <c r="H303" s="50">
        <v>38593.199999999997</v>
      </c>
      <c r="I303" s="50" t="s">
        <v>891</v>
      </c>
      <c r="J303" s="50" t="s">
        <v>891</v>
      </c>
      <c r="K303" s="50" t="str">
        <f t="shared" si="18"/>
        <v>C</v>
      </c>
      <c r="L303" s="50">
        <f t="shared" si="19"/>
        <v>511296.63</v>
      </c>
      <c r="M303" s="124"/>
      <c r="O303">
        <f>_xlfn.XLOOKUP(B303,'BALANCETE 2022'!B:B,'BALANCETE 2022'!J:J,0)</f>
        <v>0</v>
      </c>
    </row>
    <row r="304" spans="1:16" x14ac:dyDescent="0.3">
      <c r="A304" t="s">
        <v>892</v>
      </c>
      <c r="B304" t="s">
        <v>893</v>
      </c>
      <c r="C304">
        <f t="shared" si="16"/>
        <v>1</v>
      </c>
      <c r="D304" t="str">
        <f t="shared" si="17"/>
        <v>A</v>
      </c>
      <c r="E304" s="115" t="s">
        <v>894</v>
      </c>
      <c r="F304" t="s">
        <v>416</v>
      </c>
      <c r="G304" s="16">
        <v>1664114.16</v>
      </c>
      <c r="H304" s="50">
        <v>48526.05</v>
      </c>
      <c r="I304" s="50" t="s">
        <v>884</v>
      </c>
      <c r="J304" s="50" t="s">
        <v>884</v>
      </c>
      <c r="K304" s="50" t="str">
        <f t="shared" si="18"/>
        <v>C</v>
      </c>
      <c r="L304" s="50">
        <f t="shared" si="19"/>
        <v>0</v>
      </c>
      <c r="M304" s="124"/>
      <c r="O304">
        <f>_xlfn.XLOOKUP(B304,'BALANCETE 2022'!B:B,'BALANCETE 2022'!J:J,0)</f>
        <v>0</v>
      </c>
    </row>
    <row r="305" spans="1:16" x14ac:dyDescent="0.3">
      <c r="A305" t="s">
        <v>895</v>
      </c>
      <c r="B305" t="s">
        <v>896</v>
      </c>
      <c r="C305">
        <f t="shared" si="16"/>
        <v>1</v>
      </c>
      <c r="D305" t="str">
        <f t="shared" si="17"/>
        <v>A</v>
      </c>
      <c r="E305" s="115" t="s">
        <v>897</v>
      </c>
      <c r="F305" t="s">
        <v>416</v>
      </c>
      <c r="G305" s="16">
        <v>0</v>
      </c>
      <c r="H305" s="50">
        <v>4453.0200000000004</v>
      </c>
      <c r="I305" s="50" t="s">
        <v>898</v>
      </c>
      <c r="J305" s="50" t="s">
        <v>898</v>
      </c>
      <c r="K305" s="50" t="str">
        <f t="shared" si="18"/>
        <v>C</v>
      </c>
      <c r="L305" s="50">
        <f t="shared" si="19"/>
        <v>21248.27</v>
      </c>
      <c r="M305" s="124"/>
      <c r="O305">
        <f>_xlfn.XLOOKUP(B305,'BALANCETE 2022'!B:B,'BALANCETE 2022'!J:J,0)</f>
        <v>0</v>
      </c>
    </row>
    <row r="306" spans="1:16" x14ac:dyDescent="0.3">
      <c r="A306" t="s">
        <v>899</v>
      </c>
      <c r="B306" t="s">
        <v>900</v>
      </c>
      <c r="C306">
        <f t="shared" si="16"/>
        <v>1</v>
      </c>
      <c r="D306" t="str">
        <f t="shared" si="17"/>
        <v>A</v>
      </c>
      <c r="E306" s="115" t="s">
        <v>901</v>
      </c>
      <c r="F306" t="s">
        <v>416</v>
      </c>
      <c r="G306" s="16">
        <v>0</v>
      </c>
      <c r="H306" s="50">
        <v>0</v>
      </c>
      <c r="I306" s="50" t="s">
        <v>901</v>
      </c>
      <c r="J306" s="50" t="s">
        <v>901</v>
      </c>
      <c r="K306" s="50" t="str">
        <f t="shared" si="18"/>
        <v>C</v>
      </c>
      <c r="L306" s="50">
        <f t="shared" si="19"/>
        <v>788886.11</v>
      </c>
      <c r="M306" s="124"/>
      <c r="O306">
        <f>_xlfn.XLOOKUP(B306,'BALANCETE 2022'!B:B,'BALANCETE 2022'!J:J,0)</f>
        <v>0</v>
      </c>
    </row>
    <row r="307" spans="1:16" x14ac:dyDescent="0.3">
      <c r="A307" t="s">
        <v>902</v>
      </c>
      <c r="B307" t="s">
        <v>903</v>
      </c>
      <c r="C307">
        <f t="shared" si="16"/>
        <v>1</v>
      </c>
      <c r="D307" t="str">
        <f t="shared" si="17"/>
        <v>A</v>
      </c>
      <c r="E307" s="115" t="s">
        <v>904</v>
      </c>
      <c r="F307" t="s">
        <v>416</v>
      </c>
      <c r="G307" s="16">
        <v>0</v>
      </c>
      <c r="H307" s="50">
        <v>0</v>
      </c>
      <c r="I307" s="50" t="s">
        <v>904</v>
      </c>
      <c r="J307" s="50" t="s">
        <v>904</v>
      </c>
      <c r="K307" s="50" t="str">
        <f t="shared" si="18"/>
        <v>C</v>
      </c>
      <c r="L307" s="50">
        <f t="shared" si="19"/>
        <v>641310.31000000006</v>
      </c>
      <c r="M307" s="124"/>
      <c r="O307">
        <f>_xlfn.XLOOKUP(B307,'BALANCETE 2022'!B:B,'BALANCETE 2022'!J:J,0)</f>
        <v>0</v>
      </c>
    </row>
    <row r="308" spans="1:16" x14ac:dyDescent="0.3">
      <c r="A308" t="s">
        <v>905</v>
      </c>
      <c r="B308" t="s">
        <v>906</v>
      </c>
      <c r="C308">
        <f t="shared" si="16"/>
        <v>1</v>
      </c>
      <c r="D308" t="str">
        <f t="shared" si="17"/>
        <v>A</v>
      </c>
      <c r="E308" s="115" t="s">
        <v>907</v>
      </c>
      <c r="F308" t="s">
        <v>416</v>
      </c>
      <c r="G308" s="16">
        <v>0</v>
      </c>
      <c r="H308" s="50">
        <v>0</v>
      </c>
      <c r="I308" s="50" t="s">
        <v>907</v>
      </c>
      <c r="J308" s="50" t="s">
        <v>907</v>
      </c>
      <c r="K308" s="50" t="str">
        <f t="shared" si="18"/>
        <v>C</v>
      </c>
      <c r="L308" s="50">
        <f t="shared" si="19"/>
        <v>99665.93</v>
      </c>
      <c r="M308" s="124"/>
      <c r="O308">
        <f>_xlfn.XLOOKUP(B308,'BALANCETE 2022'!B:B,'BALANCETE 2022'!J:J,0)</f>
        <v>0</v>
      </c>
    </row>
    <row r="309" spans="1:16" x14ac:dyDescent="0.3">
      <c r="A309" s="51" t="s">
        <v>908</v>
      </c>
      <c r="B309" s="51" t="s">
        <v>909</v>
      </c>
      <c r="C309" s="51">
        <f t="shared" si="16"/>
        <v>2</v>
      </c>
      <c r="D309" s="1" t="str">
        <f t="shared" si="17"/>
        <v>s</v>
      </c>
      <c r="E309" s="118" t="s">
        <v>910</v>
      </c>
      <c r="F309" s="51" t="s">
        <v>416</v>
      </c>
      <c r="G309" s="119">
        <v>472145553.85000002</v>
      </c>
      <c r="H309" s="120">
        <v>493983976.54000002</v>
      </c>
      <c r="I309" s="120" t="s">
        <v>911</v>
      </c>
      <c r="J309" s="120" t="s">
        <v>911</v>
      </c>
      <c r="K309" s="121" t="str">
        <f t="shared" si="18"/>
        <v>C</v>
      </c>
      <c r="L309" s="120">
        <f t="shared" si="19"/>
        <v>97374476.340000004</v>
      </c>
      <c r="N309" s="1"/>
      <c r="O309" s="1">
        <f>_xlfn.XLOOKUP(B309,'BALANCETE 2022'!B:B,'BALANCETE 2022'!J:J,0)</f>
        <v>0</v>
      </c>
      <c r="P309" s="1"/>
    </row>
    <row r="310" spans="1:16" x14ac:dyDescent="0.3">
      <c r="A310" s="1" t="s">
        <v>912</v>
      </c>
      <c r="B310" s="1" t="s">
        <v>913</v>
      </c>
      <c r="C310" s="1">
        <f t="shared" si="16"/>
        <v>2</v>
      </c>
      <c r="D310" s="1" t="str">
        <f t="shared" si="17"/>
        <v>s</v>
      </c>
      <c r="E310" s="122" t="s">
        <v>914</v>
      </c>
      <c r="F310" s="1" t="s">
        <v>416</v>
      </c>
      <c r="G310" s="123">
        <v>75044212.060000002</v>
      </c>
      <c r="H310" s="121">
        <v>82330888.049999997</v>
      </c>
      <c r="I310" s="121" t="s">
        <v>915</v>
      </c>
      <c r="J310" s="121" t="s">
        <v>915</v>
      </c>
      <c r="K310" s="121" t="str">
        <f t="shared" si="18"/>
        <v>C</v>
      </c>
      <c r="L310" s="121">
        <f t="shared" si="19"/>
        <v>34168771.090000004</v>
      </c>
      <c r="N310" s="1"/>
      <c r="O310" s="1">
        <f>_xlfn.XLOOKUP(B310,'BALANCETE 2022'!B:B,'BALANCETE 2022'!J:J,0)</f>
        <v>0</v>
      </c>
      <c r="P310" s="1"/>
    </row>
    <row r="311" spans="1:16" x14ac:dyDescent="0.3">
      <c r="A311" s="1" t="s">
        <v>916</v>
      </c>
      <c r="B311" s="1" t="s">
        <v>917</v>
      </c>
      <c r="C311" s="1">
        <f t="shared" si="16"/>
        <v>2</v>
      </c>
      <c r="D311" s="1" t="str">
        <f t="shared" si="17"/>
        <v>s</v>
      </c>
      <c r="E311" s="122" t="s">
        <v>918</v>
      </c>
      <c r="F311" s="1" t="s">
        <v>416</v>
      </c>
      <c r="G311" s="123">
        <v>16987470.440000001</v>
      </c>
      <c r="H311" s="121">
        <v>24329273.66</v>
      </c>
      <c r="I311" s="121">
        <v>22361297.760000002</v>
      </c>
      <c r="J311" s="121">
        <v>22361297.760000002</v>
      </c>
      <c r="K311" s="121" t="str">
        <f t="shared" si="18"/>
        <v>6</v>
      </c>
      <c r="L311" s="121">
        <f t="shared" si="19"/>
        <v>-22361297.760000002</v>
      </c>
      <c r="M311" s="52">
        <v>12</v>
      </c>
      <c r="N311" s="1"/>
      <c r="O311" s="1">
        <f>_xlfn.XLOOKUP(B311,'BALANCETE 2022'!B:B,'BALANCETE 2022'!J:J,0)</f>
        <v>0</v>
      </c>
      <c r="P311" s="1"/>
    </row>
    <row r="312" spans="1:16" x14ac:dyDescent="0.3">
      <c r="A312" s="1" t="s">
        <v>919</v>
      </c>
      <c r="B312" s="1" t="s">
        <v>920</v>
      </c>
      <c r="C312" s="1">
        <f t="shared" si="16"/>
        <v>2</v>
      </c>
      <c r="D312" s="1" t="str">
        <f t="shared" si="17"/>
        <v>s</v>
      </c>
      <c r="E312" s="122" t="s">
        <v>921</v>
      </c>
      <c r="F312" s="1" t="s">
        <v>416</v>
      </c>
      <c r="G312" s="123">
        <v>0</v>
      </c>
      <c r="H312" s="121">
        <v>0</v>
      </c>
      <c r="I312" s="121" t="s">
        <v>922</v>
      </c>
      <c r="J312" s="121" t="s">
        <v>922</v>
      </c>
      <c r="K312" s="121" t="str">
        <f t="shared" si="18"/>
        <v>C</v>
      </c>
      <c r="L312" s="121">
        <f t="shared" si="19"/>
        <v>288491.62</v>
      </c>
      <c r="N312" s="1"/>
      <c r="O312" s="1">
        <f>_xlfn.XLOOKUP(B312,'BALANCETE 2022'!B:B,'BALANCETE 2022'!J:J,0)</f>
        <v>0</v>
      </c>
      <c r="P312" s="1"/>
    </row>
    <row r="313" spans="1:16" x14ac:dyDescent="0.3">
      <c r="A313" t="s">
        <v>923</v>
      </c>
      <c r="B313" t="s">
        <v>924</v>
      </c>
      <c r="C313">
        <f t="shared" si="16"/>
        <v>2</v>
      </c>
      <c r="D313" t="str">
        <f t="shared" si="17"/>
        <v>A</v>
      </c>
      <c r="E313" s="115" t="s">
        <v>925</v>
      </c>
      <c r="F313" t="s">
        <v>416</v>
      </c>
      <c r="G313" s="16">
        <v>0</v>
      </c>
      <c r="H313" s="50">
        <v>0</v>
      </c>
      <c r="I313" s="50" t="s">
        <v>925</v>
      </c>
      <c r="J313" s="50" t="s">
        <v>925</v>
      </c>
      <c r="K313" s="50" t="str">
        <f t="shared" si="18"/>
        <v>C</v>
      </c>
      <c r="L313" s="50">
        <f t="shared" si="19"/>
        <v>2428</v>
      </c>
      <c r="M313" s="124"/>
      <c r="O313">
        <f>_xlfn.XLOOKUP(B313,'BALANCETE 2022'!B:B,'BALANCETE 2022'!J:J,0)</f>
        <v>0</v>
      </c>
    </row>
    <row r="314" spans="1:16" x14ac:dyDescent="0.3">
      <c r="A314" t="s">
        <v>926</v>
      </c>
      <c r="B314" t="s">
        <v>927</v>
      </c>
      <c r="C314">
        <f t="shared" si="16"/>
        <v>2</v>
      </c>
      <c r="D314" t="str">
        <f t="shared" si="17"/>
        <v>A</v>
      </c>
      <c r="E314" s="115" t="s">
        <v>928</v>
      </c>
      <c r="F314" t="s">
        <v>416</v>
      </c>
      <c r="G314" s="16">
        <v>0</v>
      </c>
      <c r="H314" s="50">
        <v>0</v>
      </c>
      <c r="I314" s="50" t="s">
        <v>928</v>
      </c>
      <c r="J314" s="50" t="s">
        <v>928</v>
      </c>
      <c r="K314" s="50" t="str">
        <f t="shared" si="18"/>
        <v>C</v>
      </c>
      <c r="L314" s="50">
        <f t="shared" si="19"/>
        <v>118073.7</v>
      </c>
      <c r="M314" s="124"/>
      <c r="O314">
        <f>_xlfn.XLOOKUP(B314,'BALANCETE 2022'!B:B,'BALANCETE 2022'!J:J,0)</f>
        <v>0</v>
      </c>
    </row>
    <row r="315" spans="1:16" x14ac:dyDescent="0.3">
      <c r="A315" t="s">
        <v>929</v>
      </c>
      <c r="B315" t="s">
        <v>930</v>
      </c>
      <c r="C315">
        <f t="shared" si="16"/>
        <v>2</v>
      </c>
      <c r="D315" t="str">
        <f t="shared" si="17"/>
        <v>A</v>
      </c>
      <c r="E315" s="115" t="s">
        <v>931</v>
      </c>
      <c r="F315" t="s">
        <v>416</v>
      </c>
      <c r="G315" s="16">
        <v>0</v>
      </c>
      <c r="H315" s="50">
        <v>0</v>
      </c>
      <c r="I315" s="50" t="s">
        <v>931</v>
      </c>
      <c r="J315" s="50" t="s">
        <v>931</v>
      </c>
      <c r="K315" s="50" t="str">
        <f t="shared" si="18"/>
        <v>C</v>
      </c>
      <c r="L315" s="50">
        <f t="shared" si="19"/>
        <v>7300.9</v>
      </c>
      <c r="M315" s="124"/>
      <c r="O315">
        <f>_xlfn.XLOOKUP(B315,'BALANCETE 2022'!B:B,'BALANCETE 2022'!J:J,0)</f>
        <v>0</v>
      </c>
    </row>
    <row r="316" spans="1:16" x14ac:dyDescent="0.3">
      <c r="A316" t="s">
        <v>932</v>
      </c>
      <c r="B316" t="s">
        <v>933</v>
      </c>
      <c r="C316">
        <f t="shared" si="16"/>
        <v>2</v>
      </c>
      <c r="D316" t="str">
        <f t="shared" si="17"/>
        <v>A</v>
      </c>
      <c r="E316" s="115" t="s">
        <v>934</v>
      </c>
      <c r="F316" t="s">
        <v>416</v>
      </c>
      <c r="G316" s="16">
        <v>0</v>
      </c>
      <c r="H316" s="50">
        <v>0</v>
      </c>
      <c r="I316" s="50" t="s">
        <v>934</v>
      </c>
      <c r="J316" s="50" t="s">
        <v>934</v>
      </c>
      <c r="K316" s="50" t="str">
        <f t="shared" si="18"/>
        <v>C</v>
      </c>
      <c r="L316" s="50">
        <f t="shared" si="19"/>
        <v>30000</v>
      </c>
      <c r="M316" s="124"/>
      <c r="O316">
        <f>_xlfn.XLOOKUP(B316,'BALANCETE 2022'!B:B,'BALANCETE 2022'!J:J,0)</f>
        <v>0</v>
      </c>
    </row>
    <row r="317" spans="1:16" x14ac:dyDescent="0.3">
      <c r="A317" t="s">
        <v>935</v>
      </c>
      <c r="B317" t="s">
        <v>936</v>
      </c>
      <c r="C317">
        <f t="shared" si="16"/>
        <v>2</v>
      </c>
      <c r="D317" t="str">
        <f t="shared" si="17"/>
        <v>A</v>
      </c>
      <c r="E317" s="115" t="s">
        <v>937</v>
      </c>
      <c r="F317" t="s">
        <v>416</v>
      </c>
      <c r="G317" s="16">
        <v>0</v>
      </c>
      <c r="H317" s="50">
        <v>0</v>
      </c>
      <c r="I317" s="50" t="s">
        <v>937</v>
      </c>
      <c r="J317" s="50" t="s">
        <v>937</v>
      </c>
      <c r="K317" s="50" t="str">
        <f t="shared" si="18"/>
        <v>C</v>
      </c>
      <c r="L317" s="50">
        <f t="shared" si="19"/>
        <v>130689.02</v>
      </c>
      <c r="M317" s="124"/>
      <c r="O317">
        <f>_xlfn.XLOOKUP(B317,'BALANCETE 2022'!B:B,'BALANCETE 2022'!J:J,0)</f>
        <v>0</v>
      </c>
    </row>
    <row r="318" spans="1:16" x14ac:dyDescent="0.3">
      <c r="A318" s="1" t="s">
        <v>938</v>
      </c>
      <c r="B318" s="1" t="s">
        <v>939</v>
      </c>
      <c r="C318" s="1">
        <f t="shared" si="16"/>
        <v>2</v>
      </c>
      <c r="D318" s="1" t="str">
        <f t="shared" si="17"/>
        <v>s</v>
      </c>
      <c r="E318" s="122" t="s">
        <v>940</v>
      </c>
      <c r="F318" s="1" t="s">
        <v>416</v>
      </c>
      <c r="G318" s="123">
        <v>51792.5</v>
      </c>
      <c r="H318" s="121">
        <v>0</v>
      </c>
      <c r="I318" s="121" t="s">
        <v>941</v>
      </c>
      <c r="J318" s="121" t="s">
        <v>941</v>
      </c>
      <c r="K318" s="121" t="str">
        <f t="shared" si="18"/>
        <v>C</v>
      </c>
      <c r="L318" s="121">
        <f t="shared" si="19"/>
        <v>152859.41</v>
      </c>
      <c r="N318" s="1"/>
      <c r="O318" s="1">
        <f>_xlfn.XLOOKUP(B318,'BALANCETE 2022'!B:B,'BALANCETE 2022'!J:J,0)</f>
        <v>0</v>
      </c>
      <c r="P318" s="1"/>
    </row>
    <row r="319" spans="1:16" x14ac:dyDescent="0.3">
      <c r="A319" t="s">
        <v>942</v>
      </c>
      <c r="B319" t="s">
        <v>943</v>
      </c>
      <c r="C319">
        <f t="shared" si="16"/>
        <v>2</v>
      </c>
      <c r="D319" t="str">
        <f t="shared" si="17"/>
        <v>A</v>
      </c>
      <c r="E319" s="115" t="s">
        <v>944</v>
      </c>
      <c r="F319" t="s">
        <v>416</v>
      </c>
      <c r="G319" s="16">
        <v>0</v>
      </c>
      <c r="H319" s="50">
        <v>0</v>
      </c>
      <c r="I319" s="50" t="s">
        <v>944</v>
      </c>
      <c r="J319" s="50" t="s">
        <v>944</v>
      </c>
      <c r="K319" s="50" t="str">
        <f t="shared" si="18"/>
        <v>C</v>
      </c>
      <c r="L319" s="50">
        <f t="shared" si="19"/>
        <v>123361.31</v>
      </c>
      <c r="M319" s="124"/>
      <c r="O319">
        <f>_xlfn.XLOOKUP(B319,'BALANCETE 2022'!B:B,'BALANCETE 2022'!J:J,0)</f>
        <v>0</v>
      </c>
    </row>
    <row r="320" spans="1:16" x14ac:dyDescent="0.3">
      <c r="A320" t="s">
        <v>945</v>
      </c>
      <c r="B320" t="s">
        <v>946</v>
      </c>
      <c r="C320">
        <f t="shared" si="16"/>
        <v>2</v>
      </c>
      <c r="D320" t="str">
        <f t="shared" si="17"/>
        <v>A</v>
      </c>
      <c r="E320" s="115" t="s">
        <v>947</v>
      </c>
      <c r="F320" t="s">
        <v>416</v>
      </c>
      <c r="G320" s="16">
        <v>51792.5</v>
      </c>
      <c r="H320" s="50">
        <v>0</v>
      </c>
      <c r="I320" s="50" t="s">
        <v>884</v>
      </c>
      <c r="J320" s="50" t="s">
        <v>884</v>
      </c>
      <c r="K320" s="50" t="str">
        <f t="shared" si="18"/>
        <v>C</v>
      </c>
      <c r="L320" s="50">
        <f t="shared" si="19"/>
        <v>0</v>
      </c>
      <c r="M320" s="124"/>
      <c r="O320">
        <f>_xlfn.XLOOKUP(B320,'BALANCETE 2022'!B:B,'BALANCETE 2022'!J:J,0)</f>
        <v>0</v>
      </c>
    </row>
    <row r="321" spans="1:16" x14ac:dyDescent="0.3">
      <c r="A321" t="s">
        <v>948</v>
      </c>
      <c r="B321" t="s">
        <v>949</v>
      </c>
      <c r="C321">
        <f t="shared" si="16"/>
        <v>2</v>
      </c>
      <c r="D321" t="str">
        <f t="shared" si="17"/>
        <v>A</v>
      </c>
      <c r="E321" s="115" t="s">
        <v>950</v>
      </c>
      <c r="F321" t="s">
        <v>416</v>
      </c>
      <c r="G321" s="16">
        <v>0</v>
      </c>
      <c r="H321" s="50">
        <v>0</v>
      </c>
      <c r="I321" s="50" t="s">
        <v>950</v>
      </c>
      <c r="J321" s="50" t="s">
        <v>950</v>
      </c>
      <c r="K321" s="50" t="str">
        <f t="shared" si="18"/>
        <v>C</v>
      </c>
      <c r="L321" s="50">
        <f t="shared" si="19"/>
        <v>18626.23</v>
      </c>
      <c r="M321" s="124"/>
      <c r="O321">
        <f>_xlfn.XLOOKUP(B321,'BALANCETE 2022'!B:B,'BALANCETE 2022'!J:J,0)</f>
        <v>0</v>
      </c>
    </row>
    <row r="322" spans="1:16" x14ac:dyDescent="0.3">
      <c r="A322" t="s">
        <v>951</v>
      </c>
      <c r="B322" t="s">
        <v>952</v>
      </c>
      <c r="C322">
        <f t="shared" si="16"/>
        <v>2</v>
      </c>
      <c r="D322" t="str">
        <f t="shared" si="17"/>
        <v>A</v>
      </c>
      <c r="E322" s="115" t="s">
        <v>953</v>
      </c>
      <c r="F322" t="s">
        <v>416</v>
      </c>
      <c r="G322" s="16">
        <v>0</v>
      </c>
      <c r="H322" s="50">
        <v>0</v>
      </c>
      <c r="I322" s="50" t="s">
        <v>953</v>
      </c>
      <c r="J322" s="50" t="s">
        <v>953</v>
      </c>
      <c r="K322" s="50" t="str">
        <f t="shared" si="18"/>
        <v>C</v>
      </c>
      <c r="L322" s="50">
        <f t="shared" si="19"/>
        <v>10871.87</v>
      </c>
      <c r="M322" s="124"/>
      <c r="O322">
        <f>_xlfn.XLOOKUP(B322,'BALANCETE 2022'!B:B,'BALANCETE 2022'!J:J,0)</f>
        <v>0</v>
      </c>
    </row>
    <row r="323" spans="1:16" x14ac:dyDescent="0.3">
      <c r="A323" s="1" t="s">
        <v>954</v>
      </c>
      <c r="B323" s="1" t="s">
        <v>955</v>
      </c>
      <c r="C323" s="1">
        <f t="shared" si="16"/>
        <v>2</v>
      </c>
      <c r="D323" s="1" t="str">
        <f t="shared" si="17"/>
        <v>s</v>
      </c>
      <c r="E323" s="122" t="s">
        <v>956</v>
      </c>
      <c r="F323" s="1" t="s">
        <v>416</v>
      </c>
      <c r="G323" s="123">
        <v>14469600.210000001</v>
      </c>
      <c r="H323" s="121">
        <v>21758505.98</v>
      </c>
      <c r="I323" s="121" t="s">
        <v>957</v>
      </c>
      <c r="J323" s="121" t="s">
        <v>957</v>
      </c>
      <c r="K323" s="121" t="str">
        <f t="shared" si="18"/>
        <v>C</v>
      </c>
      <c r="L323" s="121">
        <f t="shared" si="19"/>
        <v>19883248.27</v>
      </c>
      <c r="N323" s="1"/>
      <c r="O323" s="1">
        <f>_xlfn.XLOOKUP(B323,'BALANCETE 2022'!B:B,'BALANCETE 2022'!J:J,0)</f>
        <v>0</v>
      </c>
      <c r="P323" s="1"/>
    </row>
    <row r="324" spans="1:16" x14ac:dyDescent="0.3">
      <c r="A324" t="s">
        <v>958</v>
      </c>
      <c r="B324" t="s">
        <v>959</v>
      </c>
      <c r="C324">
        <f t="shared" si="16"/>
        <v>2</v>
      </c>
      <c r="D324" t="str">
        <f t="shared" si="17"/>
        <v>A</v>
      </c>
      <c r="E324" s="115" t="s">
        <v>960</v>
      </c>
      <c r="F324" t="s">
        <v>416</v>
      </c>
      <c r="G324" s="16">
        <v>14469600.210000001</v>
      </c>
      <c r="H324" s="50">
        <v>21758505.98</v>
      </c>
      <c r="I324" s="50" t="s">
        <v>957</v>
      </c>
      <c r="J324" s="50" t="s">
        <v>957</v>
      </c>
      <c r="K324" s="50" t="str">
        <f t="shared" si="18"/>
        <v>C</v>
      </c>
      <c r="L324" s="50">
        <f t="shared" si="19"/>
        <v>19883248.27</v>
      </c>
      <c r="M324" s="124"/>
      <c r="O324">
        <f>_xlfn.XLOOKUP(B324,'BALANCETE 2022'!B:B,'BALANCETE 2022'!J:J,0)</f>
        <v>0</v>
      </c>
    </row>
    <row r="325" spans="1:16" x14ac:dyDescent="0.3">
      <c r="A325" s="1" t="s">
        <v>961</v>
      </c>
      <c r="B325" s="1" t="s">
        <v>962</v>
      </c>
      <c r="C325" s="1">
        <f t="shared" si="16"/>
        <v>2</v>
      </c>
      <c r="D325" s="1" t="str">
        <f t="shared" si="17"/>
        <v>s</v>
      </c>
      <c r="E325" s="122" t="s">
        <v>963</v>
      </c>
      <c r="F325" s="1" t="s">
        <v>416</v>
      </c>
      <c r="G325" s="123">
        <v>116284.36</v>
      </c>
      <c r="H325" s="121">
        <v>71992.36</v>
      </c>
      <c r="I325" s="121" t="s">
        <v>964</v>
      </c>
      <c r="J325" s="121" t="s">
        <v>964</v>
      </c>
      <c r="K325" s="121" t="str">
        <f t="shared" si="18"/>
        <v>C</v>
      </c>
      <c r="L325" s="121">
        <f t="shared" si="19"/>
        <v>320214.49</v>
      </c>
      <c r="N325" s="1"/>
      <c r="O325" s="1">
        <f>_xlfn.XLOOKUP(B325,'BALANCETE 2022'!B:B,'BALANCETE 2022'!J:J,0)</f>
        <v>0</v>
      </c>
      <c r="P325" s="1"/>
    </row>
    <row r="326" spans="1:16" x14ac:dyDescent="0.3">
      <c r="A326" t="s">
        <v>965</v>
      </c>
      <c r="B326" t="s">
        <v>966</v>
      </c>
      <c r="C326">
        <f t="shared" si="16"/>
        <v>2</v>
      </c>
      <c r="D326" t="str">
        <f t="shared" si="17"/>
        <v>A</v>
      </c>
      <c r="E326" s="115" t="s">
        <v>967</v>
      </c>
      <c r="F326" t="s">
        <v>416</v>
      </c>
      <c r="G326" s="16">
        <v>0</v>
      </c>
      <c r="H326" s="50">
        <v>0</v>
      </c>
      <c r="I326" s="50" t="s">
        <v>967</v>
      </c>
      <c r="J326" s="50" t="s">
        <v>967</v>
      </c>
      <c r="K326" s="50" t="str">
        <f t="shared" si="18"/>
        <v>C</v>
      </c>
      <c r="L326" s="50">
        <f t="shared" si="19"/>
        <v>1076.93</v>
      </c>
      <c r="M326" s="124"/>
      <c r="O326">
        <f>_xlfn.XLOOKUP(B326,'BALANCETE 2022'!B:B,'BALANCETE 2022'!J:J,0)</f>
        <v>0</v>
      </c>
    </row>
    <row r="327" spans="1:16" x14ac:dyDescent="0.3">
      <c r="A327" t="s">
        <v>968</v>
      </c>
      <c r="B327" t="s">
        <v>969</v>
      </c>
      <c r="C327">
        <f t="shared" si="16"/>
        <v>2</v>
      </c>
      <c r="D327" t="str">
        <f t="shared" si="17"/>
        <v>A</v>
      </c>
      <c r="E327" s="115" t="s">
        <v>884</v>
      </c>
      <c r="F327" t="s">
        <v>416</v>
      </c>
      <c r="G327" s="16">
        <v>62.4</v>
      </c>
      <c r="H327" s="50">
        <v>62.4</v>
      </c>
      <c r="I327" s="50" t="s">
        <v>884</v>
      </c>
      <c r="J327" s="50" t="s">
        <v>884</v>
      </c>
      <c r="K327" s="50" t="str">
        <f t="shared" si="18"/>
        <v>C</v>
      </c>
      <c r="L327" s="50">
        <f t="shared" si="19"/>
        <v>0</v>
      </c>
      <c r="M327" s="124"/>
      <c r="O327">
        <f>_xlfn.XLOOKUP(B327,'BALANCETE 2022'!B:B,'BALANCETE 2022'!J:J,0)</f>
        <v>0</v>
      </c>
    </row>
    <row r="328" spans="1:16" x14ac:dyDescent="0.3">
      <c r="A328" t="s">
        <v>970</v>
      </c>
      <c r="B328" t="s">
        <v>971</v>
      </c>
      <c r="C328">
        <f t="shared" si="16"/>
        <v>2</v>
      </c>
      <c r="D328" t="str">
        <f t="shared" si="17"/>
        <v>A</v>
      </c>
      <c r="E328" s="115" t="s">
        <v>972</v>
      </c>
      <c r="F328" t="s">
        <v>416</v>
      </c>
      <c r="G328" s="16">
        <v>0</v>
      </c>
      <c r="H328" s="50">
        <v>0</v>
      </c>
      <c r="I328" s="50" t="s">
        <v>972</v>
      </c>
      <c r="J328" s="50" t="s">
        <v>972</v>
      </c>
      <c r="K328" s="50" t="str">
        <f t="shared" si="18"/>
        <v>C</v>
      </c>
      <c r="L328" s="50">
        <f t="shared" si="19"/>
        <v>31783.88</v>
      </c>
      <c r="M328" s="124"/>
      <c r="O328">
        <f>_xlfn.XLOOKUP(B328,'BALANCETE 2022'!B:B,'BALANCETE 2022'!J:J,0)</f>
        <v>0</v>
      </c>
    </row>
    <row r="329" spans="1:16" x14ac:dyDescent="0.3">
      <c r="A329" t="s">
        <v>973</v>
      </c>
      <c r="B329" t="s">
        <v>974</v>
      </c>
      <c r="C329">
        <f t="shared" si="16"/>
        <v>2</v>
      </c>
      <c r="D329" t="str">
        <f t="shared" si="17"/>
        <v>A</v>
      </c>
      <c r="E329" s="115" t="s">
        <v>975</v>
      </c>
      <c r="F329" t="s">
        <v>416</v>
      </c>
      <c r="G329" s="16">
        <v>0</v>
      </c>
      <c r="H329" s="50">
        <v>0</v>
      </c>
      <c r="I329" s="50" t="s">
        <v>975</v>
      </c>
      <c r="J329" s="50" t="s">
        <v>975</v>
      </c>
      <c r="K329" s="50" t="str">
        <f t="shared" si="18"/>
        <v>C</v>
      </c>
      <c r="L329" s="50">
        <f t="shared" si="19"/>
        <v>8698.98</v>
      </c>
      <c r="M329" s="124"/>
      <c r="O329">
        <f>_xlfn.XLOOKUP(B329,'BALANCETE 2022'!B:B,'BALANCETE 2022'!J:J,0)</f>
        <v>0</v>
      </c>
    </row>
    <row r="330" spans="1:16" x14ac:dyDescent="0.3">
      <c r="A330" t="s">
        <v>976</v>
      </c>
      <c r="B330" t="s">
        <v>977</v>
      </c>
      <c r="C330">
        <f t="shared" ref="C330:C393" si="20">(LEFT(SUBSTITUTE(B330,"[",""),1))+0</f>
        <v>2</v>
      </c>
      <c r="D330" t="str">
        <f t="shared" ref="D330:D393" si="21">IF((LEN(B330)+0)&lt;15,"s","A")</f>
        <v>A</v>
      </c>
      <c r="E330" s="115" t="s">
        <v>978</v>
      </c>
      <c r="F330" t="s">
        <v>416</v>
      </c>
      <c r="G330" s="16">
        <v>0</v>
      </c>
      <c r="H330" s="50">
        <v>0</v>
      </c>
      <c r="I330" s="50" t="s">
        <v>978</v>
      </c>
      <c r="J330" s="50" t="s">
        <v>978</v>
      </c>
      <c r="K330" s="50" t="str">
        <f t="shared" ref="K330:K393" si="22">RIGHT(J330)</f>
        <v>C</v>
      </c>
      <c r="L330" s="50">
        <f t="shared" ref="L330:L393" si="23">(SUBSTITUTE(SUBSTITUTE(J330,"D","",1),"C","",1)+0)*IF(K330=F330,1,-1)</f>
        <v>2907.7</v>
      </c>
      <c r="M330" s="124"/>
      <c r="O330">
        <f>_xlfn.XLOOKUP(B330,'BALANCETE 2022'!B:B,'BALANCETE 2022'!J:J,0)</f>
        <v>0</v>
      </c>
    </row>
    <row r="331" spans="1:16" x14ac:dyDescent="0.3">
      <c r="A331" t="s">
        <v>979</v>
      </c>
      <c r="B331" t="s">
        <v>980</v>
      </c>
      <c r="C331">
        <f t="shared" si="20"/>
        <v>2</v>
      </c>
      <c r="D331" t="str">
        <f t="shared" si="21"/>
        <v>A</v>
      </c>
      <c r="E331" s="115" t="s">
        <v>981</v>
      </c>
      <c r="F331" t="s">
        <v>416</v>
      </c>
      <c r="G331" s="16">
        <v>75654.13</v>
      </c>
      <c r="H331" s="50">
        <v>0</v>
      </c>
      <c r="I331" s="50" t="s">
        <v>884</v>
      </c>
      <c r="J331" s="50" t="s">
        <v>884</v>
      </c>
      <c r="K331" s="50" t="str">
        <f t="shared" si="22"/>
        <v>C</v>
      </c>
      <c r="L331" s="50">
        <f t="shared" si="23"/>
        <v>0</v>
      </c>
      <c r="M331" s="124"/>
      <c r="O331">
        <f>_xlfn.XLOOKUP(B331,'BALANCETE 2022'!B:B,'BALANCETE 2022'!J:J,0)</f>
        <v>0</v>
      </c>
    </row>
    <row r="332" spans="1:16" x14ac:dyDescent="0.3">
      <c r="A332" t="s">
        <v>982</v>
      </c>
      <c r="B332" t="s">
        <v>983</v>
      </c>
      <c r="C332">
        <f t="shared" si="20"/>
        <v>2</v>
      </c>
      <c r="D332" t="str">
        <f t="shared" si="21"/>
        <v>A</v>
      </c>
      <c r="E332" s="115" t="s">
        <v>984</v>
      </c>
      <c r="F332" t="s">
        <v>416</v>
      </c>
      <c r="G332" s="16">
        <v>0</v>
      </c>
      <c r="H332" s="50">
        <v>0</v>
      </c>
      <c r="I332" s="50" t="s">
        <v>984</v>
      </c>
      <c r="J332" s="50" t="s">
        <v>984</v>
      </c>
      <c r="K332" s="50" t="str">
        <f t="shared" si="22"/>
        <v>C</v>
      </c>
      <c r="L332" s="50">
        <f t="shared" si="23"/>
        <v>2145.7399999999998</v>
      </c>
      <c r="M332" s="124"/>
      <c r="O332">
        <f>_xlfn.XLOOKUP(B332,'BALANCETE 2022'!B:B,'BALANCETE 2022'!J:J,0)</f>
        <v>0</v>
      </c>
    </row>
    <row r="333" spans="1:16" x14ac:dyDescent="0.3">
      <c r="A333" t="s">
        <v>985</v>
      </c>
      <c r="B333" t="s">
        <v>986</v>
      </c>
      <c r="C333">
        <f t="shared" si="20"/>
        <v>2</v>
      </c>
      <c r="D333" t="str">
        <f t="shared" si="21"/>
        <v>A</v>
      </c>
      <c r="E333" s="115" t="s">
        <v>884</v>
      </c>
      <c r="F333" t="s">
        <v>416</v>
      </c>
      <c r="G333" s="16">
        <v>1593.41</v>
      </c>
      <c r="H333" s="50">
        <v>33380</v>
      </c>
      <c r="I333" s="50" t="s">
        <v>987</v>
      </c>
      <c r="J333" s="50" t="s">
        <v>987</v>
      </c>
      <c r="K333" s="50" t="str">
        <f t="shared" si="22"/>
        <v>C</v>
      </c>
      <c r="L333" s="50">
        <f t="shared" si="23"/>
        <v>31786.59</v>
      </c>
      <c r="M333" s="124"/>
      <c r="O333">
        <f>_xlfn.XLOOKUP(B333,'BALANCETE 2022'!B:B,'BALANCETE 2022'!J:J,0)</f>
        <v>0</v>
      </c>
    </row>
    <row r="334" spans="1:16" x14ac:dyDescent="0.3">
      <c r="A334" t="s">
        <v>988</v>
      </c>
      <c r="B334" t="s">
        <v>989</v>
      </c>
      <c r="C334">
        <f t="shared" si="20"/>
        <v>2</v>
      </c>
      <c r="D334" t="str">
        <f t="shared" si="21"/>
        <v>A</v>
      </c>
      <c r="E334" s="115" t="s">
        <v>990</v>
      </c>
      <c r="F334" t="s">
        <v>416</v>
      </c>
      <c r="G334" s="16">
        <v>0</v>
      </c>
      <c r="H334" s="50">
        <v>0</v>
      </c>
      <c r="I334" s="50" t="s">
        <v>990</v>
      </c>
      <c r="J334" s="50" t="s">
        <v>990</v>
      </c>
      <c r="K334" s="50" t="str">
        <f t="shared" si="22"/>
        <v>C</v>
      </c>
      <c r="L334" s="50">
        <f t="shared" si="23"/>
        <v>7084.03</v>
      </c>
      <c r="M334" s="124"/>
      <c r="O334">
        <f>_xlfn.XLOOKUP(B334,'BALANCETE 2022'!B:B,'BALANCETE 2022'!J:J,0)</f>
        <v>0</v>
      </c>
    </row>
    <row r="335" spans="1:16" x14ac:dyDescent="0.3">
      <c r="A335" t="s">
        <v>991</v>
      </c>
      <c r="B335" t="s">
        <v>992</v>
      </c>
      <c r="C335">
        <f t="shared" si="20"/>
        <v>2</v>
      </c>
      <c r="D335" t="str">
        <f t="shared" si="21"/>
        <v>A</v>
      </c>
      <c r="E335" s="115" t="s">
        <v>993</v>
      </c>
      <c r="F335" t="s">
        <v>416</v>
      </c>
      <c r="G335" s="16">
        <v>4958.91</v>
      </c>
      <c r="H335" s="50">
        <v>4534.45</v>
      </c>
      <c r="I335" s="50" t="s">
        <v>994</v>
      </c>
      <c r="J335" s="50" t="s">
        <v>994</v>
      </c>
      <c r="K335" s="50" t="str">
        <f t="shared" si="22"/>
        <v>C</v>
      </c>
      <c r="L335" s="50">
        <f t="shared" si="23"/>
        <v>475.51</v>
      </c>
      <c r="M335" s="124"/>
      <c r="O335">
        <f>_xlfn.XLOOKUP(B335,'BALANCETE 2022'!B:B,'BALANCETE 2022'!J:J,0)</f>
        <v>0</v>
      </c>
    </row>
    <row r="336" spans="1:16" x14ac:dyDescent="0.3">
      <c r="A336" t="s">
        <v>995</v>
      </c>
      <c r="B336" t="s">
        <v>996</v>
      </c>
      <c r="C336">
        <f t="shared" si="20"/>
        <v>2</v>
      </c>
      <c r="D336" t="str">
        <f t="shared" si="21"/>
        <v>A</v>
      </c>
      <c r="E336" s="115" t="s">
        <v>997</v>
      </c>
      <c r="F336" t="s">
        <v>416</v>
      </c>
      <c r="G336" s="16">
        <v>0</v>
      </c>
      <c r="H336" s="50">
        <v>0</v>
      </c>
      <c r="I336" s="50" t="s">
        <v>997</v>
      </c>
      <c r="J336" s="50" t="s">
        <v>997</v>
      </c>
      <c r="K336" s="50" t="str">
        <f t="shared" si="22"/>
        <v>C</v>
      </c>
      <c r="L336" s="50">
        <f t="shared" si="23"/>
        <v>6658.94</v>
      </c>
      <c r="M336" s="124"/>
      <c r="O336">
        <f>_xlfn.XLOOKUP(B336,'BALANCETE 2022'!B:B,'BALANCETE 2022'!J:J,0)</f>
        <v>0</v>
      </c>
    </row>
    <row r="337" spans="1:16" x14ac:dyDescent="0.3">
      <c r="A337" t="s">
        <v>998</v>
      </c>
      <c r="B337" t="s">
        <v>999</v>
      </c>
      <c r="C337">
        <f t="shared" si="20"/>
        <v>2</v>
      </c>
      <c r="D337" t="str">
        <f t="shared" si="21"/>
        <v>A</v>
      </c>
      <c r="E337" s="115" t="s">
        <v>1000</v>
      </c>
      <c r="F337" t="s">
        <v>416</v>
      </c>
      <c r="G337" s="16">
        <v>0</v>
      </c>
      <c r="H337" s="50">
        <v>0</v>
      </c>
      <c r="I337" s="50" t="s">
        <v>1000</v>
      </c>
      <c r="J337" s="50" t="s">
        <v>1000</v>
      </c>
      <c r="K337" s="50" t="str">
        <f t="shared" si="22"/>
        <v>C</v>
      </c>
      <c r="L337" s="50">
        <f t="shared" si="23"/>
        <v>103676.82</v>
      </c>
      <c r="M337" s="124"/>
      <c r="O337">
        <f>_xlfn.XLOOKUP(B337,'BALANCETE 2022'!B:B,'BALANCETE 2022'!J:J,0)</f>
        <v>0</v>
      </c>
    </row>
    <row r="338" spans="1:16" x14ac:dyDescent="0.3">
      <c r="A338" t="s">
        <v>1001</v>
      </c>
      <c r="B338" t="s">
        <v>1002</v>
      </c>
      <c r="C338">
        <f t="shared" si="20"/>
        <v>2</v>
      </c>
      <c r="D338" t="str">
        <f t="shared" si="21"/>
        <v>A</v>
      </c>
      <c r="E338" s="115" t="s">
        <v>1003</v>
      </c>
      <c r="F338" t="s">
        <v>416</v>
      </c>
      <c r="G338" s="16">
        <v>0</v>
      </c>
      <c r="H338" s="50">
        <v>0</v>
      </c>
      <c r="I338" s="50" t="s">
        <v>1003</v>
      </c>
      <c r="J338" s="50" t="s">
        <v>1003</v>
      </c>
      <c r="K338" s="50" t="str">
        <f t="shared" si="22"/>
        <v>C</v>
      </c>
      <c r="L338" s="50">
        <f t="shared" si="23"/>
        <v>2777.3</v>
      </c>
      <c r="M338" s="124"/>
      <c r="O338">
        <f>_xlfn.XLOOKUP(B338,'BALANCETE 2022'!B:B,'BALANCETE 2022'!J:J,0)</f>
        <v>0</v>
      </c>
    </row>
    <row r="339" spans="1:16" x14ac:dyDescent="0.3">
      <c r="A339" t="s">
        <v>1004</v>
      </c>
      <c r="B339" t="s">
        <v>1005</v>
      </c>
      <c r="C339">
        <f t="shared" si="20"/>
        <v>2</v>
      </c>
      <c r="D339" t="str">
        <f t="shared" si="21"/>
        <v>A</v>
      </c>
      <c r="E339" s="115" t="s">
        <v>1006</v>
      </c>
      <c r="F339" t="s">
        <v>416</v>
      </c>
      <c r="G339" s="16">
        <v>0</v>
      </c>
      <c r="H339" s="50">
        <v>0</v>
      </c>
      <c r="I339" s="50" t="s">
        <v>1006</v>
      </c>
      <c r="J339" s="50" t="s">
        <v>1006</v>
      </c>
      <c r="K339" s="50" t="str">
        <f t="shared" si="22"/>
        <v>C</v>
      </c>
      <c r="L339" s="50">
        <f t="shared" si="23"/>
        <v>79099.899999999994</v>
      </c>
      <c r="M339" s="124"/>
      <c r="O339">
        <f>_xlfn.XLOOKUP(B339,'BALANCETE 2022'!B:B,'BALANCETE 2022'!J:J,0)</f>
        <v>0</v>
      </c>
    </row>
    <row r="340" spans="1:16" x14ac:dyDescent="0.3">
      <c r="A340" t="s">
        <v>1007</v>
      </c>
      <c r="B340" t="s">
        <v>1008</v>
      </c>
      <c r="C340">
        <f t="shared" si="20"/>
        <v>2</v>
      </c>
      <c r="D340" t="str">
        <f t="shared" si="21"/>
        <v>A</v>
      </c>
      <c r="E340" s="115" t="s">
        <v>1009</v>
      </c>
      <c r="F340" t="s">
        <v>416</v>
      </c>
      <c r="G340" s="16">
        <v>0</v>
      </c>
      <c r="H340" s="50">
        <v>0</v>
      </c>
      <c r="I340" s="50" t="s">
        <v>1009</v>
      </c>
      <c r="J340" s="50" t="s">
        <v>1009</v>
      </c>
      <c r="K340" s="50" t="str">
        <f t="shared" si="22"/>
        <v>C</v>
      </c>
      <c r="L340" s="50">
        <f t="shared" si="23"/>
        <v>7010.8</v>
      </c>
      <c r="M340" s="124"/>
      <c r="O340">
        <f>_xlfn.XLOOKUP(B340,'BALANCETE 2022'!B:B,'BALANCETE 2022'!J:J,0)</f>
        <v>0</v>
      </c>
    </row>
    <row r="341" spans="1:16" x14ac:dyDescent="0.3">
      <c r="A341" t="s">
        <v>1010</v>
      </c>
      <c r="B341" t="s">
        <v>1011</v>
      </c>
      <c r="C341">
        <f t="shared" si="20"/>
        <v>2</v>
      </c>
      <c r="D341" t="str">
        <f t="shared" si="21"/>
        <v>A</v>
      </c>
      <c r="E341" s="115" t="s">
        <v>1012</v>
      </c>
      <c r="F341" t="s">
        <v>416</v>
      </c>
      <c r="G341" s="16">
        <v>0</v>
      </c>
      <c r="H341" s="50">
        <v>0</v>
      </c>
      <c r="I341" s="50" t="s">
        <v>1012</v>
      </c>
      <c r="J341" s="50" t="s">
        <v>1012</v>
      </c>
      <c r="K341" s="50" t="str">
        <f t="shared" si="22"/>
        <v>C</v>
      </c>
      <c r="L341" s="50">
        <f t="shared" si="23"/>
        <v>3580</v>
      </c>
      <c r="M341" s="124"/>
      <c r="O341">
        <f>_xlfn.XLOOKUP(B341,'BALANCETE 2022'!B:B,'BALANCETE 2022'!J:J,0)</f>
        <v>0</v>
      </c>
    </row>
    <row r="342" spans="1:16" x14ac:dyDescent="0.3">
      <c r="A342" t="s">
        <v>1013</v>
      </c>
      <c r="B342" t="s">
        <v>1014</v>
      </c>
      <c r="C342">
        <f t="shared" si="20"/>
        <v>2</v>
      </c>
      <c r="D342" t="str">
        <f t="shared" si="21"/>
        <v>A</v>
      </c>
      <c r="E342" s="115" t="s">
        <v>1015</v>
      </c>
      <c r="F342" t="s">
        <v>416</v>
      </c>
      <c r="G342" s="16">
        <v>0</v>
      </c>
      <c r="H342" s="50">
        <v>0</v>
      </c>
      <c r="I342" s="50" t="s">
        <v>1015</v>
      </c>
      <c r="J342" s="50" t="s">
        <v>1015</v>
      </c>
      <c r="K342" s="50" t="str">
        <f t="shared" si="22"/>
        <v>C</v>
      </c>
      <c r="L342" s="50">
        <f t="shared" si="23"/>
        <v>2040</v>
      </c>
      <c r="M342" s="124"/>
      <c r="O342">
        <f>_xlfn.XLOOKUP(B342,'BALANCETE 2022'!B:B,'BALANCETE 2022'!J:J,0)</f>
        <v>0</v>
      </c>
    </row>
    <row r="343" spans="1:16" x14ac:dyDescent="0.3">
      <c r="A343" t="s">
        <v>1016</v>
      </c>
      <c r="B343" t="s">
        <v>1017</v>
      </c>
      <c r="C343">
        <f t="shared" si="20"/>
        <v>2</v>
      </c>
      <c r="D343" t="str">
        <f t="shared" si="21"/>
        <v>A</v>
      </c>
      <c r="E343" s="115" t="s">
        <v>1018</v>
      </c>
      <c r="F343" t="s">
        <v>416</v>
      </c>
      <c r="G343" s="16">
        <v>0</v>
      </c>
      <c r="H343" s="50">
        <v>0</v>
      </c>
      <c r="I343" s="50" t="s">
        <v>1018</v>
      </c>
      <c r="J343" s="50" t="s">
        <v>1018</v>
      </c>
      <c r="K343" s="50" t="str">
        <f t="shared" si="22"/>
        <v>C</v>
      </c>
      <c r="L343" s="50">
        <f t="shared" si="23"/>
        <v>7829</v>
      </c>
      <c r="M343" s="124"/>
      <c r="O343">
        <f>_xlfn.XLOOKUP(B343,'BALANCETE 2022'!B:B,'BALANCETE 2022'!J:J,0)</f>
        <v>0</v>
      </c>
    </row>
    <row r="344" spans="1:16" x14ac:dyDescent="0.3">
      <c r="A344" t="s">
        <v>1019</v>
      </c>
      <c r="B344" t="s">
        <v>1020</v>
      </c>
      <c r="C344">
        <f t="shared" si="20"/>
        <v>2</v>
      </c>
      <c r="D344" t="str">
        <f t="shared" si="21"/>
        <v>A</v>
      </c>
      <c r="E344" s="115" t="s">
        <v>1021</v>
      </c>
      <c r="F344" t="s">
        <v>416</v>
      </c>
      <c r="G344" s="16">
        <v>0</v>
      </c>
      <c r="H344" s="50">
        <v>0</v>
      </c>
      <c r="I344" s="50" t="s">
        <v>1021</v>
      </c>
      <c r="J344" s="50" t="s">
        <v>1021</v>
      </c>
      <c r="K344" s="50" t="str">
        <f t="shared" si="22"/>
        <v>C</v>
      </c>
      <c r="L344" s="50">
        <f t="shared" si="23"/>
        <v>8906.14</v>
      </c>
      <c r="M344" s="124"/>
      <c r="O344">
        <f>_xlfn.XLOOKUP(B344,'BALANCETE 2022'!B:B,'BALANCETE 2022'!J:J,0)</f>
        <v>0</v>
      </c>
    </row>
    <row r="345" spans="1:16" x14ac:dyDescent="0.3">
      <c r="A345" t="s">
        <v>1022</v>
      </c>
      <c r="B345" t="s">
        <v>1023</v>
      </c>
      <c r="C345">
        <f t="shared" si="20"/>
        <v>2</v>
      </c>
      <c r="D345" t="str">
        <f t="shared" si="21"/>
        <v>A</v>
      </c>
      <c r="E345" s="115" t="s">
        <v>1024</v>
      </c>
      <c r="F345" t="s">
        <v>416</v>
      </c>
      <c r="G345" s="16">
        <v>0</v>
      </c>
      <c r="H345" s="50">
        <v>0</v>
      </c>
      <c r="I345" s="50" t="s">
        <v>1024</v>
      </c>
      <c r="J345" s="50" t="s">
        <v>1024</v>
      </c>
      <c r="K345" s="50" t="str">
        <f t="shared" si="22"/>
        <v>C</v>
      </c>
      <c r="L345" s="50">
        <f t="shared" si="23"/>
        <v>9789.98</v>
      </c>
      <c r="M345" s="124"/>
      <c r="O345">
        <f>_xlfn.XLOOKUP(B345,'BALANCETE 2022'!B:B,'BALANCETE 2022'!J:J,0)</f>
        <v>0</v>
      </c>
    </row>
    <row r="346" spans="1:16" x14ac:dyDescent="0.3">
      <c r="A346" t="s">
        <v>1025</v>
      </c>
      <c r="B346" t="s">
        <v>1026</v>
      </c>
      <c r="C346">
        <f t="shared" si="20"/>
        <v>2</v>
      </c>
      <c r="D346" t="str">
        <f t="shared" si="21"/>
        <v>A</v>
      </c>
      <c r="E346" s="115" t="s">
        <v>1027</v>
      </c>
      <c r="F346" t="s">
        <v>416</v>
      </c>
      <c r="G346" s="16">
        <v>0</v>
      </c>
      <c r="H346" s="50">
        <v>0</v>
      </c>
      <c r="I346" s="50" t="s">
        <v>1027</v>
      </c>
      <c r="J346" s="50" t="s">
        <v>1027</v>
      </c>
      <c r="K346" s="50" t="str">
        <f t="shared" si="22"/>
        <v>C</v>
      </c>
      <c r="L346" s="50">
        <f t="shared" si="23"/>
        <v>2886.25</v>
      </c>
      <c r="M346" s="124"/>
      <c r="O346">
        <f>_xlfn.XLOOKUP(B346,'BALANCETE 2022'!B:B,'BALANCETE 2022'!J:J,0)</f>
        <v>0</v>
      </c>
    </row>
    <row r="347" spans="1:16" x14ac:dyDescent="0.3">
      <c r="A347" t="s">
        <v>1028</v>
      </c>
      <c r="B347" t="s">
        <v>1029</v>
      </c>
      <c r="C347">
        <f t="shared" si="20"/>
        <v>2</v>
      </c>
      <c r="D347" t="str">
        <f t="shared" si="21"/>
        <v>A</v>
      </c>
      <c r="E347" s="115">
        <v>0</v>
      </c>
      <c r="F347" t="s">
        <v>416</v>
      </c>
      <c r="G347" s="16">
        <v>12437.98</v>
      </c>
      <c r="H347" s="50">
        <v>12437.98</v>
      </c>
      <c r="I347" s="50">
        <v>0</v>
      </c>
      <c r="J347" s="50">
        <v>0</v>
      </c>
      <c r="K347" s="50" t="str">
        <f t="shared" si="22"/>
        <v>0</v>
      </c>
      <c r="L347" s="50">
        <f t="shared" si="23"/>
        <v>0</v>
      </c>
      <c r="M347" s="124"/>
      <c r="O347">
        <f>_xlfn.XLOOKUP(B347,'BALANCETE 2022'!B:B,'BALANCETE 2022'!J:J,0)</f>
        <v>0</v>
      </c>
    </row>
    <row r="348" spans="1:16" x14ac:dyDescent="0.3">
      <c r="A348" t="s">
        <v>1030</v>
      </c>
      <c r="B348" t="s">
        <v>1031</v>
      </c>
      <c r="C348">
        <f t="shared" si="20"/>
        <v>2</v>
      </c>
      <c r="D348" t="str">
        <f t="shared" si="21"/>
        <v>A</v>
      </c>
      <c r="E348" s="115">
        <v>0</v>
      </c>
      <c r="F348" t="s">
        <v>416</v>
      </c>
      <c r="G348" s="16">
        <v>6376.46</v>
      </c>
      <c r="H348" s="50">
        <v>6376.46</v>
      </c>
      <c r="I348" s="50">
        <v>0</v>
      </c>
      <c r="J348" s="50">
        <v>0</v>
      </c>
      <c r="K348" s="50" t="str">
        <f t="shared" si="22"/>
        <v>0</v>
      </c>
      <c r="L348" s="50">
        <f t="shared" si="23"/>
        <v>0</v>
      </c>
      <c r="M348" s="124"/>
      <c r="O348">
        <f>_xlfn.XLOOKUP(B348,'BALANCETE 2022'!B:B,'BALANCETE 2022'!J:J,0)</f>
        <v>0</v>
      </c>
    </row>
    <row r="349" spans="1:16" x14ac:dyDescent="0.3">
      <c r="A349" t="s">
        <v>1032</v>
      </c>
      <c r="B349" t="s">
        <v>1033</v>
      </c>
      <c r="C349">
        <f t="shared" si="20"/>
        <v>2</v>
      </c>
      <c r="D349" t="str">
        <f t="shared" si="21"/>
        <v>A</v>
      </c>
      <c r="E349" s="115" t="s">
        <v>884</v>
      </c>
      <c r="F349" t="s">
        <v>416</v>
      </c>
      <c r="G349" s="16">
        <v>9601.07</v>
      </c>
      <c r="H349" s="50">
        <v>9601.07</v>
      </c>
      <c r="I349" s="50" t="s">
        <v>884</v>
      </c>
      <c r="J349" s="50" t="s">
        <v>884</v>
      </c>
      <c r="K349" s="50" t="str">
        <f t="shared" si="22"/>
        <v>C</v>
      </c>
      <c r="L349" s="50">
        <f t="shared" si="23"/>
        <v>0</v>
      </c>
      <c r="M349" s="124"/>
      <c r="O349">
        <f>_xlfn.XLOOKUP(B349,'BALANCETE 2022'!B:B,'BALANCETE 2022'!J:J,0)</f>
        <v>0</v>
      </c>
    </row>
    <row r="350" spans="1:16" x14ac:dyDescent="0.3">
      <c r="A350" t="s">
        <v>1034</v>
      </c>
      <c r="B350" t="s">
        <v>1035</v>
      </c>
      <c r="C350">
        <f t="shared" si="20"/>
        <v>2</v>
      </c>
      <c r="D350" t="str">
        <f t="shared" si="21"/>
        <v>A</v>
      </c>
      <c r="E350" s="115" t="s">
        <v>884</v>
      </c>
      <c r="F350" t="s">
        <v>416</v>
      </c>
      <c r="G350" s="16">
        <v>5600</v>
      </c>
      <c r="H350" s="50">
        <v>5600</v>
      </c>
      <c r="I350" s="50" t="s">
        <v>884</v>
      </c>
      <c r="J350" s="50" t="s">
        <v>884</v>
      </c>
      <c r="K350" s="50" t="str">
        <f t="shared" si="22"/>
        <v>C</v>
      </c>
      <c r="L350" s="50">
        <f t="shared" si="23"/>
        <v>0</v>
      </c>
      <c r="M350" s="124"/>
      <c r="O350">
        <f>_xlfn.XLOOKUP(B350,'BALANCETE 2022'!B:B,'BALANCETE 2022'!J:J,0)</f>
        <v>0</v>
      </c>
    </row>
    <row r="351" spans="1:16" x14ac:dyDescent="0.3">
      <c r="A351" s="1" t="s">
        <v>1036</v>
      </c>
      <c r="B351" s="1" t="s">
        <v>1037</v>
      </c>
      <c r="C351" s="1">
        <f t="shared" si="20"/>
        <v>2</v>
      </c>
      <c r="D351" s="1" t="str">
        <f t="shared" si="21"/>
        <v>s</v>
      </c>
      <c r="E351" s="122" t="s">
        <v>1038</v>
      </c>
      <c r="F351" s="1" t="s">
        <v>416</v>
      </c>
      <c r="G351" s="123">
        <v>2349793.37</v>
      </c>
      <c r="H351" s="121">
        <v>2498775.3199999998</v>
      </c>
      <c r="I351" s="121" t="s">
        <v>1039</v>
      </c>
      <c r="J351" s="121" t="s">
        <v>1039</v>
      </c>
      <c r="K351" s="121" t="str">
        <f t="shared" si="22"/>
        <v>C</v>
      </c>
      <c r="L351" s="121">
        <f t="shared" si="23"/>
        <v>1693512.02</v>
      </c>
      <c r="N351" s="1"/>
      <c r="O351" s="1">
        <f>_xlfn.XLOOKUP(B351,'BALANCETE 2022'!B:B,'BALANCETE 2022'!J:J,0)</f>
        <v>0</v>
      </c>
      <c r="P351" s="1"/>
    </row>
    <row r="352" spans="1:16" x14ac:dyDescent="0.3">
      <c r="A352" t="s">
        <v>1040</v>
      </c>
      <c r="B352" t="s">
        <v>1041</v>
      </c>
      <c r="C352">
        <f t="shared" si="20"/>
        <v>2</v>
      </c>
      <c r="D352" t="str">
        <f t="shared" si="21"/>
        <v>A</v>
      </c>
      <c r="E352" s="115" t="s">
        <v>884</v>
      </c>
      <c r="F352" t="s">
        <v>416</v>
      </c>
      <c r="G352" s="16">
        <v>399</v>
      </c>
      <c r="H352" s="50">
        <v>399</v>
      </c>
      <c r="I352" s="50" t="s">
        <v>884</v>
      </c>
      <c r="J352" s="50" t="s">
        <v>884</v>
      </c>
      <c r="K352" s="50" t="str">
        <f t="shared" si="22"/>
        <v>C</v>
      </c>
      <c r="L352" s="50">
        <f t="shared" si="23"/>
        <v>0</v>
      </c>
      <c r="M352" s="124"/>
      <c r="O352">
        <f>_xlfn.XLOOKUP(B352,'BALANCETE 2022'!B:B,'BALANCETE 2022'!J:J,0)</f>
        <v>0</v>
      </c>
    </row>
    <row r="353" spans="1:15" x14ac:dyDescent="0.3">
      <c r="A353" t="s">
        <v>1042</v>
      </c>
      <c r="B353" t="s">
        <v>1043</v>
      </c>
      <c r="C353">
        <f t="shared" si="20"/>
        <v>2</v>
      </c>
      <c r="D353" t="str">
        <f t="shared" si="21"/>
        <v>A</v>
      </c>
      <c r="E353" s="115" t="s">
        <v>1044</v>
      </c>
      <c r="F353" t="s">
        <v>416</v>
      </c>
      <c r="G353" s="16">
        <v>72389.070000000007</v>
      </c>
      <c r="H353" s="50">
        <v>40906.980000000003</v>
      </c>
      <c r="I353" s="50" t="s">
        <v>884</v>
      </c>
      <c r="J353" s="50" t="s">
        <v>884</v>
      </c>
      <c r="K353" s="50" t="str">
        <f t="shared" si="22"/>
        <v>C</v>
      </c>
      <c r="L353" s="50">
        <f t="shared" si="23"/>
        <v>0</v>
      </c>
      <c r="M353" s="124"/>
      <c r="O353">
        <f>_xlfn.XLOOKUP(B353,'BALANCETE 2022'!B:B,'BALANCETE 2022'!J:J,0)</f>
        <v>0</v>
      </c>
    </row>
    <row r="354" spans="1:15" x14ac:dyDescent="0.3">
      <c r="A354" t="s">
        <v>1045</v>
      </c>
      <c r="B354" t="s">
        <v>1046</v>
      </c>
      <c r="C354">
        <f t="shared" si="20"/>
        <v>2</v>
      </c>
      <c r="D354" t="str">
        <f t="shared" si="21"/>
        <v>A</v>
      </c>
      <c r="E354" s="115" t="s">
        <v>884</v>
      </c>
      <c r="F354" t="s">
        <v>416</v>
      </c>
      <c r="G354" s="16">
        <v>75721.820000000007</v>
      </c>
      <c r="H354" s="50">
        <v>75721.820000000007</v>
      </c>
      <c r="I354" s="50" t="s">
        <v>884</v>
      </c>
      <c r="J354" s="50" t="s">
        <v>884</v>
      </c>
      <c r="K354" s="50" t="str">
        <f t="shared" si="22"/>
        <v>C</v>
      </c>
      <c r="L354" s="50">
        <f t="shared" si="23"/>
        <v>0</v>
      </c>
      <c r="M354" s="124"/>
      <c r="O354">
        <f>_xlfn.XLOOKUP(B354,'BALANCETE 2022'!B:B,'BALANCETE 2022'!J:J,0)</f>
        <v>0</v>
      </c>
    </row>
    <row r="355" spans="1:15" x14ac:dyDescent="0.3">
      <c r="A355" t="s">
        <v>1047</v>
      </c>
      <c r="B355" t="s">
        <v>1048</v>
      </c>
      <c r="C355">
        <f t="shared" si="20"/>
        <v>2</v>
      </c>
      <c r="D355" t="str">
        <f t="shared" si="21"/>
        <v>A</v>
      </c>
      <c r="E355" s="115" t="s">
        <v>884</v>
      </c>
      <c r="F355" t="s">
        <v>416</v>
      </c>
      <c r="G355" s="16">
        <v>25010.560000000001</v>
      </c>
      <c r="H355" s="50">
        <v>25010.560000000001</v>
      </c>
      <c r="I355" s="50" t="s">
        <v>884</v>
      </c>
      <c r="J355" s="50" t="s">
        <v>884</v>
      </c>
      <c r="K355" s="50" t="str">
        <f t="shared" si="22"/>
        <v>C</v>
      </c>
      <c r="L355" s="50">
        <f t="shared" si="23"/>
        <v>0</v>
      </c>
      <c r="M355" s="124"/>
      <c r="O355">
        <f>_xlfn.XLOOKUP(B355,'BALANCETE 2022'!B:B,'BALANCETE 2022'!J:J,0)</f>
        <v>0</v>
      </c>
    </row>
    <row r="356" spans="1:15" x14ac:dyDescent="0.3">
      <c r="A356" t="s">
        <v>1049</v>
      </c>
      <c r="B356" t="s">
        <v>1050</v>
      </c>
      <c r="C356">
        <f t="shared" si="20"/>
        <v>2</v>
      </c>
      <c r="D356" t="str">
        <f t="shared" si="21"/>
        <v>A</v>
      </c>
      <c r="E356" s="115" t="s">
        <v>884</v>
      </c>
      <c r="F356" t="s">
        <v>416</v>
      </c>
      <c r="G356" s="16">
        <v>3526</v>
      </c>
      <c r="H356" s="50">
        <v>3526</v>
      </c>
      <c r="I356" s="50" t="s">
        <v>884</v>
      </c>
      <c r="J356" s="50" t="s">
        <v>884</v>
      </c>
      <c r="K356" s="50" t="str">
        <f t="shared" si="22"/>
        <v>C</v>
      </c>
      <c r="L356" s="50">
        <f t="shared" si="23"/>
        <v>0</v>
      </c>
      <c r="M356" s="124"/>
      <c r="O356">
        <f>_xlfn.XLOOKUP(B356,'BALANCETE 2022'!B:B,'BALANCETE 2022'!J:J,0)</f>
        <v>0</v>
      </c>
    </row>
    <row r="357" spans="1:15" x14ac:dyDescent="0.3">
      <c r="A357" t="s">
        <v>1051</v>
      </c>
      <c r="B357" t="s">
        <v>1052</v>
      </c>
      <c r="C357">
        <f t="shared" si="20"/>
        <v>2</v>
      </c>
      <c r="D357" t="str">
        <f t="shared" si="21"/>
        <v>A</v>
      </c>
      <c r="E357" s="115" t="s">
        <v>1053</v>
      </c>
      <c r="F357" t="s">
        <v>416</v>
      </c>
      <c r="G357" s="16">
        <v>0</v>
      </c>
      <c r="H357" s="50">
        <v>0</v>
      </c>
      <c r="I357" s="50" t="s">
        <v>1053</v>
      </c>
      <c r="J357" s="50" t="s">
        <v>1053</v>
      </c>
      <c r="K357" s="50" t="str">
        <f t="shared" si="22"/>
        <v>C</v>
      </c>
      <c r="L357" s="50">
        <f t="shared" si="23"/>
        <v>22666.7</v>
      </c>
      <c r="M357" s="124"/>
      <c r="O357">
        <f>_xlfn.XLOOKUP(B357,'BALANCETE 2022'!B:B,'BALANCETE 2022'!J:J,0)</f>
        <v>0</v>
      </c>
    </row>
    <row r="358" spans="1:15" x14ac:dyDescent="0.3">
      <c r="A358" t="s">
        <v>1054</v>
      </c>
      <c r="B358" t="s">
        <v>1055</v>
      </c>
      <c r="C358">
        <f t="shared" si="20"/>
        <v>2</v>
      </c>
      <c r="D358" t="str">
        <f t="shared" si="21"/>
        <v>A</v>
      </c>
      <c r="E358" s="115" t="s">
        <v>1056</v>
      </c>
      <c r="F358" t="s">
        <v>416</v>
      </c>
      <c r="G358" s="16">
        <v>0</v>
      </c>
      <c r="H358" s="50">
        <v>0</v>
      </c>
      <c r="I358" s="50" t="s">
        <v>1056</v>
      </c>
      <c r="J358" s="50" t="s">
        <v>1056</v>
      </c>
      <c r="K358" s="50" t="str">
        <f t="shared" si="22"/>
        <v>C</v>
      </c>
      <c r="L358" s="50">
        <f t="shared" si="23"/>
        <v>28865.8</v>
      </c>
      <c r="M358" s="124"/>
      <c r="O358">
        <f>_xlfn.XLOOKUP(B358,'BALANCETE 2022'!B:B,'BALANCETE 2022'!J:J,0)</f>
        <v>0</v>
      </c>
    </row>
    <row r="359" spans="1:15" x14ac:dyDescent="0.3">
      <c r="A359" t="s">
        <v>1057</v>
      </c>
      <c r="B359" t="s">
        <v>1058</v>
      </c>
      <c r="C359">
        <f t="shared" si="20"/>
        <v>2</v>
      </c>
      <c r="D359" t="str">
        <f t="shared" si="21"/>
        <v>A</v>
      </c>
      <c r="E359" s="115" t="s">
        <v>1059</v>
      </c>
      <c r="F359" t="s">
        <v>416</v>
      </c>
      <c r="G359" s="16">
        <v>0</v>
      </c>
      <c r="H359" s="50">
        <v>0</v>
      </c>
      <c r="I359" s="50" t="s">
        <v>1059</v>
      </c>
      <c r="J359" s="50" t="s">
        <v>1059</v>
      </c>
      <c r="K359" s="50" t="str">
        <f t="shared" si="22"/>
        <v>C</v>
      </c>
      <c r="L359" s="50">
        <f t="shared" si="23"/>
        <v>14261.4</v>
      </c>
      <c r="M359" s="124"/>
      <c r="O359">
        <f>_xlfn.XLOOKUP(B359,'BALANCETE 2022'!B:B,'BALANCETE 2022'!J:J,0)</f>
        <v>0</v>
      </c>
    </row>
    <row r="360" spans="1:15" x14ac:dyDescent="0.3">
      <c r="A360" t="s">
        <v>1060</v>
      </c>
      <c r="B360" t="s">
        <v>1061</v>
      </c>
      <c r="C360">
        <f t="shared" si="20"/>
        <v>2</v>
      </c>
      <c r="D360" t="str">
        <f t="shared" si="21"/>
        <v>A</v>
      </c>
      <c r="E360" s="115" t="s">
        <v>1062</v>
      </c>
      <c r="F360" t="s">
        <v>416</v>
      </c>
      <c r="G360" s="16">
        <v>0</v>
      </c>
      <c r="H360" s="50">
        <v>0</v>
      </c>
      <c r="I360" s="50" t="s">
        <v>1062</v>
      </c>
      <c r="J360" s="50" t="s">
        <v>1062</v>
      </c>
      <c r="K360" s="50" t="str">
        <f t="shared" si="22"/>
        <v>C</v>
      </c>
      <c r="L360" s="50">
        <f t="shared" si="23"/>
        <v>12464</v>
      </c>
      <c r="M360" s="124"/>
      <c r="O360">
        <f>_xlfn.XLOOKUP(B360,'BALANCETE 2022'!B:B,'BALANCETE 2022'!J:J,0)</f>
        <v>0</v>
      </c>
    </row>
    <row r="361" spans="1:15" x14ac:dyDescent="0.3">
      <c r="A361" t="s">
        <v>1063</v>
      </c>
      <c r="B361" t="s">
        <v>1064</v>
      </c>
      <c r="C361">
        <f t="shared" si="20"/>
        <v>2</v>
      </c>
      <c r="D361" t="str">
        <f t="shared" si="21"/>
        <v>A</v>
      </c>
      <c r="E361" s="115" t="s">
        <v>884</v>
      </c>
      <c r="F361" t="s">
        <v>416</v>
      </c>
      <c r="G361" s="16">
        <v>4418.8999999999996</v>
      </c>
      <c r="H361" s="50">
        <v>4709.16</v>
      </c>
      <c r="I361" s="50" t="s">
        <v>1065</v>
      </c>
      <c r="J361" s="50" t="s">
        <v>1065</v>
      </c>
      <c r="K361" s="50" t="str">
        <f t="shared" si="22"/>
        <v>C</v>
      </c>
      <c r="L361" s="50">
        <f t="shared" si="23"/>
        <v>290.26</v>
      </c>
      <c r="M361" s="124"/>
      <c r="O361">
        <f>_xlfn.XLOOKUP(B361,'BALANCETE 2022'!B:B,'BALANCETE 2022'!J:J,0)</f>
        <v>0</v>
      </c>
    </row>
    <row r="362" spans="1:15" x14ac:dyDescent="0.3">
      <c r="A362" t="s">
        <v>1066</v>
      </c>
      <c r="B362" t="s">
        <v>1067</v>
      </c>
      <c r="C362">
        <f t="shared" si="20"/>
        <v>2</v>
      </c>
      <c r="D362" t="str">
        <f t="shared" si="21"/>
        <v>A</v>
      </c>
      <c r="E362" s="115" t="s">
        <v>1068</v>
      </c>
      <c r="F362" t="s">
        <v>416</v>
      </c>
      <c r="G362" s="16">
        <v>8652.9699999999993</v>
      </c>
      <c r="H362" s="50">
        <v>0</v>
      </c>
      <c r="I362" s="50" t="s">
        <v>884</v>
      </c>
      <c r="J362" s="50" t="s">
        <v>884</v>
      </c>
      <c r="K362" s="50" t="str">
        <f t="shared" si="22"/>
        <v>C</v>
      </c>
      <c r="L362" s="50">
        <f t="shared" si="23"/>
        <v>0</v>
      </c>
      <c r="M362" s="124"/>
      <c r="O362">
        <f>_xlfn.XLOOKUP(B362,'BALANCETE 2022'!B:B,'BALANCETE 2022'!J:J,0)</f>
        <v>0</v>
      </c>
    </row>
    <row r="363" spans="1:15" x14ac:dyDescent="0.3">
      <c r="A363" t="s">
        <v>1069</v>
      </c>
      <c r="B363" t="s">
        <v>1070</v>
      </c>
      <c r="C363">
        <f t="shared" si="20"/>
        <v>2</v>
      </c>
      <c r="D363" t="str">
        <f t="shared" si="21"/>
        <v>A</v>
      </c>
      <c r="E363" s="115" t="s">
        <v>884</v>
      </c>
      <c r="F363" t="s">
        <v>416</v>
      </c>
      <c r="G363" s="16">
        <v>2427.7800000000002</v>
      </c>
      <c r="H363" s="50">
        <v>2427.7800000000002</v>
      </c>
      <c r="I363" s="50" t="s">
        <v>884</v>
      </c>
      <c r="J363" s="50" t="s">
        <v>884</v>
      </c>
      <c r="K363" s="50" t="str">
        <f t="shared" si="22"/>
        <v>C</v>
      </c>
      <c r="L363" s="50">
        <f t="shared" si="23"/>
        <v>0</v>
      </c>
      <c r="M363" s="124"/>
      <c r="O363">
        <f>_xlfn.XLOOKUP(B363,'BALANCETE 2022'!B:B,'BALANCETE 2022'!J:J,0)</f>
        <v>0</v>
      </c>
    </row>
    <row r="364" spans="1:15" x14ac:dyDescent="0.3">
      <c r="A364" t="s">
        <v>1071</v>
      </c>
      <c r="B364" t="s">
        <v>1072</v>
      </c>
      <c r="C364">
        <f t="shared" si="20"/>
        <v>2</v>
      </c>
      <c r="D364" t="str">
        <f t="shared" si="21"/>
        <v>A</v>
      </c>
      <c r="E364" s="115" t="s">
        <v>1073</v>
      </c>
      <c r="F364" t="s">
        <v>416</v>
      </c>
      <c r="G364" s="16">
        <v>216737.7</v>
      </c>
      <c r="H364" s="50">
        <v>216737.7</v>
      </c>
      <c r="I364" s="50" t="s">
        <v>1073</v>
      </c>
      <c r="J364" s="50" t="s">
        <v>1073</v>
      </c>
      <c r="K364" s="50" t="str">
        <f t="shared" si="22"/>
        <v>C</v>
      </c>
      <c r="L364" s="50">
        <f t="shared" si="23"/>
        <v>492668.05</v>
      </c>
      <c r="M364" s="124"/>
      <c r="O364">
        <f>_xlfn.XLOOKUP(B364,'BALANCETE 2022'!B:B,'BALANCETE 2022'!J:J,0)</f>
        <v>0</v>
      </c>
    </row>
    <row r="365" spans="1:15" x14ac:dyDescent="0.3">
      <c r="A365" t="s">
        <v>1074</v>
      </c>
      <c r="B365" t="s">
        <v>1075</v>
      </c>
      <c r="C365">
        <f t="shared" si="20"/>
        <v>2</v>
      </c>
      <c r="D365" t="str">
        <f t="shared" si="21"/>
        <v>A</v>
      </c>
      <c r="E365" s="115" t="s">
        <v>1076</v>
      </c>
      <c r="F365" t="s">
        <v>416</v>
      </c>
      <c r="G365" s="16">
        <v>0</v>
      </c>
      <c r="H365" s="50">
        <v>0</v>
      </c>
      <c r="I365" s="50" t="s">
        <v>1076</v>
      </c>
      <c r="J365" s="50" t="s">
        <v>1076</v>
      </c>
      <c r="K365" s="50" t="str">
        <f t="shared" si="22"/>
        <v>C</v>
      </c>
      <c r="L365" s="50">
        <f t="shared" si="23"/>
        <v>25987.5</v>
      </c>
      <c r="M365" s="124"/>
      <c r="O365">
        <f>_xlfn.XLOOKUP(B365,'BALANCETE 2022'!B:B,'BALANCETE 2022'!J:J,0)</f>
        <v>0</v>
      </c>
    </row>
    <row r="366" spans="1:15" x14ac:dyDescent="0.3">
      <c r="A366" t="s">
        <v>1077</v>
      </c>
      <c r="B366" t="s">
        <v>1078</v>
      </c>
      <c r="C366">
        <f t="shared" si="20"/>
        <v>2</v>
      </c>
      <c r="D366" t="str">
        <f t="shared" si="21"/>
        <v>A</v>
      </c>
      <c r="E366" s="115" t="s">
        <v>1079</v>
      </c>
      <c r="F366" t="s">
        <v>416</v>
      </c>
      <c r="G366" s="16">
        <v>0</v>
      </c>
      <c r="H366" s="50">
        <v>0</v>
      </c>
      <c r="I366" s="50" t="s">
        <v>1079</v>
      </c>
      <c r="J366" s="50" t="s">
        <v>1079</v>
      </c>
      <c r="K366" s="50" t="str">
        <f t="shared" si="22"/>
        <v>C</v>
      </c>
      <c r="L366" s="50">
        <f t="shared" si="23"/>
        <v>1400</v>
      </c>
      <c r="M366" s="124"/>
      <c r="O366">
        <f>_xlfn.XLOOKUP(B366,'BALANCETE 2022'!B:B,'BALANCETE 2022'!J:J,0)</f>
        <v>0</v>
      </c>
    </row>
    <row r="367" spans="1:15" x14ac:dyDescent="0.3">
      <c r="A367" t="s">
        <v>1080</v>
      </c>
      <c r="B367" t="s">
        <v>1081</v>
      </c>
      <c r="C367">
        <f t="shared" si="20"/>
        <v>2</v>
      </c>
      <c r="D367" t="str">
        <f t="shared" si="21"/>
        <v>A</v>
      </c>
      <c r="E367" s="115" t="s">
        <v>1082</v>
      </c>
      <c r="F367" t="s">
        <v>416</v>
      </c>
      <c r="G367" s="16">
        <v>0</v>
      </c>
      <c r="H367" s="50">
        <v>0</v>
      </c>
      <c r="I367" s="50" t="s">
        <v>1082</v>
      </c>
      <c r="J367" s="50" t="s">
        <v>1082</v>
      </c>
      <c r="K367" s="50" t="str">
        <f t="shared" si="22"/>
        <v>C</v>
      </c>
      <c r="L367" s="50">
        <f t="shared" si="23"/>
        <v>62437.279999999999</v>
      </c>
      <c r="M367" s="124"/>
      <c r="O367">
        <f>_xlfn.XLOOKUP(B367,'BALANCETE 2022'!B:B,'BALANCETE 2022'!J:J,0)</f>
        <v>0</v>
      </c>
    </row>
    <row r="368" spans="1:15" x14ac:dyDescent="0.3">
      <c r="A368" t="s">
        <v>1083</v>
      </c>
      <c r="B368" t="s">
        <v>1084</v>
      </c>
      <c r="C368">
        <f t="shared" si="20"/>
        <v>2</v>
      </c>
      <c r="D368" t="str">
        <f t="shared" si="21"/>
        <v>A</v>
      </c>
      <c r="E368" s="115" t="s">
        <v>1085</v>
      </c>
      <c r="F368" t="s">
        <v>416</v>
      </c>
      <c r="G368" s="16">
        <v>38817.83</v>
      </c>
      <c r="H368" s="50">
        <v>35761.32</v>
      </c>
      <c r="I368" s="50" t="s">
        <v>1086</v>
      </c>
      <c r="J368" s="50" t="s">
        <v>1086</v>
      </c>
      <c r="K368" s="50" t="str">
        <f t="shared" si="22"/>
        <v>C</v>
      </c>
      <c r="L368" s="50">
        <f t="shared" si="23"/>
        <v>2819.35</v>
      </c>
      <c r="M368" s="124"/>
      <c r="O368">
        <f>_xlfn.XLOOKUP(B368,'BALANCETE 2022'!B:B,'BALANCETE 2022'!J:J,0)</f>
        <v>0</v>
      </c>
    </row>
    <row r="369" spans="1:15" x14ac:dyDescent="0.3">
      <c r="A369" t="s">
        <v>1087</v>
      </c>
      <c r="B369" t="s">
        <v>1088</v>
      </c>
      <c r="C369">
        <f t="shared" si="20"/>
        <v>2</v>
      </c>
      <c r="D369" t="str">
        <f t="shared" si="21"/>
        <v>A</v>
      </c>
      <c r="E369" s="115" t="s">
        <v>884</v>
      </c>
      <c r="F369" t="s">
        <v>416</v>
      </c>
      <c r="G369" s="16">
        <v>0</v>
      </c>
      <c r="H369" s="50">
        <v>581.77</v>
      </c>
      <c r="I369" s="50" t="s">
        <v>1089</v>
      </c>
      <c r="J369" s="50" t="s">
        <v>1089</v>
      </c>
      <c r="K369" s="50" t="str">
        <f t="shared" si="22"/>
        <v>C</v>
      </c>
      <c r="L369" s="50">
        <f t="shared" si="23"/>
        <v>581.77</v>
      </c>
      <c r="M369" s="124"/>
      <c r="O369">
        <f>_xlfn.XLOOKUP(B369,'BALANCETE 2022'!B:B,'BALANCETE 2022'!J:J,0)</f>
        <v>0</v>
      </c>
    </row>
    <row r="370" spans="1:15" x14ac:dyDescent="0.3">
      <c r="A370" t="s">
        <v>1090</v>
      </c>
      <c r="B370" t="s">
        <v>1091</v>
      </c>
      <c r="C370">
        <f t="shared" si="20"/>
        <v>2</v>
      </c>
      <c r="D370" t="str">
        <f t="shared" si="21"/>
        <v>A</v>
      </c>
      <c r="E370" s="115" t="s">
        <v>1092</v>
      </c>
      <c r="F370" t="s">
        <v>416</v>
      </c>
      <c r="G370" s="16">
        <v>0</v>
      </c>
      <c r="H370" s="50">
        <v>0</v>
      </c>
      <c r="I370" s="50" t="s">
        <v>1092</v>
      </c>
      <c r="J370" s="50" t="s">
        <v>1092</v>
      </c>
      <c r="K370" s="50" t="str">
        <f t="shared" si="22"/>
        <v>C</v>
      </c>
      <c r="L370" s="50">
        <f t="shared" si="23"/>
        <v>4568.3999999999996</v>
      </c>
      <c r="M370" s="124"/>
      <c r="O370">
        <f>_xlfn.XLOOKUP(B370,'BALANCETE 2022'!B:B,'BALANCETE 2022'!J:J,0)</f>
        <v>0</v>
      </c>
    </row>
    <row r="371" spans="1:15" x14ac:dyDescent="0.3">
      <c r="A371" t="s">
        <v>1093</v>
      </c>
      <c r="B371" t="s">
        <v>1094</v>
      </c>
      <c r="C371">
        <f t="shared" si="20"/>
        <v>2</v>
      </c>
      <c r="D371" t="str">
        <f t="shared" si="21"/>
        <v>A</v>
      </c>
      <c r="E371" s="115" t="s">
        <v>884</v>
      </c>
      <c r="F371" t="s">
        <v>416</v>
      </c>
      <c r="G371" s="16">
        <v>3078</v>
      </c>
      <c r="H371" s="50">
        <v>3385.8</v>
      </c>
      <c r="I371" s="50" t="s">
        <v>1095</v>
      </c>
      <c r="J371" s="50" t="s">
        <v>1095</v>
      </c>
      <c r="K371" s="50" t="str">
        <f t="shared" si="22"/>
        <v>C</v>
      </c>
      <c r="L371" s="50">
        <f t="shared" si="23"/>
        <v>307.8</v>
      </c>
      <c r="M371" s="124"/>
      <c r="O371">
        <f>_xlfn.XLOOKUP(B371,'BALANCETE 2022'!B:B,'BALANCETE 2022'!J:J,0)</f>
        <v>0</v>
      </c>
    </row>
    <row r="372" spans="1:15" x14ac:dyDescent="0.3">
      <c r="A372" t="s">
        <v>1096</v>
      </c>
      <c r="B372" t="s">
        <v>1097</v>
      </c>
      <c r="C372">
        <f t="shared" si="20"/>
        <v>2</v>
      </c>
      <c r="D372" t="str">
        <f t="shared" si="21"/>
        <v>A</v>
      </c>
      <c r="E372" s="115" t="s">
        <v>884</v>
      </c>
      <c r="F372" t="s">
        <v>416</v>
      </c>
      <c r="G372" s="16">
        <v>2945.88</v>
      </c>
      <c r="H372" s="50">
        <v>2945.88</v>
      </c>
      <c r="I372" s="50" t="s">
        <v>884</v>
      </c>
      <c r="J372" s="50" t="s">
        <v>884</v>
      </c>
      <c r="K372" s="50" t="str">
        <f t="shared" si="22"/>
        <v>C</v>
      </c>
      <c r="L372" s="50">
        <f t="shared" si="23"/>
        <v>0</v>
      </c>
      <c r="M372" s="124"/>
      <c r="O372">
        <f>_xlfn.XLOOKUP(B372,'BALANCETE 2022'!B:B,'BALANCETE 2022'!J:J,0)</f>
        <v>0</v>
      </c>
    </row>
    <row r="373" spans="1:15" x14ac:dyDescent="0.3">
      <c r="A373" t="s">
        <v>1098</v>
      </c>
      <c r="B373" t="s">
        <v>1099</v>
      </c>
      <c r="C373">
        <f t="shared" si="20"/>
        <v>2</v>
      </c>
      <c r="D373" t="str">
        <f t="shared" si="21"/>
        <v>A</v>
      </c>
      <c r="E373" s="115" t="s">
        <v>1100</v>
      </c>
      <c r="F373" t="s">
        <v>416</v>
      </c>
      <c r="G373" s="16">
        <v>0</v>
      </c>
      <c r="H373" s="50">
        <v>0</v>
      </c>
      <c r="I373" s="50" t="s">
        <v>1100</v>
      </c>
      <c r="J373" s="50" t="s">
        <v>1100</v>
      </c>
      <c r="K373" s="50" t="str">
        <f t="shared" si="22"/>
        <v>C</v>
      </c>
      <c r="L373" s="50">
        <f t="shared" si="23"/>
        <v>2162.7399999999998</v>
      </c>
      <c r="M373" s="124"/>
      <c r="O373">
        <f>_xlfn.XLOOKUP(B373,'BALANCETE 2022'!B:B,'BALANCETE 2022'!J:J,0)</f>
        <v>0</v>
      </c>
    </row>
    <row r="374" spans="1:15" x14ac:dyDescent="0.3">
      <c r="A374" t="s">
        <v>1101</v>
      </c>
      <c r="B374" t="s">
        <v>1102</v>
      </c>
      <c r="C374">
        <f t="shared" si="20"/>
        <v>2</v>
      </c>
      <c r="D374" t="str">
        <f t="shared" si="21"/>
        <v>A</v>
      </c>
      <c r="E374" s="115" t="s">
        <v>1103</v>
      </c>
      <c r="F374" t="s">
        <v>416</v>
      </c>
      <c r="G374" s="16">
        <v>637614.81999999995</v>
      </c>
      <c r="H374" s="50">
        <v>559074.68000000005</v>
      </c>
      <c r="I374" s="50" t="s">
        <v>1104</v>
      </c>
      <c r="J374" s="50" t="s">
        <v>1104</v>
      </c>
      <c r="K374" s="50" t="str">
        <f t="shared" si="22"/>
        <v>C</v>
      </c>
      <c r="L374" s="50">
        <f t="shared" si="23"/>
        <v>125318.97</v>
      </c>
      <c r="M374" s="124"/>
      <c r="O374">
        <f>_xlfn.XLOOKUP(B374,'BALANCETE 2022'!B:B,'BALANCETE 2022'!J:J,0)</f>
        <v>0</v>
      </c>
    </row>
    <row r="375" spans="1:15" x14ac:dyDescent="0.3">
      <c r="A375" t="s">
        <v>1105</v>
      </c>
      <c r="B375" t="s">
        <v>1106</v>
      </c>
      <c r="C375">
        <f t="shared" si="20"/>
        <v>2</v>
      </c>
      <c r="D375" t="str">
        <f t="shared" si="21"/>
        <v>A</v>
      </c>
      <c r="E375" s="115" t="s">
        <v>1107</v>
      </c>
      <c r="F375" t="s">
        <v>416</v>
      </c>
      <c r="G375" s="16">
        <v>0</v>
      </c>
      <c r="H375" s="50">
        <v>0</v>
      </c>
      <c r="I375" s="50" t="s">
        <v>1107</v>
      </c>
      <c r="J375" s="50" t="s">
        <v>1107</v>
      </c>
      <c r="K375" s="50" t="str">
        <f t="shared" si="22"/>
        <v>C</v>
      </c>
      <c r="L375" s="50">
        <f t="shared" si="23"/>
        <v>26560</v>
      </c>
      <c r="M375" s="124"/>
      <c r="O375">
        <f>_xlfn.XLOOKUP(B375,'BALANCETE 2022'!B:B,'BALANCETE 2022'!J:J,0)</f>
        <v>0</v>
      </c>
    </row>
    <row r="376" spans="1:15" x14ac:dyDescent="0.3">
      <c r="A376" t="s">
        <v>1108</v>
      </c>
      <c r="B376" t="s">
        <v>1109</v>
      </c>
      <c r="C376">
        <f t="shared" si="20"/>
        <v>2</v>
      </c>
      <c r="D376" t="str">
        <f t="shared" si="21"/>
        <v>A</v>
      </c>
      <c r="E376" s="115" t="s">
        <v>1110</v>
      </c>
      <c r="F376" t="s">
        <v>416</v>
      </c>
      <c r="G376" s="16">
        <v>0</v>
      </c>
      <c r="H376" s="50">
        <v>0</v>
      </c>
      <c r="I376" s="50" t="s">
        <v>1110</v>
      </c>
      <c r="J376" s="50" t="s">
        <v>1110</v>
      </c>
      <c r="K376" s="50" t="str">
        <f t="shared" si="22"/>
        <v>C</v>
      </c>
      <c r="L376" s="50">
        <f t="shared" si="23"/>
        <v>93760.88</v>
      </c>
      <c r="M376" s="124"/>
      <c r="O376">
        <f>_xlfn.XLOOKUP(B376,'BALANCETE 2022'!B:B,'BALANCETE 2022'!J:J,0)</f>
        <v>0</v>
      </c>
    </row>
    <row r="377" spans="1:15" x14ac:dyDescent="0.3">
      <c r="A377" t="s">
        <v>1111</v>
      </c>
      <c r="B377" t="s">
        <v>1112</v>
      </c>
      <c r="C377">
        <f t="shared" si="20"/>
        <v>2</v>
      </c>
      <c r="D377" t="str">
        <f t="shared" si="21"/>
        <v>A</v>
      </c>
      <c r="E377" s="115" t="s">
        <v>1113</v>
      </c>
      <c r="F377" t="s">
        <v>416</v>
      </c>
      <c r="G377" s="16">
        <v>204.6</v>
      </c>
      <c r="H377" s="50">
        <v>0</v>
      </c>
      <c r="I377" s="50" t="s">
        <v>1114</v>
      </c>
      <c r="J377" s="50" t="s">
        <v>1114</v>
      </c>
      <c r="K377" s="50" t="str">
        <f t="shared" si="22"/>
        <v>C</v>
      </c>
      <c r="L377" s="50">
        <f t="shared" si="23"/>
        <v>50328.58</v>
      </c>
      <c r="M377" s="124"/>
      <c r="O377">
        <f>_xlfn.XLOOKUP(B377,'BALANCETE 2022'!B:B,'BALANCETE 2022'!J:J,0)</f>
        <v>0</v>
      </c>
    </row>
    <row r="378" spans="1:15" x14ac:dyDescent="0.3">
      <c r="A378" t="s">
        <v>1115</v>
      </c>
      <c r="B378" t="s">
        <v>1116</v>
      </c>
      <c r="C378">
        <f t="shared" si="20"/>
        <v>2</v>
      </c>
      <c r="D378" t="str">
        <f t="shared" si="21"/>
        <v>A</v>
      </c>
      <c r="E378" s="115" t="s">
        <v>1117</v>
      </c>
      <c r="F378" t="s">
        <v>416</v>
      </c>
      <c r="G378" s="16">
        <v>0</v>
      </c>
      <c r="H378" s="50">
        <v>0</v>
      </c>
      <c r="I378" s="50" t="s">
        <v>1117</v>
      </c>
      <c r="J378" s="50" t="s">
        <v>1117</v>
      </c>
      <c r="K378" s="50" t="str">
        <f t="shared" si="22"/>
        <v>C</v>
      </c>
      <c r="L378" s="50">
        <f t="shared" si="23"/>
        <v>4377.46</v>
      </c>
      <c r="M378" s="124"/>
      <c r="O378">
        <f>_xlfn.XLOOKUP(B378,'BALANCETE 2022'!B:B,'BALANCETE 2022'!J:J,0)</f>
        <v>0</v>
      </c>
    </row>
    <row r="379" spans="1:15" x14ac:dyDescent="0.3">
      <c r="A379" t="s">
        <v>1118</v>
      </c>
      <c r="B379" t="s">
        <v>1119</v>
      </c>
      <c r="C379">
        <f t="shared" si="20"/>
        <v>2</v>
      </c>
      <c r="D379" t="str">
        <f t="shared" si="21"/>
        <v>A</v>
      </c>
      <c r="E379" s="115" t="s">
        <v>1120</v>
      </c>
      <c r="F379" t="s">
        <v>416</v>
      </c>
      <c r="G379" s="16">
        <v>0</v>
      </c>
      <c r="H379" s="50">
        <v>0</v>
      </c>
      <c r="I379" s="50" t="s">
        <v>1120</v>
      </c>
      <c r="J379" s="50" t="s">
        <v>1120</v>
      </c>
      <c r="K379" s="50" t="str">
        <f t="shared" si="22"/>
        <v>C</v>
      </c>
      <c r="L379" s="50">
        <f t="shared" si="23"/>
        <v>7498.61</v>
      </c>
      <c r="M379" s="124"/>
      <c r="O379">
        <f>_xlfn.XLOOKUP(B379,'BALANCETE 2022'!B:B,'BALANCETE 2022'!J:J,0)</f>
        <v>0</v>
      </c>
    </row>
    <row r="380" spans="1:15" x14ac:dyDescent="0.3">
      <c r="A380" t="s">
        <v>1121</v>
      </c>
      <c r="B380" t="s">
        <v>1122</v>
      </c>
      <c r="C380">
        <f t="shared" si="20"/>
        <v>2</v>
      </c>
      <c r="D380" t="str">
        <f t="shared" si="21"/>
        <v>A</v>
      </c>
      <c r="E380" s="115" t="s">
        <v>1123</v>
      </c>
      <c r="F380" t="s">
        <v>416</v>
      </c>
      <c r="G380" s="16">
        <v>0</v>
      </c>
      <c r="H380" s="50">
        <v>0</v>
      </c>
      <c r="I380" s="50" t="s">
        <v>1123</v>
      </c>
      <c r="J380" s="50" t="s">
        <v>1123</v>
      </c>
      <c r="K380" s="50" t="str">
        <f t="shared" si="22"/>
        <v>C</v>
      </c>
      <c r="L380" s="50">
        <f t="shared" si="23"/>
        <v>57733.22</v>
      </c>
      <c r="M380" s="124"/>
      <c r="O380">
        <f>_xlfn.XLOOKUP(B380,'BALANCETE 2022'!B:B,'BALANCETE 2022'!J:J,0)</f>
        <v>0</v>
      </c>
    </row>
    <row r="381" spans="1:15" x14ac:dyDescent="0.3">
      <c r="A381" t="s">
        <v>1124</v>
      </c>
      <c r="B381" t="s">
        <v>1125</v>
      </c>
      <c r="C381">
        <f t="shared" si="20"/>
        <v>2</v>
      </c>
      <c r="D381" t="str">
        <f t="shared" si="21"/>
        <v>A</v>
      </c>
      <c r="E381" s="115" t="s">
        <v>1126</v>
      </c>
      <c r="F381" t="s">
        <v>416</v>
      </c>
      <c r="G381" s="16">
        <v>0</v>
      </c>
      <c r="H381" s="50">
        <v>0</v>
      </c>
      <c r="I381" s="50" t="s">
        <v>1126</v>
      </c>
      <c r="J381" s="50" t="s">
        <v>1126</v>
      </c>
      <c r="K381" s="50" t="str">
        <f t="shared" si="22"/>
        <v>C</v>
      </c>
      <c r="L381" s="50">
        <f t="shared" si="23"/>
        <v>3140</v>
      </c>
      <c r="M381" s="124"/>
      <c r="O381">
        <f>_xlfn.XLOOKUP(B381,'BALANCETE 2022'!B:B,'BALANCETE 2022'!J:J,0)</f>
        <v>0</v>
      </c>
    </row>
    <row r="382" spans="1:15" x14ac:dyDescent="0.3">
      <c r="A382" t="s">
        <v>1127</v>
      </c>
      <c r="B382" t="s">
        <v>1128</v>
      </c>
      <c r="C382">
        <f t="shared" si="20"/>
        <v>2</v>
      </c>
      <c r="D382" t="str">
        <f t="shared" si="21"/>
        <v>A</v>
      </c>
      <c r="E382" s="115" t="s">
        <v>1129</v>
      </c>
      <c r="F382" t="s">
        <v>416</v>
      </c>
      <c r="G382" s="16">
        <v>0</v>
      </c>
      <c r="H382" s="50">
        <v>0</v>
      </c>
      <c r="I382" s="50" t="s">
        <v>1129</v>
      </c>
      <c r="J382" s="50" t="s">
        <v>1129</v>
      </c>
      <c r="K382" s="50" t="str">
        <f t="shared" si="22"/>
        <v>C</v>
      </c>
      <c r="L382" s="50">
        <f t="shared" si="23"/>
        <v>8101.4</v>
      </c>
      <c r="M382" s="124"/>
      <c r="O382">
        <f>_xlfn.XLOOKUP(B382,'BALANCETE 2022'!B:B,'BALANCETE 2022'!J:J,0)</f>
        <v>0</v>
      </c>
    </row>
    <row r="383" spans="1:15" x14ac:dyDescent="0.3">
      <c r="A383" t="s">
        <v>1130</v>
      </c>
      <c r="B383" t="s">
        <v>1131</v>
      </c>
      <c r="C383">
        <f t="shared" si="20"/>
        <v>2</v>
      </c>
      <c r="D383" t="str">
        <f t="shared" si="21"/>
        <v>A</v>
      </c>
      <c r="E383" s="115" t="s">
        <v>1132</v>
      </c>
      <c r="F383" t="s">
        <v>416</v>
      </c>
      <c r="G383" s="16">
        <v>0</v>
      </c>
      <c r="H383" s="50">
        <v>0</v>
      </c>
      <c r="I383" s="50" t="s">
        <v>1132</v>
      </c>
      <c r="J383" s="50" t="s">
        <v>1132</v>
      </c>
      <c r="K383" s="50" t="str">
        <f t="shared" si="22"/>
        <v>C</v>
      </c>
      <c r="L383" s="50">
        <f t="shared" si="23"/>
        <v>51272.75</v>
      </c>
      <c r="M383" s="124"/>
      <c r="O383">
        <f>_xlfn.XLOOKUP(B383,'BALANCETE 2022'!B:B,'BALANCETE 2022'!J:J,0)</f>
        <v>0</v>
      </c>
    </row>
    <row r="384" spans="1:15" x14ac:dyDescent="0.3">
      <c r="A384" t="s">
        <v>1133</v>
      </c>
      <c r="B384" t="s">
        <v>1134</v>
      </c>
      <c r="C384">
        <f t="shared" si="20"/>
        <v>2</v>
      </c>
      <c r="D384" t="str">
        <f t="shared" si="21"/>
        <v>A</v>
      </c>
      <c r="E384" s="115" t="s">
        <v>1135</v>
      </c>
      <c r="F384" t="s">
        <v>416</v>
      </c>
      <c r="G384" s="16">
        <v>14923.95</v>
      </c>
      <c r="H384" s="50">
        <v>14707.79</v>
      </c>
      <c r="I384" s="50" t="s">
        <v>1136</v>
      </c>
      <c r="J384" s="50" t="s">
        <v>1136</v>
      </c>
      <c r="K384" s="50" t="str">
        <f t="shared" si="22"/>
        <v>C</v>
      </c>
      <c r="L384" s="50">
        <f t="shared" si="23"/>
        <v>2979.95</v>
      </c>
      <c r="M384" s="124"/>
      <c r="O384">
        <f>_xlfn.XLOOKUP(B384,'BALANCETE 2022'!B:B,'BALANCETE 2022'!J:J,0)</f>
        <v>0</v>
      </c>
    </row>
    <row r="385" spans="1:15" x14ac:dyDescent="0.3">
      <c r="A385" t="s">
        <v>1137</v>
      </c>
      <c r="B385" t="s">
        <v>1138</v>
      </c>
      <c r="C385">
        <f t="shared" si="20"/>
        <v>2</v>
      </c>
      <c r="D385" t="str">
        <f t="shared" si="21"/>
        <v>A</v>
      </c>
      <c r="E385" s="115" t="s">
        <v>1139</v>
      </c>
      <c r="F385" t="s">
        <v>416</v>
      </c>
      <c r="G385" s="16">
        <v>0</v>
      </c>
      <c r="H385" s="50">
        <v>0</v>
      </c>
      <c r="I385" s="50" t="s">
        <v>1139</v>
      </c>
      <c r="J385" s="50" t="s">
        <v>1139</v>
      </c>
      <c r="K385" s="50" t="str">
        <f t="shared" si="22"/>
        <v>C</v>
      </c>
      <c r="L385" s="50">
        <f t="shared" si="23"/>
        <v>21663.5</v>
      </c>
      <c r="M385" s="124"/>
      <c r="O385">
        <f>_xlfn.XLOOKUP(B385,'BALANCETE 2022'!B:B,'BALANCETE 2022'!J:J,0)</f>
        <v>0</v>
      </c>
    </row>
    <row r="386" spans="1:15" x14ac:dyDescent="0.3">
      <c r="A386" t="s">
        <v>1140</v>
      </c>
      <c r="B386" t="s">
        <v>1141</v>
      </c>
      <c r="C386">
        <f t="shared" si="20"/>
        <v>2</v>
      </c>
      <c r="D386" t="str">
        <f t="shared" si="21"/>
        <v>A</v>
      </c>
      <c r="E386" s="115" t="s">
        <v>884</v>
      </c>
      <c r="F386" t="s">
        <v>416</v>
      </c>
      <c r="G386" s="16">
        <v>8820</v>
      </c>
      <c r="H386" s="50">
        <v>8820</v>
      </c>
      <c r="I386" s="50" t="s">
        <v>884</v>
      </c>
      <c r="J386" s="50" t="s">
        <v>884</v>
      </c>
      <c r="K386" s="50" t="str">
        <f t="shared" si="22"/>
        <v>C</v>
      </c>
      <c r="L386" s="50">
        <f t="shared" si="23"/>
        <v>0</v>
      </c>
      <c r="M386" s="124"/>
      <c r="O386">
        <f>_xlfn.XLOOKUP(B386,'BALANCETE 2022'!B:B,'BALANCETE 2022'!J:J,0)</f>
        <v>0</v>
      </c>
    </row>
    <row r="387" spans="1:15" x14ac:dyDescent="0.3">
      <c r="A387" t="s">
        <v>1142</v>
      </c>
      <c r="B387" t="s">
        <v>1143</v>
      </c>
      <c r="C387">
        <f t="shared" si="20"/>
        <v>2</v>
      </c>
      <c r="D387" t="str">
        <f t="shared" si="21"/>
        <v>A</v>
      </c>
      <c r="E387" s="115" t="s">
        <v>884</v>
      </c>
      <c r="F387" t="s">
        <v>416</v>
      </c>
      <c r="G387" s="16">
        <v>5435.31</v>
      </c>
      <c r="H387" s="50">
        <v>5435.31</v>
      </c>
      <c r="I387" s="50" t="s">
        <v>884</v>
      </c>
      <c r="J387" s="50" t="s">
        <v>884</v>
      </c>
      <c r="K387" s="50" t="str">
        <f t="shared" si="22"/>
        <v>C</v>
      </c>
      <c r="L387" s="50">
        <f t="shared" si="23"/>
        <v>0</v>
      </c>
      <c r="M387" s="124"/>
      <c r="O387">
        <f>_xlfn.XLOOKUP(B387,'BALANCETE 2022'!B:B,'BALANCETE 2022'!J:J,0)</f>
        <v>0</v>
      </c>
    </row>
    <row r="388" spans="1:15" x14ac:dyDescent="0.3">
      <c r="A388" t="s">
        <v>1144</v>
      </c>
      <c r="B388" t="s">
        <v>1145</v>
      </c>
      <c r="C388">
        <f t="shared" si="20"/>
        <v>2</v>
      </c>
      <c r="D388" t="str">
        <f t="shared" si="21"/>
        <v>A</v>
      </c>
      <c r="E388" s="115" t="s">
        <v>1146</v>
      </c>
      <c r="F388" t="s">
        <v>416</v>
      </c>
      <c r="G388" s="16">
        <v>15000</v>
      </c>
      <c r="H388" s="50">
        <v>18000</v>
      </c>
      <c r="I388" s="50" t="s">
        <v>1147</v>
      </c>
      <c r="J388" s="50" t="s">
        <v>1147</v>
      </c>
      <c r="K388" s="50" t="str">
        <f t="shared" si="22"/>
        <v>C</v>
      </c>
      <c r="L388" s="50">
        <f t="shared" si="23"/>
        <v>6000</v>
      </c>
      <c r="M388" s="124"/>
      <c r="O388">
        <f>_xlfn.XLOOKUP(B388,'BALANCETE 2022'!B:B,'BALANCETE 2022'!J:J,0)</f>
        <v>0</v>
      </c>
    </row>
    <row r="389" spans="1:15" x14ac:dyDescent="0.3">
      <c r="A389" t="s">
        <v>1148</v>
      </c>
      <c r="B389" t="s">
        <v>1149</v>
      </c>
      <c r="C389">
        <f t="shared" si="20"/>
        <v>2</v>
      </c>
      <c r="D389" t="str">
        <f t="shared" si="21"/>
        <v>A</v>
      </c>
      <c r="E389" s="115" t="s">
        <v>1150</v>
      </c>
      <c r="F389" t="s">
        <v>416</v>
      </c>
      <c r="G389" s="16">
        <v>0</v>
      </c>
      <c r="H389" s="50">
        <v>0</v>
      </c>
      <c r="I389" s="50" t="s">
        <v>1150</v>
      </c>
      <c r="J389" s="50" t="s">
        <v>1150</v>
      </c>
      <c r="K389" s="50" t="str">
        <f t="shared" si="22"/>
        <v>C</v>
      </c>
      <c r="L389" s="50">
        <f t="shared" si="23"/>
        <v>6860</v>
      </c>
      <c r="M389" s="124"/>
      <c r="O389">
        <f>_xlfn.XLOOKUP(B389,'BALANCETE 2022'!B:B,'BALANCETE 2022'!J:J,0)</f>
        <v>0</v>
      </c>
    </row>
    <row r="390" spans="1:15" x14ac:dyDescent="0.3">
      <c r="A390" t="s">
        <v>1151</v>
      </c>
      <c r="B390" t="s">
        <v>1152</v>
      </c>
      <c r="C390">
        <f t="shared" si="20"/>
        <v>2</v>
      </c>
      <c r="D390" t="str">
        <f t="shared" si="21"/>
        <v>A</v>
      </c>
      <c r="E390" s="115" t="s">
        <v>1153</v>
      </c>
      <c r="F390" t="s">
        <v>416</v>
      </c>
      <c r="G390" s="16">
        <v>0</v>
      </c>
      <c r="H390" s="50">
        <v>0</v>
      </c>
      <c r="I390" s="50" t="s">
        <v>1153</v>
      </c>
      <c r="J390" s="50" t="s">
        <v>1153</v>
      </c>
      <c r="K390" s="50" t="str">
        <f t="shared" si="22"/>
        <v>C</v>
      </c>
      <c r="L390" s="50">
        <f t="shared" si="23"/>
        <v>8126.96</v>
      </c>
      <c r="M390" s="124"/>
      <c r="O390">
        <f>_xlfn.XLOOKUP(B390,'BALANCETE 2022'!B:B,'BALANCETE 2022'!J:J,0)</f>
        <v>0</v>
      </c>
    </row>
    <row r="391" spans="1:15" x14ac:dyDescent="0.3">
      <c r="A391" t="s">
        <v>1154</v>
      </c>
      <c r="B391" t="s">
        <v>1155</v>
      </c>
      <c r="C391">
        <f t="shared" si="20"/>
        <v>2</v>
      </c>
      <c r="D391" t="str">
        <f t="shared" si="21"/>
        <v>A</v>
      </c>
      <c r="E391" s="115" t="s">
        <v>1156</v>
      </c>
      <c r="F391" t="s">
        <v>416</v>
      </c>
      <c r="G391" s="16">
        <v>0</v>
      </c>
      <c r="H391" s="50">
        <v>0</v>
      </c>
      <c r="I391" s="50" t="s">
        <v>1156</v>
      </c>
      <c r="J391" s="50" t="s">
        <v>1156</v>
      </c>
      <c r="K391" s="50" t="str">
        <f t="shared" si="22"/>
        <v>C</v>
      </c>
      <c r="L391" s="50">
        <f t="shared" si="23"/>
        <v>6400.35</v>
      </c>
      <c r="M391" s="124"/>
      <c r="O391">
        <f>_xlfn.XLOOKUP(B391,'BALANCETE 2022'!B:B,'BALANCETE 2022'!J:J,0)</f>
        <v>0</v>
      </c>
    </row>
    <row r="392" spans="1:15" x14ac:dyDescent="0.3">
      <c r="A392" t="s">
        <v>1157</v>
      </c>
      <c r="B392" t="s">
        <v>1158</v>
      </c>
      <c r="C392">
        <f t="shared" si="20"/>
        <v>2</v>
      </c>
      <c r="D392" t="str">
        <f t="shared" si="21"/>
        <v>A</v>
      </c>
      <c r="E392" s="115" t="s">
        <v>1159</v>
      </c>
      <c r="F392" t="s">
        <v>416</v>
      </c>
      <c r="G392" s="16">
        <v>0</v>
      </c>
      <c r="H392" s="50">
        <v>0</v>
      </c>
      <c r="I392" s="50" t="s">
        <v>1159</v>
      </c>
      <c r="J392" s="50" t="s">
        <v>1159</v>
      </c>
      <c r="K392" s="50" t="str">
        <f t="shared" si="22"/>
        <v>C</v>
      </c>
      <c r="L392" s="50">
        <f t="shared" si="23"/>
        <v>5880</v>
      </c>
      <c r="M392" s="124"/>
      <c r="O392">
        <f>_xlfn.XLOOKUP(B392,'BALANCETE 2022'!B:B,'BALANCETE 2022'!J:J,0)</f>
        <v>0</v>
      </c>
    </row>
    <row r="393" spans="1:15" x14ac:dyDescent="0.3">
      <c r="A393" t="s">
        <v>1160</v>
      </c>
      <c r="B393" t="s">
        <v>1161</v>
      </c>
      <c r="C393">
        <f t="shared" si="20"/>
        <v>2</v>
      </c>
      <c r="D393" t="str">
        <f t="shared" si="21"/>
        <v>A</v>
      </c>
      <c r="E393" s="115" t="s">
        <v>1162</v>
      </c>
      <c r="F393" t="s">
        <v>416</v>
      </c>
      <c r="G393" s="16">
        <v>0</v>
      </c>
      <c r="H393" s="50">
        <v>0</v>
      </c>
      <c r="I393" s="50" t="s">
        <v>1162</v>
      </c>
      <c r="J393" s="50" t="s">
        <v>1162</v>
      </c>
      <c r="K393" s="50" t="str">
        <f t="shared" si="22"/>
        <v>C</v>
      </c>
      <c r="L393" s="50">
        <f t="shared" si="23"/>
        <v>1359.98</v>
      </c>
      <c r="M393" s="124"/>
      <c r="O393">
        <f>_xlfn.XLOOKUP(B393,'BALANCETE 2022'!B:B,'BALANCETE 2022'!J:J,0)</f>
        <v>0</v>
      </c>
    </row>
    <row r="394" spans="1:15" x14ac:dyDescent="0.3">
      <c r="A394" t="s">
        <v>1163</v>
      </c>
      <c r="B394" t="s">
        <v>1164</v>
      </c>
      <c r="C394">
        <f t="shared" ref="C394:C457" si="24">(LEFT(SUBSTITUTE(B394,"[",""),1))+0</f>
        <v>2</v>
      </c>
      <c r="D394" t="str">
        <f t="shared" ref="D394:D457" si="25">IF((LEN(B394)+0)&lt;15,"s","A")</f>
        <v>A</v>
      </c>
      <c r="E394" s="115" t="s">
        <v>1165</v>
      </c>
      <c r="F394" t="s">
        <v>416</v>
      </c>
      <c r="G394" s="16">
        <v>0</v>
      </c>
      <c r="H394" s="50">
        <v>0</v>
      </c>
      <c r="I394" s="50" t="s">
        <v>1165</v>
      </c>
      <c r="J394" s="50" t="s">
        <v>1165</v>
      </c>
      <c r="K394" s="50" t="str">
        <f t="shared" ref="K394:K457" si="26">RIGHT(J394)</f>
        <v>C</v>
      </c>
      <c r="L394" s="50">
        <f t="shared" ref="L394:L457" si="27">(SUBSTITUTE(SUBSTITUTE(J394,"D","",1),"C","",1)+0)*IF(K394=F394,1,-1)</f>
        <v>16000</v>
      </c>
      <c r="M394" s="124"/>
      <c r="O394">
        <f>_xlfn.XLOOKUP(B394,'BALANCETE 2022'!B:B,'BALANCETE 2022'!J:J,0)</f>
        <v>0</v>
      </c>
    </row>
    <row r="395" spans="1:15" x14ac:dyDescent="0.3">
      <c r="A395" t="s">
        <v>1166</v>
      </c>
      <c r="B395" t="s">
        <v>1167</v>
      </c>
      <c r="C395">
        <f t="shared" si="24"/>
        <v>2</v>
      </c>
      <c r="D395" t="str">
        <f t="shared" si="25"/>
        <v>A</v>
      </c>
      <c r="E395" s="115" t="s">
        <v>1168</v>
      </c>
      <c r="F395" t="s">
        <v>416</v>
      </c>
      <c r="G395" s="16">
        <v>0</v>
      </c>
      <c r="H395" s="50">
        <v>0</v>
      </c>
      <c r="I395" s="50" t="s">
        <v>1168</v>
      </c>
      <c r="J395" s="50" t="s">
        <v>1168</v>
      </c>
      <c r="K395" s="50" t="str">
        <f t="shared" si="26"/>
        <v>C</v>
      </c>
      <c r="L395" s="50">
        <f t="shared" si="27"/>
        <v>20834.7</v>
      </c>
      <c r="M395" s="124"/>
      <c r="O395">
        <f>_xlfn.XLOOKUP(B395,'BALANCETE 2022'!B:B,'BALANCETE 2022'!J:J,0)</f>
        <v>0</v>
      </c>
    </row>
    <row r="396" spans="1:15" x14ac:dyDescent="0.3">
      <c r="A396" t="s">
        <v>1169</v>
      </c>
      <c r="B396" t="s">
        <v>1170</v>
      </c>
      <c r="C396">
        <f t="shared" si="24"/>
        <v>2</v>
      </c>
      <c r="D396" t="str">
        <f t="shared" si="25"/>
        <v>A</v>
      </c>
      <c r="E396" s="115" t="s">
        <v>1171</v>
      </c>
      <c r="F396" t="s">
        <v>416</v>
      </c>
      <c r="G396" s="16">
        <v>0</v>
      </c>
      <c r="H396" s="50">
        <v>0</v>
      </c>
      <c r="I396" s="50" t="s">
        <v>1171</v>
      </c>
      <c r="J396" s="50" t="s">
        <v>1171</v>
      </c>
      <c r="K396" s="50" t="str">
        <f t="shared" si="26"/>
        <v>C</v>
      </c>
      <c r="L396" s="50">
        <f t="shared" si="27"/>
        <v>8108.32</v>
      </c>
      <c r="M396" s="124"/>
      <c r="O396">
        <f>_xlfn.XLOOKUP(B396,'BALANCETE 2022'!B:B,'BALANCETE 2022'!J:J,0)</f>
        <v>0</v>
      </c>
    </row>
    <row r="397" spans="1:15" x14ac:dyDescent="0.3">
      <c r="A397" t="s">
        <v>1172</v>
      </c>
      <c r="B397" t="s">
        <v>1173</v>
      </c>
      <c r="C397">
        <f t="shared" si="24"/>
        <v>2</v>
      </c>
      <c r="D397" t="str">
        <f t="shared" si="25"/>
        <v>A</v>
      </c>
      <c r="E397" s="115" t="s">
        <v>1174</v>
      </c>
      <c r="F397" t="s">
        <v>416</v>
      </c>
      <c r="G397" s="16">
        <v>8216.02</v>
      </c>
      <c r="H397" s="50">
        <v>6862.3</v>
      </c>
      <c r="I397" s="50" t="s">
        <v>1175</v>
      </c>
      <c r="J397" s="50" t="s">
        <v>1175</v>
      </c>
      <c r="K397" s="50" t="str">
        <f t="shared" si="26"/>
        <v>C</v>
      </c>
      <c r="L397" s="50">
        <f t="shared" si="27"/>
        <v>4251.3</v>
      </c>
      <c r="M397" s="124"/>
      <c r="O397">
        <f>_xlfn.XLOOKUP(B397,'BALANCETE 2022'!B:B,'BALANCETE 2022'!J:J,0)</f>
        <v>0</v>
      </c>
    </row>
    <row r="398" spans="1:15" x14ac:dyDescent="0.3">
      <c r="A398" t="s">
        <v>1176</v>
      </c>
      <c r="B398" t="s">
        <v>1177</v>
      </c>
      <c r="C398">
        <f t="shared" si="24"/>
        <v>2</v>
      </c>
      <c r="D398" t="str">
        <f t="shared" si="25"/>
        <v>A</v>
      </c>
      <c r="E398" s="115" t="s">
        <v>1178</v>
      </c>
      <c r="F398" t="s">
        <v>416</v>
      </c>
      <c r="G398" s="16">
        <v>0</v>
      </c>
      <c r="H398" s="50">
        <v>0</v>
      </c>
      <c r="I398" s="50" t="s">
        <v>1178</v>
      </c>
      <c r="J398" s="50" t="s">
        <v>1178</v>
      </c>
      <c r="K398" s="50" t="str">
        <f t="shared" si="26"/>
        <v>C</v>
      </c>
      <c r="L398" s="50">
        <f t="shared" si="27"/>
        <v>4000</v>
      </c>
      <c r="M398" s="124"/>
      <c r="O398">
        <f>_xlfn.XLOOKUP(B398,'BALANCETE 2022'!B:B,'BALANCETE 2022'!J:J,0)</f>
        <v>0</v>
      </c>
    </row>
    <row r="399" spans="1:15" x14ac:dyDescent="0.3">
      <c r="A399" t="s">
        <v>1179</v>
      </c>
      <c r="B399" t="s">
        <v>1180</v>
      </c>
      <c r="C399">
        <f t="shared" si="24"/>
        <v>2</v>
      </c>
      <c r="D399" t="str">
        <f t="shared" si="25"/>
        <v>A</v>
      </c>
      <c r="E399" s="115" t="s">
        <v>1181</v>
      </c>
      <c r="F399" t="s">
        <v>416</v>
      </c>
      <c r="G399" s="16">
        <v>0</v>
      </c>
      <c r="H399" s="50">
        <v>0</v>
      </c>
      <c r="I399" s="50" t="s">
        <v>1181</v>
      </c>
      <c r="J399" s="50" t="s">
        <v>1181</v>
      </c>
      <c r="K399" s="50" t="str">
        <f t="shared" si="26"/>
        <v>C</v>
      </c>
      <c r="L399" s="50">
        <f t="shared" si="27"/>
        <v>116462.14</v>
      </c>
      <c r="M399" s="124"/>
      <c r="O399">
        <f>_xlfn.XLOOKUP(B399,'BALANCETE 2022'!B:B,'BALANCETE 2022'!J:J,0)</f>
        <v>0</v>
      </c>
    </row>
    <row r="400" spans="1:15" x14ac:dyDescent="0.3">
      <c r="A400" t="s">
        <v>1182</v>
      </c>
      <c r="B400" t="s">
        <v>1183</v>
      </c>
      <c r="C400">
        <f t="shared" si="24"/>
        <v>2</v>
      </c>
      <c r="D400" t="str">
        <f t="shared" si="25"/>
        <v>A</v>
      </c>
      <c r="E400" s="115" t="s">
        <v>1184</v>
      </c>
      <c r="F400" t="s">
        <v>416</v>
      </c>
      <c r="G400" s="16">
        <v>0</v>
      </c>
      <c r="H400" s="50">
        <v>0</v>
      </c>
      <c r="I400" s="50" t="s">
        <v>1184</v>
      </c>
      <c r="J400" s="50" t="s">
        <v>1184</v>
      </c>
      <c r="K400" s="50" t="str">
        <f t="shared" si="26"/>
        <v>C</v>
      </c>
      <c r="L400" s="50">
        <f t="shared" si="27"/>
        <v>11074.28</v>
      </c>
      <c r="M400" s="124"/>
      <c r="O400">
        <f>_xlfn.XLOOKUP(B400,'BALANCETE 2022'!B:B,'BALANCETE 2022'!J:J,0)</f>
        <v>0</v>
      </c>
    </row>
    <row r="401" spans="1:15" x14ac:dyDescent="0.3">
      <c r="A401" t="s">
        <v>1185</v>
      </c>
      <c r="B401" t="s">
        <v>1186</v>
      </c>
      <c r="C401">
        <f t="shared" si="24"/>
        <v>2</v>
      </c>
      <c r="D401" t="str">
        <f t="shared" si="25"/>
        <v>A</v>
      </c>
      <c r="E401" s="115" t="s">
        <v>1187</v>
      </c>
      <c r="F401" t="s">
        <v>416</v>
      </c>
      <c r="G401" s="16">
        <v>697.94</v>
      </c>
      <c r="H401" s="50">
        <v>701.16</v>
      </c>
      <c r="I401" s="50" t="s">
        <v>1188</v>
      </c>
      <c r="J401" s="50" t="s">
        <v>1188</v>
      </c>
      <c r="K401" s="50" t="str">
        <f t="shared" si="26"/>
        <v>C</v>
      </c>
      <c r="L401" s="50">
        <f t="shared" si="27"/>
        <v>16.47</v>
      </c>
      <c r="M401" s="124"/>
      <c r="O401">
        <f>_xlfn.XLOOKUP(B401,'BALANCETE 2022'!B:B,'BALANCETE 2022'!J:J,0)</f>
        <v>0</v>
      </c>
    </row>
    <row r="402" spans="1:15" x14ac:dyDescent="0.3">
      <c r="A402" t="s">
        <v>1189</v>
      </c>
      <c r="B402" t="s">
        <v>1190</v>
      </c>
      <c r="C402">
        <f t="shared" si="24"/>
        <v>2</v>
      </c>
      <c r="D402" t="str">
        <f t="shared" si="25"/>
        <v>A</v>
      </c>
      <c r="E402" s="115" t="s">
        <v>884</v>
      </c>
      <c r="F402" t="s">
        <v>416</v>
      </c>
      <c r="G402" s="16">
        <v>42448.4</v>
      </c>
      <c r="H402" s="50">
        <v>42448.4</v>
      </c>
      <c r="I402" s="50" t="s">
        <v>884</v>
      </c>
      <c r="J402" s="50" t="s">
        <v>884</v>
      </c>
      <c r="K402" s="50" t="str">
        <f t="shared" si="26"/>
        <v>C</v>
      </c>
      <c r="L402" s="50">
        <f t="shared" si="27"/>
        <v>0</v>
      </c>
      <c r="M402" s="124"/>
      <c r="O402">
        <f>_xlfn.XLOOKUP(B402,'BALANCETE 2022'!B:B,'BALANCETE 2022'!J:J,0)</f>
        <v>0</v>
      </c>
    </row>
    <row r="403" spans="1:15" x14ac:dyDescent="0.3">
      <c r="A403" t="s">
        <v>1191</v>
      </c>
      <c r="B403" t="s">
        <v>1192</v>
      </c>
      <c r="C403">
        <f t="shared" si="24"/>
        <v>2</v>
      </c>
      <c r="D403" t="str">
        <f t="shared" si="25"/>
        <v>A</v>
      </c>
      <c r="E403" s="115" t="s">
        <v>884</v>
      </c>
      <c r="F403" t="s">
        <v>416</v>
      </c>
      <c r="G403" s="16">
        <v>929.09</v>
      </c>
      <c r="H403" s="50">
        <v>929.09</v>
      </c>
      <c r="I403" s="50" t="s">
        <v>884</v>
      </c>
      <c r="J403" s="50" t="s">
        <v>884</v>
      </c>
      <c r="K403" s="50" t="str">
        <f t="shared" si="26"/>
        <v>C</v>
      </c>
      <c r="L403" s="50">
        <f t="shared" si="27"/>
        <v>0</v>
      </c>
      <c r="M403" s="124"/>
      <c r="O403">
        <f>_xlfn.XLOOKUP(B403,'BALANCETE 2022'!B:B,'BALANCETE 2022'!J:J,0)</f>
        <v>0</v>
      </c>
    </row>
    <row r="404" spans="1:15" x14ac:dyDescent="0.3">
      <c r="A404" t="s">
        <v>1193</v>
      </c>
      <c r="B404" t="s">
        <v>1194</v>
      </c>
      <c r="C404">
        <f t="shared" si="24"/>
        <v>2</v>
      </c>
      <c r="D404" t="str">
        <f t="shared" si="25"/>
        <v>A</v>
      </c>
      <c r="E404" s="115" t="s">
        <v>1195</v>
      </c>
      <c r="F404" t="s">
        <v>416</v>
      </c>
      <c r="G404" s="16">
        <v>0</v>
      </c>
      <c r="H404" s="50">
        <v>0</v>
      </c>
      <c r="I404" s="50" t="s">
        <v>1195</v>
      </c>
      <c r="J404" s="50" t="s">
        <v>1195</v>
      </c>
      <c r="K404" s="50" t="str">
        <f t="shared" si="26"/>
        <v>C</v>
      </c>
      <c r="L404" s="50">
        <f t="shared" si="27"/>
        <v>3251.01</v>
      </c>
      <c r="M404" s="124"/>
      <c r="O404">
        <f>_xlfn.XLOOKUP(B404,'BALANCETE 2022'!B:B,'BALANCETE 2022'!J:J,0)</f>
        <v>0</v>
      </c>
    </row>
    <row r="405" spans="1:15" x14ac:dyDescent="0.3">
      <c r="A405" t="s">
        <v>1196</v>
      </c>
      <c r="B405" t="s">
        <v>1197</v>
      </c>
      <c r="C405">
        <f t="shared" si="24"/>
        <v>2</v>
      </c>
      <c r="D405" t="str">
        <f t="shared" si="25"/>
        <v>A</v>
      </c>
      <c r="E405" s="115" t="s">
        <v>1198</v>
      </c>
      <c r="F405" t="s">
        <v>416</v>
      </c>
      <c r="G405" s="16">
        <v>1676.05</v>
      </c>
      <c r="H405" s="50">
        <v>1390</v>
      </c>
      <c r="I405" s="50" t="s">
        <v>1199</v>
      </c>
      <c r="J405" s="50" t="s">
        <v>1199</v>
      </c>
      <c r="K405" s="50" t="str">
        <f t="shared" si="26"/>
        <v>C</v>
      </c>
      <c r="L405" s="50">
        <f t="shared" si="27"/>
        <v>1664.6</v>
      </c>
      <c r="M405" s="124"/>
      <c r="O405">
        <f>_xlfn.XLOOKUP(B405,'BALANCETE 2022'!B:B,'BALANCETE 2022'!J:J,0)</f>
        <v>0</v>
      </c>
    </row>
    <row r="406" spans="1:15" x14ac:dyDescent="0.3">
      <c r="A406" t="s">
        <v>1200</v>
      </c>
      <c r="B406" t="s">
        <v>1201</v>
      </c>
      <c r="C406">
        <f t="shared" si="24"/>
        <v>2</v>
      </c>
      <c r="D406" t="str">
        <f t="shared" si="25"/>
        <v>A</v>
      </c>
      <c r="E406" s="115" t="s">
        <v>1202</v>
      </c>
      <c r="F406" t="s">
        <v>416</v>
      </c>
      <c r="G406" s="16">
        <v>0</v>
      </c>
      <c r="H406" s="50">
        <v>0</v>
      </c>
      <c r="I406" s="50" t="s">
        <v>1202</v>
      </c>
      <c r="J406" s="50" t="s">
        <v>1202</v>
      </c>
      <c r="K406" s="50" t="str">
        <f t="shared" si="26"/>
        <v>C</v>
      </c>
      <c r="L406" s="50">
        <f t="shared" si="27"/>
        <v>42000</v>
      </c>
      <c r="M406" s="124"/>
      <c r="O406">
        <f>_xlfn.XLOOKUP(B406,'BALANCETE 2022'!B:B,'BALANCETE 2022'!J:J,0)</f>
        <v>0</v>
      </c>
    </row>
    <row r="407" spans="1:15" x14ac:dyDescent="0.3">
      <c r="A407" t="s">
        <v>1203</v>
      </c>
      <c r="B407" t="s">
        <v>1204</v>
      </c>
      <c r="C407">
        <f t="shared" si="24"/>
        <v>2</v>
      </c>
      <c r="D407" t="str">
        <f t="shared" si="25"/>
        <v>A</v>
      </c>
      <c r="E407" s="115" t="s">
        <v>884</v>
      </c>
      <c r="F407" t="s">
        <v>416</v>
      </c>
      <c r="G407" s="16">
        <v>584037.78</v>
      </c>
      <c r="H407" s="50">
        <v>630077.39</v>
      </c>
      <c r="I407" s="50" t="s">
        <v>1205</v>
      </c>
      <c r="J407" s="50" t="s">
        <v>1205</v>
      </c>
      <c r="K407" s="50" t="str">
        <f t="shared" si="26"/>
        <v>C</v>
      </c>
      <c r="L407" s="50">
        <f t="shared" si="27"/>
        <v>46039.61</v>
      </c>
      <c r="M407" s="124"/>
      <c r="O407">
        <f>_xlfn.XLOOKUP(B407,'BALANCETE 2022'!B:B,'BALANCETE 2022'!J:J,0)</f>
        <v>0</v>
      </c>
    </row>
    <row r="408" spans="1:15" x14ac:dyDescent="0.3">
      <c r="A408" t="s">
        <v>1206</v>
      </c>
      <c r="B408" t="s">
        <v>1207</v>
      </c>
      <c r="C408">
        <f t="shared" si="24"/>
        <v>2</v>
      </c>
      <c r="D408" t="str">
        <f t="shared" si="25"/>
        <v>A</v>
      </c>
      <c r="E408" s="115" t="s">
        <v>1208</v>
      </c>
      <c r="F408" t="s">
        <v>416</v>
      </c>
      <c r="G408" s="16">
        <v>34055</v>
      </c>
      <c r="H408" s="50">
        <v>31605</v>
      </c>
      <c r="I408" s="50" t="s">
        <v>884</v>
      </c>
      <c r="J408" s="50" t="s">
        <v>884</v>
      </c>
      <c r="K408" s="50" t="str">
        <f t="shared" si="26"/>
        <v>C</v>
      </c>
      <c r="L408" s="50">
        <f t="shared" si="27"/>
        <v>0</v>
      </c>
      <c r="M408" s="124"/>
      <c r="O408">
        <f>_xlfn.XLOOKUP(B408,'BALANCETE 2022'!B:B,'BALANCETE 2022'!J:J,0)</f>
        <v>0</v>
      </c>
    </row>
    <row r="409" spans="1:15" x14ac:dyDescent="0.3">
      <c r="A409" t="s">
        <v>1209</v>
      </c>
      <c r="B409" t="s">
        <v>1210</v>
      </c>
      <c r="C409">
        <f t="shared" si="24"/>
        <v>2</v>
      </c>
      <c r="D409" t="str">
        <f t="shared" si="25"/>
        <v>A</v>
      </c>
      <c r="E409" s="115" t="s">
        <v>1211</v>
      </c>
      <c r="F409" t="s">
        <v>416</v>
      </c>
      <c r="G409" s="16">
        <v>37910.129999999997</v>
      </c>
      <c r="H409" s="50">
        <v>34378.129999999997</v>
      </c>
      <c r="I409" s="50" t="s">
        <v>884</v>
      </c>
      <c r="J409" s="50" t="s">
        <v>884</v>
      </c>
      <c r="K409" s="50" t="str">
        <f t="shared" si="26"/>
        <v>C</v>
      </c>
      <c r="L409" s="50">
        <f t="shared" si="27"/>
        <v>0</v>
      </c>
      <c r="M409" s="124"/>
      <c r="O409">
        <f>_xlfn.XLOOKUP(B409,'BALANCETE 2022'!B:B,'BALANCETE 2022'!J:J,0)</f>
        <v>0</v>
      </c>
    </row>
    <row r="410" spans="1:15" x14ac:dyDescent="0.3">
      <c r="A410" t="s">
        <v>1212</v>
      </c>
      <c r="B410" t="s">
        <v>1213</v>
      </c>
      <c r="C410">
        <f t="shared" si="24"/>
        <v>2</v>
      </c>
      <c r="D410" t="str">
        <f t="shared" si="25"/>
        <v>A</v>
      </c>
      <c r="E410" s="115" t="s">
        <v>884</v>
      </c>
      <c r="F410" t="s">
        <v>416</v>
      </c>
      <c r="G410" s="16">
        <v>20621.599999999999</v>
      </c>
      <c r="H410" s="50">
        <v>20621.599999999999</v>
      </c>
      <c r="I410" s="50" t="s">
        <v>884</v>
      </c>
      <c r="J410" s="50" t="s">
        <v>884</v>
      </c>
      <c r="K410" s="50" t="str">
        <f t="shared" si="26"/>
        <v>C</v>
      </c>
      <c r="L410" s="50">
        <f t="shared" si="27"/>
        <v>0</v>
      </c>
      <c r="M410" s="124"/>
      <c r="O410">
        <f>_xlfn.XLOOKUP(B410,'BALANCETE 2022'!B:B,'BALANCETE 2022'!J:J,0)</f>
        <v>0</v>
      </c>
    </row>
    <row r="411" spans="1:15" x14ac:dyDescent="0.3">
      <c r="A411" t="s">
        <v>1214</v>
      </c>
      <c r="B411" t="s">
        <v>1215</v>
      </c>
      <c r="C411">
        <f t="shared" si="24"/>
        <v>2</v>
      </c>
      <c r="D411" t="str">
        <f t="shared" si="25"/>
        <v>A</v>
      </c>
      <c r="E411" s="115" t="s">
        <v>1216</v>
      </c>
      <c r="F411" t="s">
        <v>416</v>
      </c>
      <c r="G411" s="16">
        <v>32432.400000000001</v>
      </c>
      <c r="H411" s="50">
        <v>0</v>
      </c>
      <c r="I411" s="50" t="s">
        <v>884</v>
      </c>
      <c r="J411" s="50" t="s">
        <v>884</v>
      </c>
      <c r="K411" s="50" t="str">
        <f t="shared" si="26"/>
        <v>C</v>
      </c>
      <c r="L411" s="50">
        <f t="shared" si="27"/>
        <v>0</v>
      </c>
      <c r="M411" s="124"/>
      <c r="O411">
        <f>_xlfn.XLOOKUP(B411,'BALANCETE 2022'!B:B,'BALANCETE 2022'!J:J,0)</f>
        <v>0</v>
      </c>
    </row>
    <row r="412" spans="1:15" x14ac:dyDescent="0.3">
      <c r="A412" t="s">
        <v>1217</v>
      </c>
      <c r="B412" t="s">
        <v>1218</v>
      </c>
      <c r="C412">
        <f t="shared" si="24"/>
        <v>2</v>
      </c>
      <c r="D412" t="str">
        <f t="shared" si="25"/>
        <v>A</v>
      </c>
      <c r="E412" s="115" t="s">
        <v>884</v>
      </c>
      <c r="F412" t="s">
        <v>416</v>
      </c>
      <c r="G412" s="16">
        <v>45227.76</v>
      </c>
      <c r="H412" s="50">
        <v>45227.76</v>
      </c>
      <c r="I412" s="50" t="s">
        <v>884</v>
      </c>
      <c r="J412" s="50" t="s">
        <v>884</v>
      </c>
      <c r="K412" s="50" t="str">
        <f t="shared" si="26"/>
        <v>C</v>
      </c>
      <c r="L412" s="50">
        <f t="shared" si="27"/>
        <v>0</v>
      </c>
      <c r="M412" s="124"/>
      <c r="O412">
        <f>_xlfn.XLOOKUP(B412,'BALANCETE 2022'!B:B,'BALANCETE 2022'!J:J,0)</f>
        <v>0</v>
      </c>
    </row>
    <row r="413" spans="1:15" x14ac:dyDescent="0.3">
      <c r="A413" t="s">
        <v>1219</v>
      </c>
      <c r="B413" t="s">
        <v>1220</v>
      </c>
      <c r="C413">
        <f t="shared" si="24"/>
        <v>2</v>
      </c>
      <c r="D413" t="str">
        <f t="shared" si="25"/>
        <v>A</v>
      </c>
      <c r="E413" s="115" t="s">
        <v>884</v>
      </c>
      <c r="F413" t="s">
        <v>416</v>
      </c>
      <c r="G413" s="16">
        <v>327545.98</v>
      </c>
      <c r="H413" s="50">
        <v>379311.91</v>
      </c>
      <c r="I413" s="50" t="s">
        <v>1221</v>
      </c>
      <c r="J413" s="50" t="s">
        <v>1221</v>
      </c>
      <c r="K413" s="50" t="str">
        <f t="shared" si="26"/>
        <v>C</v>
      </c>
      <c r="L413" s="50">
        <f t="shared" si="27"/>
        <v>51765.93</v>
      </c>
      <c r="M413" s="124"/>
      <c r="O413">
        <f>_xlfn.XLOOKUP(B413,'BALANCETE 2022'!B:B,'BALANCETE 2022'!J:J,0)</f>
        <v>0</v>
      </c>
    </row>
    <row r="414" spans="1:15" x14ac:dyDescent="0.3">
      <c r="A414" t="s">
        <v>1222</v>
      </c>
      <c r="B414" t="s">
        <v>1223</v>
      </c>
      <c r="C414">
        <f t="shared" si="24"/>
        <v>2</v>
      </c>
      <c r="D414" t="str">
        <f t="shared" si="25"/>
        <v>A</v>
      </c>
      <c r="E414" s="115" t="s">
        <v>884</v>
      </c>
      <c r="F414" t="s">
        <v>416</v>
      </c>
      <c r="G414" s="16">
        <v>4405</v>
      </c>
      <c r="H414" s="50">
        <v>4405</v>
      </c>
      <c r="I414" s="50" t="s">
        <v>884</v>
      </c>
      <c r="J414" s="50" t="s">
        <v>884</v>
      </c>
      <c r="K414" s="50" t="str">
        <f t="shared" si="26"/>
        <v>C</v>
      </c>
      <c r="L414" s="50">
        <f t="shared" si="27"/>
        <v>0</v>
      </c>
      <c r="M414" s="124"/>
      <c r="O414">
        <f>_xlfn.XLOOKUP(B414,'BALANCETE 2022'!B:B,'BALANCETE 2022'!J:J,0)</f>
        <v>0</v>
      </c>
    </row>
    <row r="415" spans="1:15" x14ac:dyDescent="0.3">
      <c r="A415" t="s">
        <v>1224</v>
      </c>
      <c r="B415" t="s">
        <v>1225</v>
      </c>
      <c r="C415">
        <f t="shared" si="24"/>
        <v>2</v>
      </c>
      <c r="D415" t="str">
        <f t="shared" si="25"/>
        <v>A</v>
      </c>
      <c r="E415" s="115" t="s">
        <v>884</v>
      </c>
      <c r="F415" t="s">
        <v>416</v>
      </c>
      <c r="G415" s="16">
        <v>397</v>
      </c>
      <c r="H415" s="50">
        <v>397</v>
      </c>
      <c r="I415" s="50" t="s">
        <v>884</v>
      </c>
      <c r="J415" s="50" t="s">
        <v>884</v>
      </c>
      <c r="K415" s="50" t="str">
        <f t="shared" si="26"/>
        <v>C</v>
      </c>
      <c r="L415" s="50">
        <f t="shared" si="27"/>
        <v>0</v>
      </c>
      <c r="M415" s="124"/>
      <c r="O415">
        <f>_xlfn.XLOOKUP(B415,'BALANCETE 2022'!B:B,'BALANCETE 2022'!J:J,0)</f>
        <v>0</v>
      </c>
    </row>
    <row r="416" spans="1:15" x14ac:dyDescent="0.3">
      <c r="A416" t="s">
        <v>1226</v>
      </c>
      <c r="B416" t="s">
        <v>1227</v>
      </c>
      <c r="C416">
        <f t="shared" si="24"/>
        <v>2</v>
      </c>
      <c r="D416" t="str">
        <f t="shared" si="25"/>
        <v>A</v>
      </c>
      <c r="E416" s="115" t="s">
        <v>884</v>
      </c>
      <c r="F416" t="s">
        <v>416</v>
      </c>
      <c r="G416" s="16">
        <v>53776.05</v>
      </c>
      <c r="H416" s="50">
        <v>91976.05</v>
      </c>
      <c r="I416" s="50" t="s">
        <v>1228</v>
      </c>
      <c r="J416" s="50" t="s">
        <v>1228</v>
      </c>
      <c r="K416" s="50" t="str">
        <f t="shared" si="26"/>
        <v>C</v>
      </c>
      <c r="L416" s="50">
        <f t="shared" si="27"/>
        <v>38200</v>
      </c>
      <c r="M416" s="124"/>
      <c r="O416">
        <f>_xlfn.XLOOKUP(B416,'BALANCETE 2022'!B:B,'BALANCETE 2022'!J:J,0)</f>
        <v>0</v>
      </c>
    </row>
    <row r="417" spans="1:16" x14ac:dyDescent="0.3">
      <c r="A417" t="s">
        <v>1229</v>
      </c>
      <c r="B417" t="s">
        <v>1230</v>
      </c>
      <c r="C417">
        <f t="shared" si="24"/>
        <v>2</v>
      </c>
      <c r="D417" t="str">
        <f t="shared" si="25"/>
        <v>A</v>
      </c>
      <c r="E417" s="115" t="s">
        <v>884</v>
      </c>
      <c r="F417" t="s">
        <v>416</v>
      </c>
      <c r="G417" s="16">
        <v>13925</v>
      </c>
      <c r="H417" s="50">
        <v>13925</v>
      </c>
      <c r="I417" s="50" t="s">
        <v>884</v>
      </c>
      <c r="J417" s="50" t="s">
        <v>884</v>
      </c>
      <c r="K417" s="50" t="str">
        <f t="shared" si="26"/>
        <v>C</v>
      </c>
      <c r="L417" s="50">
        <f t="shared" si="27"/>
        <v>0</v>
      </c>
      <c r="M417" s="124"/>
      <c r="O417">
        <f>_xlfn.XLOOKUP(B417,'BALANCETE 2022'!B:B,'BALANCETE 2022'!J:J,0)</f>
        <v>0</v>
      </c>
    </row>
    <row r="418" spans="1:16" x14ac:dyDescent="0.3">
      <c r="A418" t="s">
        <v>1231</v>
      </c>
      <c r="B418" t="s">
        <v>1232</v>
      </c>
      <c r="C418">
        <f t="shared" si="24"/>
        <v>2</v>
      </c>
      <c r="D418" t="str">
        <f t="shared" si="25"/>
        <v>A</v>
      </c>
      <c r="E418" s="115" t="s">
        <v>884</v>
      </c>
      <c r="F418" t="s">
        <v>416</v>
      </c>
      <c r="G418" s="16">
        <v>5367.98</v>
      </c>
      <c r="H418" s="50">
        <v>5367.98</v>
      </c>
      <c r="I418" s="50" t="s">
        <v>884</v>
      </c>
      <c r="J418" s="50" t="s">
        <v>884</v>
      </c>
      <c r="K418" s="50" t="str">
        <f t="shared" si="26"/>
        <v>C</v>
      </c>
      <c r="L418" s="50">
        <f t="shared" si="27"/>
        <v>0</v>
      </c>
      <c r="M418" s="124"/>
      <c r="O418">
        <f>_xlfn.XLOOKUP(B418,'BALANCETE 2022'!B:B,'BALANCETE 2022'!J:J,0)</f>
        <v>0</v>
      </c>
    </row>
    <row r="419" spans="1:16" x14ac:dyDescent="0.3">
      <c r="A419" t="s">
        <v>1233</v>
      </c>
      <c r="B419" t="s">
        <v>1234</v>
      </c>
      <c r="C419">
        <f t="shared" si="24"/>
        <v>2</v>
      </c>
      <c r="D419" t="str">
        <f t="shared" si="25"/>
        <v>A</v>
      </c>
      <c r="E419" s="115" t="s">
        <v>884</v>
      </c>
      <c r="F419" t="s">
        <v>416</v>
      </c>
      <c r="G419" s="16">
        <v>0</v>
      </c>
      <c r="H419" s="50">
        <v>171000</v>
      </c>
      <c r="I419" s="50" t="s">
        <v>1235</v>
      </c>
      <c r="J419" s="50" t="s">
        <v>1235</v>
      </c>
      <c r="K419" s="50" t="str">
        <f t="shared" si="26"/>
        <v>C</v>
      </c>
      <c r="L419" s="50">
        <f t="shared" si="27"/>
        <v>171000</v>
      </c>
      <c r="M419" s="124"/>
      <c r="O419">
        <f>_xlfn.XLOOKUP(B419,'BALANCETE 2022'!B:B,'BALANCETE 2022'!J:J,0)</f>
        <v>0</v>
      </c>
    </row>
    <row r="420" spans="1:16" x14ac:dyDescent="0.3">
      <c r="A420" s="1" t="s">
        <v>1236</v>
      </c>
      <c r="B420" s="1" t="s">
        <v>1237</v>
      </c>
      <c r="C420" s="1">
        <f t="shared" si="24"/>
        <v>2</v>
      </c>
      <c r="D420" s="1" t="str">
        <f t="shared" si="25"/>
        <v>s</v>
      </c>
      <c r="E420" s="122" t="s">
        <v>1238</v>
      </c>
      <c r="F420" s="1" t="s">
        <v>416</v>
      </c>
      <c r="G420" s="123">
        <v>0</v>
      </c>
      <c r="H420" s="121">
        <v>0</v>
      </c>
      <c r="I420" s="121" t="s">
        <v>1239</v>
      </c>
      <c r="J420" s="121" t="s">
        <v>1239</v>
      </c>
      <c r="K420" s="121" t="str">
        <f t="shared" si="26"/>
        <v>C</v>
      </c>
      <c r="L420" s="121">
        <f t="shared" si="27"/>
        <v>22971.95</v>
      </c>
      <c r="N420" s="1"/>
      <c r="O420" s="1">
        <f>_xlfn.XLOOKUP(B420,'BALANCETE 2022'!B:B,'BALANCETE 2022'!J:J,0)</f>
        <v>0</v>
      </c>
      <c r="P420" s="1"/>
    </row>
    <row r="421" spans="1:16" x14ac:dyDescent="0.3">
      <c r="A421" t="s">
        <v>1240</v>
      </c>
      <c r="B421" t="s">
        <v>1241</v>
      </c>
      <c r="C421">
        <f t="shared" si="24"/>
        <v>2</v>
      </c>
      <c r="D421" t="str">
        <f t="shared" si="25"/>
        <v>A</v>
      </c>
      <c r="E421" s="115" t="s">
        <v>1242</v>
      </c>
      <c r="F421" t="s">
        <v>416</v>
      </c>
      <c r="G421" s="16">
        <v>0</v>
      </c>
      <c r="H421" s="50">
        <v>0</v>
      </c>
      <c r="I421" s="50" t="s">
        <v>1242</v>
      </c>
      <c r="J421" s="50" t="s">
        <v>1242</v>
      </c>
      <c r="K421" s="50" t="str">
        <f t="shared" si="26"/>
        <v>C</v>
      </c>
      <c r="L421" s="50">
        <f t="shared" si="27"/>
        <v>2206.9499999999998</v>
      </c>
      <c r="M421" s="124"/>
      <c r="O421">
        <f>_xlfn.XLOOKUP(B421,'BALANCETE 2022'!B:B,'BALANCETE 2022'!J:J,0)</f>
        <v>0</v>
      </c>
    </row>
    <row r="422" spans="1:16" x14ac:dyDescent="0.3">
      <c r="A422" t="s">
        <v>1243</v>
      </c>
      <c r="B422" t="s">
        <v>1244</v>
      </c>
      <c r="C422">
        <f t="shared" si="24"/>
        <v>2</v>
      </c>
      <c r="D422" t="str">
        <f t="shared" si="25"/>
        <v>A</v>
      </c>
      <c r="E422" s="115" t="s">
        <v>1245</v>
      </c>
      <c r="F422" t="s">
        <v>416</v>
      </c>
      <c r="G422" s="16">
        <v>0</v>
      </c>
      <c r="H422" s="50">
        <v>0</v>
      </c>
      <c r="I422" s="50" t="s">
        <v>1245</v>
      </c>
      <c r="J422" s="50" t="s">
        <v>1245</v>
      </c>
      <c r="K422" s="50" t="str">
        <f t="shared" si="26"/>
        <v>C</v>
      </c>
      <c r="L422" s="50">
        <f t="shared" si="27"/>
        <v>20765</v>
      </c>
      <c r="M422" s="124"/>
      <c r="O422">
        <f>_xlfn.XLOOKUP(B422,'BALANCETE 2022'!B:B,'BALANCETE 2022'!J:J,0)</f>
        <v>0</v>
      </c>
    </row>
    <row r="423" spans="1:16" x14ac:dyDescent="0.3">
      <c r="A423" s="1" t="s">
        <v>1246</v>
      </c>
      <c r="B423" s="1" t="s">
        <v>1247</v>
      </c>
      <c r="C423" s="1">
        <f t="shared" si="24"/>
        <v>2</v>
      </c>
      <c r="D423" s="1" t="str">
        <f t="shared" si="25"/>
        <v>s</v>
      </c>
      <c r="E423" s="122" t="s">
        <v>1248</v>
      </c>
      <c r="F423" s="1" t="s">
        <v>416</v>
      </c>
      <c r="G423" s="123">
        <v>8128841.3600000003</v>
      </c>
      <c r="H423" s="121">
        <v>7874996.1200000001</v>
      </c>
      <c r="I423" s="121">
        <v>159626.37</v>
      </c>
      <c r="J423" s="121">
        <v>159626.37</v>
      </c>
      <c r="K423" s="121" t="str">
        <f t="shared" si="26"/>
        <v>7</v>
      </c>
      <c r="L423" s="121">
        <f t="shared" si="27"/>
        <v>-159626.37</v>
      </c>
      <c r="M423" s="52">
        <v>13</v>
      </c>
      <c r="N423" s="1"/>
      <c r="O423" s="1">
        <f>_xlfn.XLOOKUP(B423,'BALANCETE 2022'!B:B,'BALANCETE 2022'!J:J,0)</f>
        <v>0</v>
      </c>
      <c r="P423" s="1"/>
    </row>
    <row r="424" spans="1:16" x14ac:dyDescent="0.3">
      <c r="A424" s="1" t="s">
        <v>1249</v>
      </c>
      <c r="B424" s="1" t="s">
        <v>1250</v>
      </c>
      <c r="C424" s="1">
        <f t="shared" si="24"/>
        <v>2</v>
      </c>
      <c r="D424" s="1" t="str">
        <f t="shared" si="25"/>
        <v>s</v>
      </c>
      <c r="E424" s="122" t="s">
        <v>1251</v>
      </c>
      <c r="F424" s="1" t="s">
        <v>416</v>
      </c>
      <c r="G424" s="123">
        <v>8018335.4699999997</v>
      </c>
      <c r="H424" s="121">
        <v>7784216.9100000001</v>
      </c>
      <c r="I424" s="121" t="s">
        <v>1252</v>
      </c>
      <c r="J424" s="121" t="s">
        <v>1252</v>
      </c>
      <c r="K424" s="121" t="str">
        <f t="shared" si="26"/>
        <v>C</v>
      </c>
      <c r="L424" s="121">
        <f t="shared" si="27"/>
        <v>80062.77</v>
      </c>
      <c r="N424" s="1"/>
      <c r="O424" s="1">
        <f>_xlfn.XLOOKUP(B424,'BALANCETE 2022'!B:B,'BALANCETE 2022'!J:J,0)</f>
        <v>0</v>
      </c>
      <c r="P424" s="1"/>
    </row>
    <row r="425" spans="1:16" x14ac:dyDescent="0.3">
      <c r="A425" t="s">
        <v>1253</v>
      </c>
      <c r="B425" t="s">
        <v>1254</v>
      </c>
      <c r="C425">
        <f t="shared" si="24"/>
        <v>2</v>
      </c>
      <c r="D425" t="str">
        <f t="shared" si="25"/>
        <v>A</v>
      </c>
      <c r="E425" s="115" t="s">
        <v>884</v>
      </c>
      <c r="F425" t="s">
        <v>416</v>
      </c>
      <c r="G425" s="16">
        <v>355118.95</v>
      </c>
      <c r="H425" s="50">
        <v>355118.95</v>
      </c>
      <c r="I425" s="50" t="s">
        <v>884</v>
      </c>
      <c r="J425" s="50" t="s">
        <v>884</v>
      </c>
      <c r="K425" s="50" t="str">
        <f t="shared" si="26"/>
        <v>C</v>
      </c>
      <c r="L425" s="50">
        <f t="shared" si="27"/>
        <v>0</v>
      </c>
      <c r="M425" s="124"/>
      <c r="O425">
        <f>_xlfn.XLOOKUP(B425,'BALANCETE 2022'!B:B,'BALANCETE 2022'!J:J,0)</f>
        <v>0</v>
      </c>
    </row>
    <row r="426" spans="1:16" x14ac:dyDescent="0.3">
      <c r="A426" t="s">
        <v>1255</v>
      </c>
      <c r="B426" t="s">
        <v>1256</v>
      </c>
      <c r="C426">
        <f t="shared" si="24"/>
        <v>2</v>
      </c>
      <c r="D426" t="str">
        <f t="shared" si="25"/>
        <v>A</v>
      </c>
      <c r="E426" s="115" t="s">
        <v>884</v>
      </c>
      <c r="F426" t="s">
        <v>416</v>
      </c>
      <c r="G426" s="16">
        <v>359829.36</v>
      </c>
      <c r="H426" s="50">
        <v>359829.36</v>
      </c>
      <c r="I426" s="50" t="s">
        <v>884</v>
      </c>
      <c r="J426" s="50" t="s">
        <v>884</v>
      </c>
      <c r="K426" s="50" t="str">
        <f t="shared" si="26"/>
        <v>C</v>
      </c>
      <c r="L426" s="50">
        <f t="shared" si="27"/>
        <v>0</v>
      </c>
      <c r="M426" s="124"/>
      <c r="O426">
        <f>_xlfn.XLOOKUP(B426,'BALANCETE 2022'!B:B,'BALANCETE 2022'!J:J,0)</f>
        <v>0</v>
      </c>
    </row>
    <row r="427" spans="1:16" x14ac:dyDescent="0.3">
      <c r="A427" t="s">
        <v>1257</v>
      </c>
      <c r="B427" t="s">
        <v>1258</v>
      </c>
      <c r="C427">
        <f t="shared" si="24"/>
        <v>2</v>
      </c>
      <c r="D427" t="str">
        <f t="shared" si="25"/>
        <v>A</v>
      </c>
      <c r="E427" s="115" t="s">
        <v>1259</v>
      </c>
      <c r="F427" t="s">
        <v>416</v>
      </c>
      <c r="G427" s="16">
        <v>3944302.04</v>
      </c>
      <c r="H427" s="50">
        <v>3944302.04</v>
      </c>
      <c r="I427" s="50" t="s">
        <v>1259</v>
      </c>
      <c r="J427" s="50" t="s">
        <v>1259</v>
      </c>
      <c r="K427" s="50" t="str">
        <f t="shared" si="26"/>
        <v>C</v>
      </c>
      <c r="L427" s="50">
        <f t="shared" si="27"/>
        <v>56302.51</v>
      </c>
      <c r="M427" s="124"/>
      <c r="O427">
        <f>_xlfn.XLOOKUP(B427,'BALANCETE 2022'!B:B,'BALANCETE 2022'!J:J,0)</f>
        <v>0</v>
      </c>
    </row>
    <row r="428" spans="1:16" x14ac:dyDescent="0.3">
      <c r="A428" t="s">
        <v>1260</v>
      </c>
      <c r="B428" t="s">
        <v>1261</v>
      </c>
      <c r="C428">
        <f t="shared" si="24"/>
        <v>2</v>
      </c>
      <c r="D428" t="str">
        <f t="shared" si="25"/>
        <v>A</v>
      </c>
      <c r="E428" s="115" t="s">
        <v>1262</v>
      </c>
      <c r="F428" t="s">
        <v>416</v>
      </c>
      <c r="G428" s="16">
        <v>1748785.83</v>
      </c>
      <c r="H428" s="50">
        <v>1636280.91</v>
      </c>
      <c r="I428" s="50" t="s">
        <v>1263</v>
      </c>
      <c r="J428" s="50" t="s">
        <v>1263</v>
      </c>
      <c r="K428" s="50" t="str">
        <f t="shared" si="26"/>
        <v>C</v>
      </c>
      <c r="L428" s="50">
        <f t="shared" si="27"/>
        <v>15231.78</v>
      </c>
      <c r="M428" s="124"/>
      <c r="O428">
        <f>_xlfn.XLOOKUP(B428,'BALANCETE 2022'!B:B,'BALANCETE 2022'!J:J,0)</f>
        <v>0</v>
      </c>
    </row>
    <row r="429" spans="1:16" x14ac:dyDescent="0.3">
      <c r="A429" t="s">
        <v>1264</v>
      </c>
      <c r="B429" t="s">
        <v>1265</v>
      </c>
      <c r="C429">
        <f t="shared" si="24"/>
        <v>2</v>
      </c>
      <c r="D429" t="str">
        <f t="shared" si="25"/>
        <v>A</v>
      </c>
      <c r="E429" s="115" t="s">
        <v>1266</v>
      </c>
      <c r="F429" t="s">
        <v>416</v>
      </c>
      <c r="G429" s="16">
        <v>189331.52</v>
      </c>
      <c r="H429" s="50">
        <v>175585.62</v>
      </c>
      <c r="I429" s="50" t="s">
        <v>884</v>
      </c>
      <c r="J429" s="50" t="s">
        <v>884</v>
      </c>
      <c r="K429" s="50" t="str">
        <f t="shared" si="26"/>
        <v>C</v>
      </c>
      <c r="L429" s="50">
        <f t="shared" si="27"/>
        <v>0</v>
      </c>
      <c r="M429" s="124"/>
      <c r="O429">
        <f>_xlfn.XLOOKUP(B429,'BALANCETE 2022'!B:B,'BALANCETE 2022'!J:J,0)</f>
        <v>0</v>
      </c>
    </row>
    <row r="430" spans="1:16" x14ac:dyDescent="0.3">
      <c r="A430" t="s">
        <v>1267</v>
      </c>
      <c r="B430" t="s">
        <v>1268</v>
      </c>
      <c r="C430">
        <f t="shared" si="24"/>
        <v>2</v>
      </c>
      <c r="D430" t="str">
        <f t="shared" si="25"/>
        <v>A</v>
      </c>
      <c r="E430" s="115" t="s">
        <v>884</v>
      </c>
      <c r="F430" t="s">
        <v>416</v>
      </c>
      <c r="G430" s="16">
        <v>22358.240000000002</v>
      </c>
      <c r="H430" s="50">
        <v>25767.63</v>
      </c>
      <c r="I430" s="50" t="s">
        <v>1269</v>
      </c>
      <c r="J430" s="50" t="s">
        <v>1269</v>
      </c>
      <c r="K430" s="50" t="str">
        <f t="shared" si="26"/>
        <v>C</v>
      </c>
      <c r="L430" s="50">
        <f t="shared" si="27"/>
        <v>3409.39</v>
      </c>
      <c r="M430" s="124"/>
      <c r="O430">
        <f>_xlfn.XLOOKUP(B430,'BALANCETE 2022'!B:B,'BALANCETE 2022'!J:J,0)</f>
        <v>0</v>
      </c>
    </row>
    <row r="431" spans="1:16" x14ac:dyDescent="0.3">
      <c r="A431" t="s">
        <v>1270</v>
      </c>
      <c r="B431" t="s">
        <v>1271</v>
      </c>
      <c r="C431">
        <f t="shared" si="24"/>
        <v>2</v>
      </c>
      <c r="D431" t="str">
        <f t="shared" si="25"/>
        <v>A</v>
      </c>
      <c r="E431" s="115" t="s">
        <v>884</v>
      </c>
      <c r="F431" t="s">
        <v>416</v>
      </c>
      <c r="G431" s="16">
        <v>33537.370000000003</v>
      </c>
      <c r="H431" s="50">
        <v>38651.46</v>
      </c>
      <c r="I431" s="50" t="s">
        <v>1272</v>
      </c>
      <c r="J431" s="50" t="s">
        <v>1272</v>
      </c>
      <c r="K431" s="50" t="str">
        <f t="shared" si="26"/>
        <v>C</v>
      </c>
      <c r="L431" s="50">
        <f t="shared" si="27"/>
        <v>5114.09</v>
      </c>
      <c r="M431" s="124"/>
      <c r="O431">
        <f>_xlfn.XLOOKUP(B431,'BALANCETE 2022'!B:B,'BALANCETE 2022'!J:J,0)</f>
        <v>0</v>
      </c>
    </row>
    <row r="432" spans="1:16" x14ac:dyDescent="0.3">
      <c r="A432" t="s">
        <v>1273</v>
      </c>
      <c r="B432" t="s">
        <v>1274</v>
      </c>
      <c r="C432">
        <f t="shared" si="24"/>
        <v>2</v>
      </c>
      <c r="D432" t="str">
        <f t="shared" si="25"/>
        <v>A</v>
      </c>
      <c r="E432" s="115" t="s">
        <v>884</v>
      </c>
      <c r="F432" t="s">
        <v>416</v>
      </c>
      <c r="G432" s="16">
        <v>289313.02</v>
      </c>
      <c r="H432" s="50">
        <v>289313.02</v>
      </c>
      <c r="I432" s="50" t="s">
        <v>884</v>
      </c>
      <c r="J432" s="50" t="s">
        <v>884</v>
      </c>
      <c r="K432" s="50" t="str">
        <f t="shared" si="26"/>
        <v>C</v>
      </c>
      <c r="L432" s="50">
        <f t="shared" si="27"/>
        <v>0</v>
      </c>
      <c r="M432" s="124"/>
      <c r="O432">
        <f>_xlfn.XLOOKUP(B432,'BALANCETE 2022'!B:B,'BALANCETE 2022'!J:J,0)</f>
        <v>0</v>
      </c>
    </row>
    <row r="433" spans="1:16" x14ac:dyDescent="0.3">
      <c r="A433" t="s">
        <v>1275</v>
      </c>
      <c r="B433" t="s">
        <v>1276</v>
      </c>
      <c r="C433">
        <f t="shared" si="24"/>
        <v>2</v>
      </c>
      <c r="D433" t="str">
        <f t="shared" si="25"/>
        <v>A</v>
      </c>
      <c r="E433" s="115" t="s">
        <v>1277</v>
      </c>
      <c r="F433" t="s">
        <v>416</v>
      </c>
      <c r="G433" s="16">
        <v>1075759.1399999999</v>
      </c>
      <c r="H433" s="50">
        <v>959367.92</v>
      </c>
      <c r="I433" s="50" t="s">
        <v>1278</v>
      </c>
      <c r="J433" s="50" t="s">
        <v>1278</v>
      </c>
      <c r="K433" s="50" t="str">
        <f t="shared" si="26"/>
        <v>C</v>
      </c>
      <c r="L433" s="50">
        <f t="shared" si="27"/>
        <v>5</v>
      </c>
      <c r="M433" s="124"/>
      <c r="O433">
        <f>_xlfn.XLOOKUP(B433,'BALANCETE 2022'!B:B,'BALANCETE 2022'!J:J,0)</f>
        <v>0</v>
      </c>
    </row>
    <row r="434" spans="1:16" x14ac:dyDescent="0.3">
      <c r="A434" s="1" t="s">
        <v>1279</v>
      </c>
      <c r="B434" s="1" t="s">
        <v>1280</v>
      </c>
      <c r="C434" s="1">
        <f t="shared" si="24"/>
        <v>2</v>
      </c>
      <c r="D434" s="1" t="str">
        <f t="shared" si="25"/>
        <v>s</v>
      </c>
      <c r="E434" s="122" t="s">
        <v>1281</v>
      </c>
      <c r="F434" s="1" t="s">
        <v>416</v>
      </c>
      <c r="G434" s="123">
        <v>66867.600000000006</v>
      </c>
      <c r="H434" s="121">
        <v>45051.37</v>
      </c>
      <c r="I434" s="121" t="s">
        <v>1282</v>
      </c>
      <c r="J434" s="121" t="s">
        <v>1282</v>
      </c>
      <c r="K434" s="121" t="str">
        <f t="shared" si="26"/>
        <v>C</v>
      </c>
      <c r="L434" s="121">
        <f t="shared" si="27"/>
        <v>29079.599999999999</v>
      </c>
      <c r="N434" s="1"/>
      <c r="O434" s="1">
        <f>_xlfn.XLOOKUP(B434,'BALANCETE 2022'!B:B,'BALANCETE 2022'!J:J,0)</f>
        <v>0</v>
      </c>
      <c r="P434" s="1"/>
    </row>
    <row r="435" spans="1:16" x14ac:dyDescent="0.3">
      <c r="A435" t="s">
        <v>1283</v>
      </c>
      <c r="B435" t="s">
        <v>1284</v>
      </c>
      <c r="C435">
        <f t="shared" si="24"/>
        <v>2</v>
      </c>
      <c r="D435" t="str">
        <f t="shared" si="25"/>
        <v>A</v>
      </c>
      <c r="E435" s="115" t="s">
        <v>1285</v>
      </c>
      <c r="F435" t="s">
        <v>416</v>
      </c>
      <c r="G435" s="16">
        <v>1749.92</v>
      </c>
      <c r="H435" s="50">
        <v>1617.07</v>
      </c>
      <c r="I435" s="50" t="s">
        <v>1286</v>
      </c>
      <c r="J435" s="50" t="s">
        <v>1286</v>
      </c>
      <c r="K435" s="50" t="str">
        <f t="shared" si="26"/>
        <v>C</v>
      </c>
      <c r="L435" s="50">
        <f t="shared" si="27"/>
        <v>2894.66</v>
      </c>
      <c r="M435" s="124"/>
      <c r="O435">
        <f>_xlfn.XLOOKUP(B435,'BALANCETE 2022'!B:B,'BALANCETE 2022'!J:J,0)</f>
        <v>0</v>
      </c>
    </row>
    <row r="436" spans="1:16" x14ac:dyDescent="0.3">
      <c r="A436" t="s">
        <v>1287</v>
      </c>
      <c r="B436" t="s">
        <v>1288</v>
      </c>
      <c r="C436">
        <f t="shared" si="24"/>
        <v>2</v>
      </c>
      <c r="D436" t="str">
        <f t="shared" si="25"/>
        <v>A</v>
      </c>
      <c r="E436" s="115" t="s">
        <v>1289</v>
      </c>
      <c r="F436" t="s">
        <v>416</v>
      </c>
      <c r="G436" s="16">
        <v>1532.01</v>
      </c>
      <c r="H436" s="50">
        <v>1021.34</v>
      </c>
      <c r="I436" s="50" t="s">
        <v>884</v>
      </c>
      <c r="J436" s="50" t="s">
        <v>884</v>
      </c>
      <c r="K436" s="50" t="str">
        <f t="shared" si="26"/>
        <v>C</v>
      </c>
      <c r="L436" s="50">
        <f t="shared" si="27"/>
        <v>0</v>
      </c>
      <c r="M436" s="124"/>
      <c r="O436">
        <f>_xlfn.XLOOKUP(B436,'BALANCETE 2022'!B:B,'BALANCETE 2022'!J:J,0)</f>
        <v>0</v>
      </c>
    </row>
    <row r="437" spans="1:16" x14ac:dyDescent="0.3">
      <c r="A437" t="s">
        <v>1290</v>
      </c>
      <c r="B437" t="s">
        <v>1291</v>
      </c>
      <c r="C437">
        <f t="shared" si="24"/>
        <v>2</v>
      </c>
      <c r="D437" t="str">
        <f t="shared" si="25"/>
        <v>A</v>
      </c>
      <c r="E437" s="115" t="s">
        <v>1292</v>
      </c>
      <c r="F437" t="s">
        <v>416</v>
      </c>
      <c r="G437" s="16">
        <v>0</v>
      </c>
      <c r="H437" s="50">
        <v>0</v>
      </c>
      <c r="I437" s="50" t="s">
        <v>1292</v>
      </c>
      <c r="J437" s="50" t="s">
        <v>1292</v>
      </c>
      <c r="K437" s="50" t="str">
        <f t="shared" si="26"/>
        <v>C</v>
      </c>
      <c r="L437" s="50">
        <f t="shared" si="27"/>
        <v>6982.89</v>
      </c>
      <c r="M437" s="124"/>
      <c r="O437">
        <f>_xlfn.XLOOKUP(B437,'BALANCETE 2022'!B:B,'BALANCETE 2022'!J:J,0)</f>
        <v>0</v>
      </c>
    </row>
    <row r="438" spans="1:16" x14ac:dyDescent="0.3">
      <c r="A438" t="s">
        <v>1293</v>
      </c>
      <c r="B438" t="s">
        <v>1294</v>
      </c>
      <c r="C438">
        <f t="shared" si="24"/>
        <v>2</v>
      </c>
      <c r="D438" t="str">
        <f t="shared" si="25"/>
        <v>A</v>
      </c>
      <c r="E438" s="115" t="s">
        <v>1295</v>
      </c>
      <c r="F438" t="s">
        <v>416</v>
      </c>
      <c r="G438" s="16">
        <v>63585.67</v>
      </c>
      <c r="H438" s="50">
        <v>42412.959999999999</v>
      </c>
      <c r="I438" s="50" t="s">
        <v>1296</v>
      </c>
      <c r="J438" s="50" t="s">
        <v>1296</v>
      </c>
      <c r="K438" s="50" t="str">
        <f t="shared" si="26"/>
        <v>C</v>
      </c>
      <c r="L438" s="50">
        <f t="shared" si="27"/>
        <v>19202.05</v>
      </c>
      <c r="M438" s="124"/>
      <c r="O438">
        <f>_xlfn.XLOOKUP(B438,'BALANCETE 2022'!B:B,'BALANCETE 2022'!J:J,0)</f>
        <v>0</v>
      </c>
    </row>
    <row r="439" spans="1:16" x14ac:dyDescent="0.3">
      <c r="A439" s="1" t="s">
        <v>1297</v>
      </c>
      <c r="B439" s="1" t="s">
        <v>1298</v>
      </c>
      <c r="C439" s="1">
        <f t="shared" si="24"/>
        <v>2</v>
      </c>
      <c r="D439" s="1" t="str">
        <f t="shared" si="25"/>
        <v>s</v>
      </c>
      <c r="E439" s="122" t="s">
        <v>1299</v>
      </c>
      <c r="F439" s="1" t="s">
        <v>416</v>
      </c>
      <c r="G439" s="123">
        <v>43638.29</v>
      </c>
      <c r="H439" s="121">
        <v>45727.839999999997</v>
      </c>
      <c r="I439" s="121" t="s">
        <v>1300</v>
      </c>
      <c r="J439" s="121" t="s">
        <v>1300</v>
      </c>
      <c r="K439" s="121" t="str">
        <f t="shared" si="26"/>
        <v>C</v>
      </c>
      <c r="L439" s="121">
        <f t="shared" si="27"/>
        <v>50484</v>
      </c>
      <c r="N439" s="1"/>
      <c r="O439" s="1">
        <f>_xlfn.XLOOKUP(B439,'BALANCETE 2022'!B:B,'BALANCETE 2022'!J:J,0)</f>
        <v>0</v>
      </c>
      <c r="P439" s="1"/>
    </row>
    <row r="440" spans="1:16" x14ac:dyDescent="0.3">
      <c r="A440" t="s">
        <v>1301</v>
      </c>
      <c r="B440" t="s">
        <v>1302</v>
      </c>
      <c r="C440">
        <f t="shared" si="24"/>
        <v>2</v>
      </c>
      <c r="D440" t="str">
        <f t="shared" si="25"/>
        <v>A</v>
      </c>
      <c r="E440" s="115" t="s">
        <v>1303</v>
      </c>
      <c r="F440" t="s">
        <v>416</v>
      </c>
      <c r="G440" s="16">
        <v>43638.29</v>
      </c>
      <c r="H440" s="50">
        <v>45727.839999999997</v>
      </c>
      <c r="I440" s="50" t="s">
        <v>1300</v>
      </c>
      <c r="J440" s="50" t="s">
        <v>1300</v>
      </c>
      <c r="K440" s="50" t="str">
        <f t="shared" si="26"/>
        <v>C</v>
      </c>
      <c r="L440" s="50">
        <f t="shared" si="27"/>
        <v>50484</v>
      </c>
      <c r="M440" s="124"/>
      <c r="O440">
        <f>_xlfn.XLOOKUP(B440,'BALANCETE 2022'!B:B,'BALANCETE 2022'!J:J,0)</f>
        <v>0</v>
      </c>
    </row>
    <row r="441" spans="1:16" x14ac:dyDescent="0.3">
      <c r="A441" s="1" t="s">
        <v>1304</v>
      </c>
      <c r="B441" s="1" t="s">
        <v>1305</v>
      </c>
      <c r="C441" s="1">
        <f t="shared" si="24"/>
        <v>2</v>
      </c>
      <c r="D441" s="1" t="str">
        <f t="shared" si="25"/>
        <v>s</v>
      </c>
      <c r="E441" s="122" t="s">
        <v>1306</v>
      </c>
      <c r="F441" s="1" t="s">
        <v>416</v>
      </c>
      <c r="G441" s="123">
        <v>7039201.6200000001</v>
      </c>
      <c r="H441" s="121">
        <v>5018284.22</v>
      </c>
      <c r="I441" s="121">
        <v>913935.89</v>
      </c>
      <c r="J441" s="121">
        <v>913935.89</v>
      </c>
      <c r="K441" s="121" t="str">
        <f t="shared" si="26"/>
        <v>9</v>
      </c>
      <c r="L441" s="121">
        <f t="shared" si="27"/>
        <v>-913935.89</v>
      </c>
      <c r="M441" s="52">
        <v>14</v>
      </c>
      <c r="N441" s="1"/>
      <c r="O441" s="1">
        <f>_xlfn.XLOOKUP(B441,'BALANCETE 2022'!B:B,'BALANCETE 2022'!J:J,0)</f>
        <v>0</v>
      </c>
      <c r="P441" s="1"/>
    </row>
    <row r="442" spans="1:16" x14ac:dyDescent="0.3">
      <c r="A442" s="1" t="s">
        <v>1307</v>
      </c>
      <c r="B442" s="1" t="s">
        <v>1308</v>
      </c>
      <c r="C442" s="1">
        <f t="shared" si="24"/>
        <v>2</v>
      </c>
      <c r="D442" s="1" t="str">
        <f t="shared" si="25"/>
        <v>s</v>
      </c>
      <c r="E442" s="122" t="s">
        <v>1309</v>
      </c>
      <c r="F442" s="1" t="s">
        <v>416</v>
      </c>
      <c r="G442" s="123">
        <v>4777589.33</v>
      </c>
      <c r="H442" s="121">
        <v>2379033.29</v>
      </c>
      <c r="I442" s="121" t="s">
        <v>1310</v>
      </c>
      <c r="J442" s="121" t="s">
        <v>1310</v>
      </c>
      <c r="K442" s="121" t="str">
        <f t="shared" si="26"/>
        <v>C</v>
      </c>
      <c r="L442" s="121">
        <f t="shared" si="27"/>
        <v>53768.44</v>
      </c>
      <c r="N442" s="1"/>
      <c r="O442" s="1">
        <f>_xlfn.XLOOKUP(B442,'BALANCETE 2022'!B:B,'BALANCETE 2022'!J:J,0)</f>
        <v>0</v>
      </c>
      <c r="P442" s="1"/>
    </row>
    <row r="443" spans="1:16" x14ac:dyDescent="0.3">
      <c r="A443" t="s">
        <v>1311</v>
      </c>
      <c r="B443" t="s">
        <v>1312</v>
      </c>
      <c r="C443">
        <f t="shared" si="24"/>
        <v>2</v>
      </c>
      <c r="D443" t="str">
        <f t="shared" si="25"/>
        <v>A</v>
      </c>
      <c r="E443" s="115" t="s">
        <v>1313</v>
      </c>
      <c r="F443" t="s">
        <v>416</v>
      </c>
      <c r="G443" s="16">
        <v>1667344.74</v>
      </c>
      <c r="H443" s="50">
        <v>1667713.07</v>
      </c>
      <c r="I443" s="50" t="s">
        <v>1314</v>
      </c>
      <c r="J443" s="50" t="s">
        <v>1314</v>
      </c>
      <c r="K443" s="50" t="str">
        <f t="shared" si="26"/>
        <v>C</v>
      </c>
      <c r="L443" s="50">
        <f t="shared" si="27"/>
        <v>20964.53</v>
      </c>
      <c r="M443" s="124"/>
      <c r="O443">
        <f>_xlfn.XLOOKUP(B443,'BALANCETE 2022'!B:B,'BALANCETE 2022'!J:J,0)</f>
        <v>0</v>
      </c>
    </row>
    <row r="444" spans="1:16" x14ac:dyDescent="0.3">
      <c r="A444" t="s">
        <v>1315</v>
      </c>
      <c r="B444" t="s">
        <v>1316</v>
      </c>
      <c r="C444">
        <f t="shared" si="24"/>
        <v>2</v>
      </c>
      <c r="D444" t="str">
        <f t="shared" si="25"/>
        <v>A</v>
      </c>
      <c r="E444" s="115" t="s">
        <v>1317</v>
      </c>
      <c r="F444" t="s">
        <v>416</v>
      </c>
      <c r="G444" s="16">
        <v>680272.45</v>
      </c>
      <c r="H444" s="50">
        <v>6649.31</v>
      </c>
      <c r="I444" s="50" t="s">
        <v>884</v>
      </c>
      <c r="J444" s="50" t="s">
        <v>884</v>
      </c>
      <c r="K444" s="50" t="str">
        <f t="shared" si="26"/>
        <v>C</v>
      </c>
      <c r="L444" s="50">
        <f t="shared" si="27"/>
        <v>0</v>
      </c>
      <c r="M444" s="124"/>
      <c r="O444">
        <f>_xlfn.XLOOKUP(B444,'BALANCETE 2022'!B:B,'BALANCETE 2022'!J:J,0)</f>
        <v>0</v>
      </c>
    </row>
    <row r="445" spans="1:16" x14ac:dyDescent="0.3">
      <c r="A445" t="s">
        <v>1318</v>
      </c>
      <c r="B445" t="s">
        <v>1319</v>
      </c>
      <c r="C445">
        <f t="shared" si="24"/>
        <v>2</v>
      </c>
      <c r="D445" t="str">
        <f t="shared" si="25"/>
        <v>A</v>
      </c>
      <c r="E445" s="115" t="s">
        <v>1320</v>
      </c>
      <c r="F445" t="s">
        <v>416</v>
      </c>
      <c r="G445" s="16">
        <v>8361.16</v>
      </c>
      <c r="H445" s="50">
        <v>8503.89</v>
      </c>
      <c r="I445" s="50" t="s">
        <v>1321</v>
      </c>
      <c r="J445" s="50" t="s">
        <v>1321</v>
      </c>
      <c r="K445" s="50" t="str">
        <f t="shared" si="26"/>
        <v>C</v>
      </c>
      <c r="L445" s="50">
        <f t="shared" si="27"/>
        <v>2047.52</v>
      </c>
      <c r="M445" s="124"/>
      <c r="O445">
        <f>_xlfn.XLOOKUP(B445,'BALANCETE 2022'!B:B,'BALANCETE 2022'!J:J,0)</f>
        <v>0</v>
      </c>
    </row>
    <row r="446" spans="1:16" x14ac:dyDescent="0.3">
      <c r="A446" t="s">
        <v>1322</v>
      </c>
      <c r="B446" t="s">
        <v>1323</v>
      </c>
      <c r="C446">
        <f t="shared" si="24"/>
        <v>2</v>
      </c>
      <c r="D446" t="str">
        <f t="shared" si="25"/>
        <v>A</v>
      </c>
      <c r="E446" s="115" t="s">
        <v>1324</v>
      </c>
      <c r="F446" t="s">
        <v>416</v>
      </c>
      <c r="G446" s="16">
        <v>1755109.52</v>
      </c>
      <c r="H446" s="50">
        <v>17155.3</v>
      </c>
      <c r="I446" s="50" t="s">
        <v>884</v>
      </c>
      <c r="J446" s="50" t="s">
        <v>884</v>
      </c>
      <c r="K446" s="50" t="str">
        <f t="shared" si="26"/>
        <v>C</v>
      </c>
      <c r="L446" s="50">
        <f t="shared" si="27"/>
        <v>0</v>
      </c>
      <c r="M446" s="124"/>
      <c r="O446">
        <f>_xlfn.XLOOKUP(B446,'BALANCETE 2022'!B:B,'BALANCETE 2022'!J:J,0)</f>
        <v>0</v>
      </c>
    </row>
    <row r="447" spans="1:16" x14ac:dyDescent="0.3">
      <c r="A447" t="s">
        <v>1325</v>
      </c>
      <c r="B447" t="s">
        <v>1326</v>
      </c>
      <c r="C447">
        <f t="shared" si="24"/>
        <v>2</v>
      </c>
      <c r="D447" t="str">
        <f t="shared" si="25"/>
        <v>A</v>
      </c>
      <c r="E447" s="115" t="s">
        <v>884</v>
      </c>
      <c r="F447" t="s">
        <v>416</v>
      </c>
      <c r="G447" s="16">
        <v>361989.35</v>
      </c>
      <c r="H447" s="50">
        <v>361989.35</v>
      </c>
      <c r="I447" s="50" t="s">
        <v>884</v>
      </c>
      <c r="J447" s="50" t="s">
        <v>884</v>
      </c>
      <c r="K447" s="50" t="str">
        <f t="shared" si="26"/>
        <v>C</v>
      </c>
      <c r="L447" s="50">
        <f t="shared" si="27"/>
        <v>0</v>
      </c>
      <c r="M447" s="124"/>
      <c r="O447">
        <f>_xlfn.XLOOKUP(B447,'BALANCETE 2022'!B:B,'BALANCETE 2022'!J:J,0)</f>
        <v>0</v>
      </c>
    </row>
    <row r="448" spans="1:16" x14ac:dyDescent="0.3">
      <c r="A448" t="s">
        <v>1327</v>
      </c>
      <c r="B448" t="s">
        <v>1328</v>
      </c>
      <c r="C448">
        <f t="shared" si="24"/>
        <v>2</v>
      </c>
      <c r="D448" t="str">
        <f t="shared" si="25"/>
        <v>A</v>
      </c>
      <c r="E448" s="115" t="s">
        <v>1329</v>
      </c>
      <c r="F448" t="s">
        <v>416</v>
      </c>
      <c r="G448" s="16">
        <v>41477.94</v>
      </c>
      <c r="H448" s="50">
        <v>38990.94</v>
      </c>
      <c r="I448" s="50" t="s">
        <v>1330</v>
      </c>
      <c r="J448" s="50" t="s">
        <v>1330</v>
      </c>
      <c r="K448" s="50" t="str">
        <f t="shared" si="26"/>
        <v>C</v>
      </c>
      <c r="L448" s="50">
        <f t="shared" si="27"/>
        <v>501.73</v>
      </c>
      <c r="M448" s="124"/>
      <c r="O448">
        <f>_xlfn.XLOOKUP(B448,'BALANCETE 2022'!B:B,'BALANCETE 2022'!J:J,0)</f>
        <v>0</v>
      </c>
    </row>
    <row r="449" spans="1:16" x14ac:dyDescent="0.3">
      <c r="A449" t="s">
        <v>1331</v>
      </c>
      <c r="B449" t="s">
        <v>1332</v>
      </c>
      <c r="C449">
        <f t="shared" si="24"/>
        <v>2</v>
      </c>
      <c r="D449" t="str">
        <f t="shared" si="25"/>
        <v>A</v>
      </c>
      <c r="E449" s="115" t="s">
        <v>1333</v>
      </c>
      <c r="F449" t="s">
        <v>416</v>
      </c>
      <c r="G449" s="16">
        <v>78169.13</v>
      </c>
      <c r="H449" s="50">
        <v>79018.070000000007</v>
      </c>
      <c r="I449" s="50" t="s">
        <v>1334</v>
      </c>
      <c r="J449" s="50" t="s">
        <v>1334</v>
      </c>
      <c r="K449" s="50" t="str">
        <f t="shared" si="26"/>
        <v>C</v>
      </c>
      <c r="L449" s="50">
        <f t="shared" si="27"/>
        <v>11987.72</v>
      </c>
      <c r="M449" s="124"/>
      <c r="O449">
        <f>_xlfn.XLOOKUP(B449,'BALANCETE 2022'!B:B,'BALANCETE 2022'!J:J,0)</f>
        <v>0</v>
      </c>
    </row>
    <row r="450" spans="1:16" x14ac:dyDescent="0.3">
      <c r="A450" t="s">
        <v>1335</v>
      </c>
      <c r="B450" t="s">
        <v>1336</v>
      </c>
      <c r="C450">
        <f t="shared" si="24"/>
        <v>2</v>
      </c>
      <c r="D450" t="str">
        <f t="shared" si="25"/>
        <v>A</v>
      </c>
      <c r="E450" s="115" t="s">
        <v>884</v>
      </c>
      <c r="F450" t="s">
        <v>416</v>
      </c>
      <c r="G450" s="16">
        <v>161665.01999999999</v>
      </c>
      <c r="H450" s="50">
        <v>161665.01999999999</v>
      </c>
      <c r="I450" s="50" t="s">
        <v>884</v>
      </c>
      <c r="J450" s="50" t="s">
        <v>884</v>
      </c>
      <c r="K450" s="50" t="str">
        <f t="shared" si="26"/>
        <v>C</v>
      </c>
      <c r="L450" s="50">
        <f t="shared" si="27"/>
        <v>0</v>
      </c>
      <c r="M450" s="124"/>
      <c r="O450">
        <f>_xlfn.XLOOKUP(B450,'BALANCETE 2022'!B:B,'BALANCETE 2022'!J:J,0)</f>
        <v>0</v>
      </c>
    </row>
    <row r="451" spans="1:16" x14ac:dyDescent="0.3">
      <c r="A451" t="s">
        <v>1337</v>
      </c>
      <c r="B451" t="s">
        <v>1338</v>
      </c>
      <c r="C451">
        <f t="shared" si="24"/>
        <v>2</v>
      </c>
      <c r="D451" t="str">
        <f t="shared" si="25"/>
        <v>A</v>
      </c>
      <c r="E451" s="115" t="s">
        <v>1339</v>
      </c>
      <c r="F451" t="s">
        <v>416</v>
      </c>
      <c r="G451" s="16">
        <v>23200.02</v>
      </c>
      <c r="H451" s="50">
        <v>37348.339999999997</v>
      </c>
      <c r="I451" s="50" t="s">
        <v>1340</v>
      </c>
      <c r="J451" s="50" t="s">
        <v>1340</v>
      </c>
      <c r="K451" s="50" t="str">
        <f t="shared" si="26"/>
        <v>C</v>
      </c>
      <c r="L451" s="50">
        <f t="shared" si="27"/>
        <v>18266.939999999999</v>
      </c>
      <c r="M451" s="124"/>
      <c r="O451">
        <f>_xlfn.XLOOKUP(B451,'BALANCETE 2022'!B:B,'BALANCETE 2022'!J:J,0)</f>
        <v>0</v>
      </c>
    </row>
    <row r="452" spans="1:16" x14ac:dyDescent="0.3">
      <c r="A452" s="1" t="s">
        <v>1341</v>
      </c>
      <c r="B452" s="1" t="s">
        <v>1342</v>
      </c>
      <c r="C452" s="1">
        <f t="shared" si="24"/>
        <v>2</v>
      </c>
      <c r="D452" s="1" t="str">
        <f t="shared" si="25"/>
        <v>s</v>
      </c>
      <c r="E452" s="122" t="s">
        <v>1343</v>
      </c>
      <c r="F452" s="1" t="s">
        <v>416</v>
      </c>
      <c r="G452" s="123">
        <v>2261612.29</v>
      </c>
      <c r="H452" s="121">
        <v>2639250.9300000002</v>
      </c>
      <c r="I452" s="121" t="s">
        <v>1344</v>
      </c>
      <c r="J452" s="121" t="s">
        <v>1344</v>
      </c>
      <c r="K452" s="121" t="str">
        <f t="shared" si="26"/>
        <v>C</v>
      </c>
      <c r="L452" s="121">
        <f t="shared" si="27"/>
        <v>860167.45</v>
      </c>
      <c r="N452" s="1"/>
      <c r="O452" s="1">
        <f>_xlfn.XLOOKUP(B452,'BALANCETE 2022'!B:B,'BALANCETE 2022'!J:J,0)</f>
        <v>0</v>
      </c>
      <c r="P452" s="1"/>
    </row>
    <row r="453" spans="1:16" x14ac:dyDescent="0.3">
      <c r="A453" t="s">
        <v>1345</v>
      </c>
      <c r="B453" t="s">
        <v>1346</v>
      </c>
      <c r="C453">
        <f t="shared" si="24"/>
        <v>2</v>
      </c>
      <c r="D453" t="str">
        <f t="shared" si="25"/>
        <v>A</v>
      </c>
      <c r="E453" s="115" t="s">
        <v>1347</v>
      </c>
      <c r="F453" t="s">
        <v>416</v>
      </c>
      <c r="G453" s="16">
        <v>217657.39</v>
      </c>
      <c r="H453" s="50">
        <v>227152.37</v>
      </c>
      <c r="I453" s="50" t="s">
        <v>1348</v>
      </c>
      <c r="J453" s="50" t="s">
        <v>1348</v>
      </c>
      <c r="K453" s="50" t="str">
        <f t="shared" si="26"/>
        <v>C</v>
      </c>
      <c r="L453" s="50">
        <f t="shared" si="27"/>
        <v>205025.79</v>
      </c>
      <c r="M453" s="124"/>
      <c r="O453">
        <f>_xlfn.XLOOKUP(B453,'BALANCETE 2022'!B:B,'BALANCETE 2022'!J:J,0)</f>
        <v>0</v>
      </c>
    </row>
    <row r="454" spans="1:16" x14ac:dyDescent="0.3">
      <c r="A454" t="s">
        <v>1349</v>
      </c>
      <c r="B454" t="s">
        <v>1350</v>
      </c>
      <c r="C454">
        <f t="shared" si="24"/>
        <v>2</v>
      </c>
      <c r="D454" t="str">
        <f t="shared" si="25"/>
        <v>A</v>
      </c>
      <c r="E454" s="115" t="s">
        <v>1351</v>
      </c>
      <c r="F454" t="s">
        <v>416</v>
      </c>
      <c r="G454" s="16">
        <v>96388.12</v>
      </c>
      <c r="H454" s="50">
        <v>106552.11</v>
      </c>
      <c r="I454" s="50" t="s">
        <v>1352</v>
      </c>
      <c r="J454" s="50" t="s">
        <v>1352</v>
      </c>
      <c r="K454" s="50" t="str">
        <f t="shared" si="26"/>
        <v>C</v>
      </c>
      <c r="L454" s="50">
        <f t="shared" si="27"/>
        <v>90778.2</v>
      </c>
      <c r="M454" s="124"/>
      <c r="O454">
        <f>_xlfn.XLOOKUP(B454,'BALANCETE 2022'!B:B,'BALANCETE 2022'!J:J,0)</f>
        <v>0</v>
      </c>
    </row>
    <row r="455" spans="1:16" x14ac:dyDescent="0.3">
      <c r="A455" t="s">
        <v>1353</v>
      </c>
      <c r="B455" t="s">
        <v>1354</v>
      </c>
      <c r="C455">
        <f t="shared" si="24"/>
        <v>2</v>
      </c>
      <c r="D455" t="str">
        <f t="shared" si="25"/>
        <v>A</v>
      </c>
      <c r="E455" s="115" t="s">
        <v>1355</v>
      </c>
      <c r="F455" t="s">
        <v>416</v>
      </c>
      <c r="G455" s="16">
        <v>159582.12</v>
      </c>
      <c r="H455" s="50">
        <v>176413.94</v>
      </c>
      <c r="I455" s="50" t="s">
        <v>1356</v>
      </c>
      <c r="J455" s="50" t="s">
        <v>1356</v>
      </c>
      <c r="K455" s="50" t="str">
        <f t="shared" si="26"/>
        <v>C</v>
      </c>
      <c r="L455" s="50">
        <f t="shared" si="27"/>
        <v>150313.79999999999</v>
      </c>
      <c r="M455" s="124"/>
      <c r="O455">
        <f>_xlfn.XLOOKUP(B455,'BALANCETE 2022'!B:B,'BALANCETE 2022'!J:J,0)</f>
        <v>0</v>
      </c>
    </row>
    <row r="456" spans="1:16" x14ac:dyDescent="0.3">
      <c r="A456" t="s">
        <v>1357</v>
      </c>
      <c r="B456" t="s">
        <v>1358</v>
      </c>
      <c r="C456">
        <f t="shared" si="24"/>
        <v>2</v>
      </c>
      <c r="D456" t="str">
        <f t="shared" si="25"/>
        <v>A</v>
      </c>
      <c r="E456" s="115" t="s">
        <v>1359</v>
      </c>
      <c r="F456" t="s">
        <v>416</v>
      </c>
      <c r="G456" s="16">
        <v>60352.25</v>
      </c>
      <c r="H456" s="50">
        <v>49541.2</v>
      </c>
      <c r="I456" s="50" t="s">
        <v>1360</v>
      </c>
      <c r="J456" s="50" t="s">
        <v>1360</v>
      </c>
      <c r="K456" s="50" t="str">
        <f t="shared" si="26"/>
        <v>C</v>
      </c>
      <c r="L456" s="50">
        <f t="shared" si="27"/>
        <v>62090.76</v>
      </c>
      <c r="M456" s="124"/>
      <c r="O456">
        <f>_xlfn.XLOOKUP(B456,'BALANCETE 2022'!B:B,'BALANCETE 2022'!J:J,0)</f>
        <v>0</v>
      </c>
    </row>
    <row r="457" spans="1:16" x14ac:dyDescent="0.3">
      <c r="A457" t="s">
        <v>1361</v>
      </c>
      <c r="B457" t="s">
        <v>1362</v>
      </c>
      <c r="C457">
        <f t="shared" si="24"/>
        <v>2</v>
      </c>
      <c r="D457" t="str">
        <f t="shared" si="25"/>
        <v>A</v>
      </c>
      <c r="E457" s="115" t="s">
        <v>884</v>
      </c>
      <c r="F457" t="s">
        <v>416</v>
      </c>
      <c r="G457" s="16">
        <v>1558768.75</v>
      </c>
      <c r="H457" s="50">
        <v>1880987.83</v>
      </c>
      <c r="I457" s="50" t="s">
        <v>1363</v>
      </c>
      <c r="J457" s="50" t="s">
        <v>1363</v>
      </c>
      <c r="K457" s="50" t="str">
        <f t="shared" si="26"/>
        <v>C</v>
      </c>
      <c r="L457" s="50">
        <f t="shared" si="27"/>
        <v>322219.08</v>
      </c>
      <c r="M457" s="124"/>
      <c r="O457">
        <f>_xlfn.XLOOKUP(B457,'BALANCETE 2022'!B:B,'BALANCETE 2022'!J:J,0)</f>
        <v>0</v>
      </c>
    </row>
    <row r="458" spans="1:16" x14ac:dyDescent="0.3">
      <c r="A458" t="s">
        <v>1364</v>
      </c>
      <c r="B458" t="s">
        <v>1365</v>
      </c>
      <c r="C458">
        <f t="shared" ref="C458:C521" si="28">(LEFT(SUBSTITUTE(B458,"[",""),1))+0</f>
        <v>2</v>
      </c>
      <c r="D458" t="str">
        <f t="shared" ref="D458:D521" si="29">IF((LEN(B458)+0)&lt;15,"s","A")</f>
        <v>A</v>
      </c>
      <c r="E458" s="115" t="s">
        <v>884</v>
      </c>
      <c r="F458" t="s">
        <v>416</v>
      </c>
      <c r="G458" s="16">
        <v>168863.66</v>
      </c>
      <c r="H458" s="50">
        <v>198603.48</v>
      </c>
      <c r="I458" s="50" t="s">
        <v>1366</v>
      </c>
      <c r="J458" s="50" t="s">
        <v>1366</v>
      </c>
      <c r="K458" s="50" t="str">
        <f t="shared" ref="K458:K521" si="30">RIGHT(J458)</f>
        <v>C</v>
      </c>
      <c r="L458" s="50">
        <f t="shared" ref="L458:L521" si="31">(SUBSTITUTE(SUBSTITUTE(J458,"D","",1),"C","",1)+0)*IF(K458=F458,1,-1)</f>
        <v>29739.82</v>
      </c>
      <c r="M458" s="124"/>
      <c r="O458">
        <f>_xlfn.XLOOKUP(B458,'BALANCETE 2022'!B:B,'BALANCETE 2022'!J:J,0)</f>
        <v>0</v>
      </c>
    </row>
    <row r="459" spans="1:16" x14ac:dyDescent="0.3">
      <c r="A459" s="1" t="s">
        <v>1367</v>
      </c>
      <c r="B459" s="1" t="s">
        <v>1368</v>
      </c>
      <c r="C459" s="1">
        <f t="shared" si="28"/>
        <v>2</v>
      </c>
      <c r="D459" s="1" t="str">
        <f t="shared" si="29"/>
        <v>s</v>
      </c>
      <c r="E459" s="122" t="s">
        <v>1369</v>
      </c>
      <c r="F459" s="1" t="s">
        <v>416</v>
      </c>
      <c r="G459" s="123">
        <v>39243222.810000002</v>
      </c>
      <c r="H459" s="121">
        <v>39222149.280000001</v>
      </c>
      <c r="I459" s="121" t="s">
        <v>1370</v>
      </c>
      <c r="J459" s="121" t="s">
        <v>1370</v>
      </c>
      <c r="K459" s="121" t="str">
        <f t="shared" si="30"/>
        <v>C</v>
      </c>
      <c r="L459" s="121">
        <f t="shared" si="31"/>
        <v>6034318.1299999999</v>
      </c>
      <c r="N459" s="1"/>
      <c r="O459" s="1">
        <f>_xlfn.XLOOKUP(B459,'BALANCETE 2022'!B:B,'BALANCETE 2022'!J:J,0)</f>
        <v>0</v>
      </c>
      <c r="P459" s="1"/>
    </row>
    <row r="460" spans="1:16" x14ac:dyDescent="0.3">
      <c r="A460" s="1" t="s">
        <v>1371</v>
      </c>
      <c r="B460" s="1" t="s">
        <v>1372</v>
      </c>
      <c r="C460" s="1">
        <f t="shared" si="28"/>
        <v>2</v>
      </c>
      <c r="D460" s="1" t="str">
        <f t="shared" si="29"/>
        <v>s</v>
      </c>
      <c r="E460" s="122" t="s">
        <v>1373</v>
      </c>
      <c r="F460" s="1" t="s">
        <v>416</v>
      </c>
      <c r="G460" s="123">
        <v>20103473.98</v>
      </c>
      <c r="H460" s="121">
        <v>20074236.98</v>
      </c>
      <c r="I460" s="121">
        <v>6020890.9400000004</v>
      </c>
      <c r="J460" s="121">
        <v>6020890.9400000004</v>
      </c>
      <c r="K460" s="121" t="str">
        <f t="shared" si="30"/>
        <v>4</v>
      </c>
      <c r="L460" s="121">
        <f t="shared" si="31"/>
        <v>-6020890.9400000004</v>
      </c>
      <c r="M460" s="52">
        <v>15</v>
      </c>
      <c r="N460" s="1"/>
      <c r="O460" s="1">
        <f>_xlfn.XLOOKUP(B460,'BALANCETE 2022'!B:B,'BALANCETE 2022'!J:J,0)</f>
        <v>0</v>
      </c>
      <c r="P460" s="1"/>
    </row>
    <row r="461" spans="1:16" x14ac:dyDescent="0.3">
      <c r="A461" t="s">
        <v>1374</v>
      </c>
      <c r="B461" t="s">
        <v>1375</v>
      </c>
      <c r="C461">
        <f t="shared" si="28"/>
        <v>2</v>
      </c>
      <c r="D461" t="str">
        <f t="shared" si="29"/>
        <v>A</v>
      </c>
      <c r="E461" s="115" t="s">
        <v>1376</v>
      </c>
      <c r="F461" t="s">
        <v>416</v>
      </c>
      <c r="G461" s="16">
        <v>0</v>
      </c>
      <c r="H461" s="50">
        <v>0</v>
      </c>
      <c r="I461" s="50" t="s">
        <v>1376</v>
      </c>
      <c r="J461" s="50" t="s">
        <v>1376</v>
      </c>
      <c r="K461" s="50" t="str">
        <f t="shared" si="30"/>
        <v>C</v>
      </c>
      <c r="L461" s="50">
        <f t="shared" si="31"/>
        <v>3101163.44</v>
      </c>
      <c r="M461" s="124"/>
      <c r="O461">
        <f>_xlfn.XLOOKUP(B461,'BALANCETE 2022'!B:B,'BALANCETE 2022'!J:J,0)</f>
        <v>0</v>
      </c>
    </row>
    <row r="462" spans="1:16" x14ac:dyDescent="0.3">
      <c r="A462" t="s">
        <v>1377</v>
      </c>
      <c r="B462" t="s">
        <v>1378</v>
      </c>
      <c r="C462">
        <f t="shared" si="28"/>
        <v>2</v>
      </c>
      <c r="D462" t="str">
        <f t="shared" si="29"/>
        <v>A</v>
      </c>
      <c r="E462" s="115" t="s">
        <v>1379</v>
      </c>
      <c r="F462" t="s">
        <v>416</v>
      </c>
      <c r="G462" s="16">
        <v>29237</v>
      </c>
      <c r="H462" s="50">
        <v>0</v>
      </c>
      <c r="I462" s="50">
        <v>0</v>
      </c>
      <c r="J462" s="50">
        <v>0</v>
      </c>
      <c r="K462" s="50" t="str">
        <f t="shared" si="30"/>
        <v>0</v>
      </c>
      <c r="L462" s="50">
        <f t="shared" si="31"/>
        <v>0</v>
      </c>
      <c r="M462" s="124"/>
      <c r="O462">
        <f>_xlfn.XLOOKUP(B462,'BALANCETE 2022'!B:B,'BALANCETE 2022'!J:J,0)</f>
        <v>0</v>
      </c>
    </row>
    <row r="463" spans="1:16" x14ac:dyDescent="0.3">
      <c r="A463" t="s">
        <v>1380</v>
      </c>
      <c r="B463" t="s">
        <v>1381</v>
      </c>
      <c r="C463">
        <f t="shared" si="28"/>
        <v>2</v>
      </c>
      <c r="D463" t="str">
        <f t="shared" si="29"/>
        <v>A</v>
      </c>
      <c r="E463" s="115" t="s">
        <v>1382</v>
      </c>
      <c r="F463" t="s">
        <v>416</v>
      </c>
      <c r="G463" s="16">
        <v>0</v>
      </c>
      <c r="H463" s="50">
        <v>0</v>
      </c>
      <c r="I463" s="50" t="s">
        <v>1382</v>
      </c>
      <c r="J463" s="50" t="s">
        <v>1382</v>
      </c>
      <c r="K463" s="50" t="str">
        <f t="shared" si="30"/>
        <v>C</v>
      </c>
      <c r="L463" s="50">
        <f t="shared" si="31"/>
        <v>2808928.22</v>
      </c>
      <c r="M463" s="124"/>
      <c r="O463">
        <f>_xlfn.XLOOKUP(B463,'BALANCETE 2022'!B:B,'BALANCETE 2022'!J:J,0)</f>
        <v>0</v>
      </c>
    </row>
    <row r="464" spans="1:16" x14ac:dyDescent="0.3">
      <c r="A464" t="s">
        <v>1383</v>
      </c>
      <c r="B464" t="s">
        <v>1384</v>
      </c>
      <c r="C464">
        <f t="shared" si="28"/>
        <v>2</v>
      </c>
      <c r="D464" t="str">
        <f t="shared" si="29"/>
        <v>A</v>
      </c>
      <c r="E464" s="115">
        <v>0</v>
      </c>
      <c r="F464" t="s">
        <v>416</v>
      </c>
      <c r="G464" s="16">
        <v>20074236.98</v>
      </c>
      <c r="H464" s="50">
        <v>20074236.98</v>
      </c>
      <c r="I464" s="50">
        <v>0</v>
      </c>
      <c r="J464" s="50">
        <v>0</v>
      </c>
      <c r="K464" s="50" t="str">
        <f t="shared" si="30"/>
        <v>0</v>
      </c>
      <c r="L464" s="50">
        <f t="shared" si="31"/>
        <v>0</v>
      </c>
      <c r="M464" s="124"/>
      <c r="O464">
        <f>_xlfn.XLOOKUP(B464,'BALANCETE 2022'!B:B,'BALANCETE 2022'!J:J,0)</f>
        <v>0</v>
      </c>
    </row>
    <row r="465" spans="1:16" x14ac:dyDescent="0.3">
      <c r="A465" t="s">
        <v>1385</v>
      </c>
      <c r="B465" t="s">
        <v>1386</v>
      </c>
      <c r="C465">
        <f t="shared" si="28"/>
        <v>2</v>
      </c>
      <c r="D465" t="str">
        <f t="shared" si="29"/>
        <v>A</v>
      </c>
      <c r="E465" s="115" t="s">
        <v>1387</v>
      </c>
      <c r="F465" t="s">
        <v>416</v>
      </c>
      <c r="G465" s="16">
        <v>0</v>
      </c>
      <c r="H465" s="50">
        <v>0</v>
      </c>
      <c r="I465" s="50" t="s">
        <v>1387</v>
      </c>
      <c r="J465" s="50" t="s">
        <v>1387</v>
      </c>
      <c r="K465" s="50" t="str">
        <f t="shared" si="30"/>
        <v>C</v>
      </c>
      <c r="L465" s="50">
        <f t="shared" si="31"/>
        <v>110799.28</v>
      </c>
      <c r="M465" s="124"/>
      <c r="O465">
        <f>_xlfn.XLOOKUP(B465,'BALANCETE 2022'!B:B,'BALANCETE 2022'!J:J,0)</f>
        <v>0</v>
      </c>
    </row>
    <row r="466" spans="1:16" x14ac:dyDescent="0.3">
      <c r="A466" s="1" t="s">
        <v>1388</v>
      </c>
      <c r="B466" s="1" t="s">
        <v>1389</v>
      </c>
      <c r="C466" s="1">
        <f t="shared" si="28"/>
        <v>2</v>
      </c>
      <c r="D466" s="1" t="str">
        <f t="shared" si="29"/>
        <v>s</v>
      </c>
      <c r="E466" s="122" t="s">
        <v>1390</v>
      </c>
      <c r="F466" s="1" t="s">
        <v>416</v>
      </c>
      <c r="G466" s="123">
        <v>4776</v>
      </c>
      <c r="H466" s="121">
        <v>12939.47</v>
      </c>
      <c r="I466" s="121">
        <v>13427.19</v>
      </c>
      <c r="J466" s="121">
        <v>13427.19</v>
      </c>
      <c r="K466" s="121" t="str">
        <f t="shared" si="30"/>
        <v>9</v>
      </c>
      <c r="L466" s="121">
        <f t="shared" si="31"/>
        <v>-13427.19</v>
      </c>
      <c r="M466" s="52">
        <v>16</v>
      </c>
      <c r="N466" s="1"/>
      <c r="O466" s="1">
        <f>_xlfn.XLOOKUP(B466,'BALANCETE 2022'!B:B,'BALANCETE 2022'!J:J,0)</f>
        <v>0</v>
      </c>
      <c r="P466" s="1"/>
    </row>
    <row r="467" spans="1:16" x14ac:dyDescent="0.3">
      <c r="A467" t="s">
        <v>1391</v>
      </c>
      <c r="B467" t="s">
        <v>1392</v>
      </c>
      <c r="C467">
        <f t="shared" si="28"/>
        <v>2</v>
      </c>
      <c r="D467" t="str">
        <f t="shared" si="29"/>
        <v>A</v>
      </c>
      <c r="E467" s="115" t="s">
        <v>1393</v>
      </c>
      <c r="F467" t="s">
        <v>416</v>
      </c>
      <c r="G467" s="16">
        <v>4776</v>
      </c>
      <c r="H467" s="50">
        <v>12939.47</v>
      </c>
      <c r="I467" s="50" t="s">
        <v>1394</v>
      </c>
      <c r="J467" s="50" t="s">
        <v>1394</v>
      </c>
      <c r="K467" s="50" t="str">
        <f t="shared" si="30"/>
        <v>C</v>
      </c>
      <c r="L467" s="50">
        <f t="shared" si="31"/>
        <v>13427.19</v>
      </c>
      <c r="M467" s="124"/>
      <c r="O467">
        <f>_xlfn.XLOOKUP(B467,'BALANCETE 2022'!B:B,'BALANCETE 2022'!J:J,0)</f>
        <v>0</v>
      </c>
    </row>
    <row r="468" spans="1:16" x14ac:dyDescent="0.3">
      <c r="A468" s="1" t="s">
        <v>1395</v>
      </c>
      <c r="B468" s="1" t="s">
        <v>1396</v>
      </c>
      <c r="C468" s="1">
        <f t="shared" si="28"/>
        <v>2</v>
      </c>
      <c r="D468" s="1" t="str">
        <f t="shared" si="29"/>
        <v>s</v>
      </c>
      <c r="E468" s="122">
        <v>0</v>
      </c>
      <c r="F468" s="1" t="s">
        <v>416</v>
      </c>
      <c r="G468" s="123">
        <v>19134972.829999998</v>
      </c>
      <c r="H468" s="121">
        <v>19134972.829999998</v>
      </c>
      <c r="I468" s="121">
        <v>0</v>
      </c>
      <c r="J468" s="121">
        <v>0</v>
      </c>
      <c r="K468" s="121" t="str">
        <f t="shared" si="30"/>
        <v>0</v>
      </c>
      <c r="L468" s="121">
        <f t="shared" si="31"/>
        <v>0</v>
      </c>
      <c r="N468" s="1"/>
      <c r="O468" s="1">
        <f>_xlfn.XLOOKUP(B468,'BALANCETE 2022'!B:B,'BALANCETE 2022'!J:J,0)</f>
        <v>0</v>
      </c>
      <c r="P468" s="1"/>
    </row>
    <row r="469" spans="1:16" x14ac:dyDescent="0.3">
      <c r="A469" t="s">
        <v>1397</v>
      </c>
      <c r="B469" t="s">
        <v>1398</v>
      </c>
      <c r="C469">
        <f t="shared" si="28"/>
        <v>2</v>
      </c>
      <c r="D469" t="str">
        <f t="shared" si="29"/>
        <v>A</v>
      </c>
      <c r="E469" s="115">
        <v>0</v>
      </c>
      <c r="F469" t="s">
        <v>416</v>
      </c>
      <c r="G469" s="16">
        <v>19134972.829999998</v>
      </c>
      <c r="H469" s="50">
        <v>19134972.829999998</v>
      </c>
      <c r="I469" s="50">
        <v>0</v>
      </c>
      <c r="J469" s="50">
        <v>0</v>
      </c>
      <c r="K469" s="50" t="str">
        <f t="shared" si="30"/>
        <v>0</v>
      </c>
      <c r="L469" s="50">
        <f t="shared" si="31"/>
        <v>0</v>
      </c>
      <c r="M469" s="124"/>
      <c r="O469">
        <f>_xlfn.XLOOKUP(B469,'BALANCETE 2022'!B:B,'BALANCETE 2022'!J:J,0)</f>
        <v>0</v>
      </c>
    </row>
    <row r="470" spans="1:16" x14ac:dyDescent="0.3">
      <c r="A470" s="1" t="s">
        <v>1399</v>
      </c>
      <c r="B470" s="1" t="s">
        <v>1400</v>
      </c>
      <c r="C470" s="1">
        <f t="shared" si="28"/>
        <v>2</v>
      </c>
      <c r="D470" s="1" t="str">
        <f t="shared" si="29"/>
        <v>s</v>
      </c>
      <c r="E470" s="122" t="s">
        <v>1401</v>
      </c>
      <c r="F470" s="1" t="s">
        <v>416</v>
      </c>
      <c r="G470" s="123">
        <v>794708.34</v>
      </c>
      <c r="H470" s="121">
        <v>887612.4</v>
      </c>
      <c r="I470" s="121">
        <v>527711.56999999995</v>
      </c>
      <c r="J470" s="121">
        <v>527711.56999999995</v>
      </c>
      <c r="K470" s="121" t="str">
        <f t="shared" si="30"/>
        <v>7</v>
      </c>
      <c r="L470" s="121">
        <f t="shared" si="31"/>
        <v>-527711.56999999995</v>
      </c>
      <c r="M470" s="52">
        <v>16</v>
      </c>
      <c r="N470" s="1"/>
      <c r="O470" s="1">
        <f>_xlfn.XLOOKUP(B470,'BALANCETE 2022'!B:B,'BALANCETE 2022'!J:J,0)</f>
        <v>0</v>
      </c>
      <c r="P470" s="1"/>
    </row>
    <row r="471" spans="1:16" x14ac:dyDescent="0.3">
      <c r="A471" s="1" t="s">
        <v>1402</v>
      </c>
      <c r="B471" s="1" t="s">
        <v>1403</v>
      </c>
      <c r="C471" s="1">
        <f t="shared" si="28"/>
        <v>2</v>
      </c>
      <c r="D471" s="1" t="str">
        <f t="shared" si="29"/>
        <v>s</v>
      </c>
      <c r="E471" s="122" t="s">
        <v>1401</v>
      </c>
      <c r="F471" s="1" t="s">
        <v>416</v>
      </c>
      <c r="G471" s="123">
        <v>794708.34</v>
      </c>
      <c r="H471" s="121">
        <v>887612.4</v>
      </c>
      <c r="I471" s="121" t="s">
        <v>1404</v>
      </c>
      <c r="J471" s="121" t="s">
        <v>1404</v>
      </c>
      <c r="K471" s="121" t="str">
        <f t="shared" si="30"/>
        <v>C</v>
      </c>
      <c r="L471" s="121">
        <f t="shared" si="31"/>
        <v>527711.56999999995</v>
      </c>
      <c r="N471" s="1"/>
      <c r="O471" s="1">
        <f>_xlfn.XLOOKUP(B471,'BALANCETE 2022'!B:B,'BALANCETE 2022'!J:J,0)</f>
        <v>0</v>
      </c>
      <c r="P471" s="1"/>
    </row>
    <row r="472" spans="1:16" x14ac:dyDescent="0.3">
      <c r="A472" t="s">
        <v>1405</v>
      </c>
      <c r="B472" t="s">
        <v>1406</v>
      </c>
      <c r="C472">
        <f t="shared" si="28"/>
        <v>2</v>
      </c>
      <c r="D472" t="str">
        <f t="shared" si="29"/>
        <v>A</v>
      </c>
      <c r="E472" s="115" t="s">
        <v>1407</v>
      </c>
      <c r="F472" t="s">
        <v>416</v>
      </c>
      <c r="G472" s="16">
        <v>141036.6</v>
      </c>
      <c r="H472" s="50">
        <v>70518.3</v>
      </c>
      <c r="I472" s="50" t="s">
        <v>1408</v>
      </c>
      <c r="J472" s="50" t="s">
        <v>1408</v>
      </c>
      <c r="K472" s="50" t="str">
        <f t="shared" si="30"/>
        <v>C</v>
      </c>
      <c r="L472" s="50">
        <f t="shared" si="31"/>
        <v>70518.3</v>
      </c>
      <c r="M472" s="124"/>
      <c r="O472">
        <f>_xlfn.XLOOKUP(B472,'BALANCETE 2022'!B:B,'BALANCETE 2022'!J:J,0)</f>
        <v>0</v>
      </c>
    </row>
    <row r="473" spans="1:16" x14ac:dyDescent="0.3">
      <c r="A473" t="s">
        <v>1409</v>
      </c>
      <c r="B473" t="s">
        <v>1410</v>
      </c>
      <c r="C473">
        <f t="shared" si="28"/>
        <v>2</v>
      </c>
      <c r="D473" t="str">
        <f t="shared" si="29"/>
        <v>A</v>
      </c>
      <c r="E473" s="115" t="s">
        <v>1411</v>
      </c>
      <c r="F473" t="s">
        <v>416</v>
      </c>
      <c r="G473" s="16">
        <v>0</v>
      </c>
      <c r="H473" s="50">
        <v>0</v>
      </c>
      <c r="I473" s="50" t="s">
        <v>1411</v>
      </c>
      <c r="J473" s="50" t="s">
        <v>1411</v>
      </c>
      <c r="K473" s="50" t="str">
        <f t="shared" si="30"/>
        <v>C</v>
      </c>
      <c r="L473" s="50">
        <f t="shared" si="31"/>
        <v>797.56</v>
      </c>
      <c r="M473" s="124"/>
      <c r="O473">
        <f>_xlfn.XLOOKUP(B473,'BALANCETE 2022'!B:B,'BALANCETE 2022'!J:J,0)</f>
        <v>0</v>
      </c>
    </row>
    <row r="474" spans="1:16" x14ac:dyDescent="0.3">
      <c r="A474" t="s">
        <v>1412</v>
      </c>
      <c r="B474" t="s">
        <v>1413</v>
      </c>
      <c r="C474">
        <f t="shared" si="28"/>
        <v>2</v>
      </c>
      <c r="D474" t="str">
        <f t="shared" si="29"/>
        <v>A</v>
      </c>
      <c r="E474" s="115">
        <v>0</v>
      </c>
      <c r="F474" t="s">
        <v>416</v>
      </c>
      <c r="G474" s="16">
        <v>653671.74</v>
      </c>
      <c r="H474" s="50">
        <v>817094.1</v>
      </c>
      <c r="I474" s="50" t="s">
        <v>1414</v>
      </c>
      <c r="J474" s="50" t="s">
        <v>1414</v>
      </c>
      <c r="K474" s="50" t="str">
        <f t="shared" si="30"/>
        <v>C</v>
      </c>
      <c r="L474" s="50">
        <f t="shared" si="31"/>
        <v>163422.35999999999</v>
      </c>
      <c r="M474" s="124"/>
      <c r="O474">
        <f>_xlfn.XLOOKUP(B474,'BALANCETE 2022'!B:B,'BALANCETE 2022'!J:J,0)</f>
        <v>0</v>
      </c>
    </row>
    <row r="475" spans="1:16" x14ac:dyDescent="0.3">
      <c r="A475" t="s">
        <v>1415</v>
      </c>
      <c r="B475" t="s">
        <v>1416</v>
      </c>
      <c r="C475">
        <f t="shared" si="28"/>
        <v>2</v>
      </c>
      <c r="D475" t="str">
        <f t="shared" si="29"/>
        <v>A</v>
      </c>
      <c r="E475" s="115" t="s">
        <v>1417</v>
      </c>
      <c r="F475" t="s">
        <v>416</v>
      </c>
      <c r="G475" s="16">
        <v>0</v>
      </c>
      <c r="H475" s="50">
        <v>0</v>
      </c>
      <c r="I475" s="50" t="s">
        <v>1417</v>
      </c>
      <c r="J475" s="50" t="s">
        <v>1417</v>
      </c>
      <c r="K475" s="50" t="str">
        <f t="shared" si="30"/>
        <v>C</v>
      </c>
      <c r="L475" s="50">
        <f t="shared" si="31"/>
        <v>292973.34999999998</v>
      </c>
      <c r="M475" s="124"/>
      <c r="O475">
        <f>_xlfn.XLOOKUP(B475,'BALANCETE 2022'!B:B,'BALANCETE 2022'!J:J,0)</f>
        <v>0</v>
      </c>
    </row>
    <row r="476" spans="1:16" x14ac:dyDescent="0.3">
      <c r="A476" s="1" t="s">
        <v>1418</v>
      </c>
      <c r="B476" s="1" t="s">
        <v>1419</v>
      </c>
      <c r="C476" s="1">
        <f t="shared" si="28"/>
        <v>2</v>
      </c>
      <c r="D476" s="1" t="str">
        <f t="shared" si="29"/>
        <v>s</v>
      </c>
      <c r="E476" s="122" t="s">
        <v>1420</v>
      </c>
      <c r="F476" s="1" t="s">
        <v>416</v>
      </c>
      <c r="G476" s="123">
        <v>1487957.22</v>
      </c>
      <c r="H476" s="121">
        <v>1027274.66</v>
      </c>
      <c r="I476" s="121">
        <v>872590.71</v>
      </c>
      <c r="J476" s="121">
        <v>872590.71</v>
      </c>
      <c r="K476" s="121" t="str">
        <f t="shared" si="30"/>
        <v>1</v>
      </c>
      <c r="L476" s="121">
        <f t="shared" si="31"/>
        <v>-872590.71</v>
      </c>
      <c r="M476" s="52">
        <v>13</v>
      </c>
      <c r="N476" s="1"/>
      <c r="O476" s="1">
        <f>_xlfn.XLOOKUP(B476,'BALANCETE 2022'!B:B,'BALANCETE 2022'!J:J,0)</f>
        <v>0</v>
      </c>
      <c r="P476" s="1"/>
    </row>
    <row r="477" spans="1:16" x14ac:dyDescent="0.3">
      <c r="A477" s="1" t="s">
        <v>1421</v>
      </c>
      <c r="B477" s="1" t="s">
        <v>1422</v>
      </c>
      <c r="C477" s="1">
        <f t="shared" si="28"/>
        <v>2</v>
      </c>
      <c r="D477" s="1" t="str">
        <f t="shared" si="29"/>
        <v>s</v>
      </c>
      <c r="E477" s="122" t="s">
        <v>1420</v>
      </c>
      <c r="F477" s="1" t="s">
        <v>416</v>
      </c>
      <c r="G477" s="123">
        <v>1487957.22</v>
      </c>
      <c r="H477" s="121">
        <v>1027274.66</v>
      </c>
      <c r="I477" s="121" t="s">
        <v>1423</v>
      </c>
      <c r="J477" s="121" t="s">
        <v>1423</v>
      </c>
      <c r="K477" s="121" t="str">
        <f t="shared" si="30"/>
        <v>C</v>
      </c>
      <c r="L477" s="121">
        <f t="shared" si="31"/>
        <v>872590.71</v>
      </c>
      <c r="N477" s="1"/>
      <c r="O477" s="1">
        <f>_xlfn.XLOOKUP(B477,'BALANCETE 2022'!B:B,'BALANCETE 2022'!J:J,0)</f>
        <v>0</v>
      </c>
      <c r="P477" s="1"/>
    </row>
    <row r="478" spans="1:16" x14ac:dyDescent="0.3">
      <c r="A478" t="s">
        <v>1424</v>
      </c>
      <c r="B478" t="s">
        <v>1425</v>
      </c>
      <c r="C478">
        <f t="shared" si="28"/>
        <v>2</v>
      </c>
      <c r="D478" t="str">
        <f t="shared" si="29"/>
        <v>A</v>
      </c>
      <c r="E478" s="115" t="s">
        <v>1426</v>
      </c>
      <c r="F478" t="s">
        <v>416</v>
      </c>
      <c r="G478" s="16">
        <v>505421.01</v>
      </c>
      <c r="H478" s="50">
        <v>405805.99</v>
      </c>
      <c r="I478" s="50" t="s">
        <v>1427</v>
      </c>
      <c r="J478" s="50" t="s">
        <v>1427</v>
      </c>
      <c r="K478" s="50" t="str">
        <f t="shared" si="30"/>
        <v>C</v>
      </c>
      <c r="L478" s="50">
        <f t="shared" si="31"/>
        <v>678016.43</v>
      </c>
      <c r="M478" s="124"/>
      <c r="O478">
        <f>_xlfn.XLOOKUP(B478,'BALANCETE 2022'!B:B,'BALANCETE 2022'!J:J,0)</f>
        <v>0</v>
      </c>
    </row>
    <row r="479" spans="1:16" x14ac:dyDescent="0.3">
      <c r="A479" t="s">
        <v>1428</v>
      </c>
      <c r="B479" t="s">
        <v>1429</v>
      </c>
      <c r="C479">
        <f t="shared" si="28"/>
        <v>2</v>
      </c>
      <c r="D479" t="str">
        <f t="shared" si="29"/>
        <v>A</v>
      </c>
      <c r="E479" s="115" t="s">
        <v>1430</v>
      </c>
      <c r="F479" t="s">
        <v>416</v>
      </c>
      <c r="G479" s="16">
        <v>444706.1</v>
      </c>
      <c r="H479" s="50">
        <v>108345.27</v>
      </c>
      <c r="I479" s="50" t="s">
        <v>1431</v>
      </c>
      <c r="J479" s="50" t="s">
        <v>1431</v>
      </c>
      <c r="K479" s="50" t="str">
        <f t="shared" si="30"/>
        <v>C</v>
      </c>
      <c r="L479" s="50">
        <f t="shared" si="31"/>
        <v>194574.28</v>
      </c>
      <c r="M479" s="124"/>
      <c r="O479">
        <f>_xlfn.XLOOKUP(B479,'BALANCETE 2022'!B:B,'BALANCETE 2022'!J:J,0)</f>
        <v>0</v>
      </c>
    </row>
    <row r="480" spans="1:16" x14ac:dyDescent="0.3">
      <c r="A480" t="s">
        <v>1432</v>
      </c>
      <c r="B480" t="s">
        <v>1433</v>
      </c>
      <c r="C480">
        <f t="shared" si="28"/>
        <v>2</v>
      </c>
      <c r="D480" t="str">
        <f t="shared" si="29"/>
        <v>A</v>
      </c>
      <c r="E480" s="115" t="s">
        <v>884</v>
      </c>
      <c r="F480" t="s">
        <v>416</v>
      </c>
      <c r="G480" s="16">
        <v>424805.17</v>
      </c>
      <c r="H480" s="50">
        <v>424805.17</v>
      </c>
      <c r="I480" s="50" t="s">
        <v>884</v>
      </c>
      <c r="J480" s="50" t="s">
        <v>884</v>
      </c>
      <c r="K480" s="50" t="str">
        <f t="shared" si="30"/>
        <v>C</v>
      </c>
      <c r="L480" s="50">
        <f t="shared" si="31"/>
        <v>0</v>
      </c>
      <c r="M480" s="124"/>
      <c r="O480">
        <f>_xlfn.XLOOKUP(B480,'BALANCETE 2022'!B:B,'BALANCETE 2022'!J:J,0)</f>
        <v>0</v>
      </c>
    </row>
    <row r="481" spans="1:16" x14ac:dyDescent="0.3">
      <c r="A481" t="s">
        <v>1434</v>
      </c>
      <c r="B481" t="s">
        <v>1435</v>
      </c>
      <c r="C481">
        <f t="shared" si="28"/>
        <v>2</v>
      </c>
      <c r="D481" t="str">
        <f t="shared" si="29"/>
        <v>A</v>
      </c>
      <c r="E481" s="115" t="s">
        <v>1436</v>
      </c>
      <c r="F481" t="s">
        <v>416</v>
      </c>
      <c r="G481" s="16">
        <v>113024.94</v>
      </c>
      <c r="H481" s="50">
        <v>88318.23</v>
      </c>
      <c r="I481" s="50" t="s">
        <v>884</v>
      </c>
      <c r="J481" s="50" t="s">
        <v>884</v>
      </c>
      <c r="K481" s="50" t="str">
        <f t="shared" si="30"/>
        <v>C</v>
      </c>
      <c r="L481" s="50">
        <f t="shared" si="31"/>
        <v>0</v>
      </c>
      <c r="M481" s="124"/>
      <c r="O481">
        <f>_xlfn.XLOOKUP(B481,'BALANCETE 2022'!B:B,'BALANCETE 2022'!J:J,0)</f>
        <v>0</v>
      </c>
    </row>
    <row r="482" spans="1:16" x14ac:dyDescent="0.3">
      <c r="A482" s="1" t="s">
        <v>1437</v>
      </c>
      <c r="B482" s="1" t="s">
        <v>1438</v>
      </c>
      <c r="C482" s="1">
        <f t="shared" si="28"/>
        <v>2</v>
      </c>
      <c r="D482" s="1" t="str">
        <f t="shared" si="29"/>
        <v>s</v>
      </c>
      <c r="E482" s="122" t="s">
        <v>1439</v>
      </c>
      <c r="F482" s="1" t="s">
        <v>416</v>
      </c>
      <c r="G482" s="123">
        <v>1362810.27</v>
      </c>
      <c r="H482" s="121">
        <v>3971297.71</v>
      </c>
      <c r="I482" s="121">
        <v>3299290.66</v>
      </c>
      <c r="J482" s="121">
        <v>3299290.66</v>
      </c>
      <c r="K482" s="121" t="str">
        <f t="shared" si="30"/>
        <v>6</v>
      </c>
      <c r="L482" s="121">
        <f t="shared" si="31"/>
        <v>-3299290.66</v>
      </c>
      <c r="M482" s="52">
        <v>16</v>
      </c>
      <c r="N482" s="1"/>
      <c r="O482" s="1">
        <f>_xlfn.XLOOKUP(B482,'BALANCETE 2022'!B:B,'BALANCETE 2022'!J:J,0)</f>
        <v>0</v>
      </c>
      <c r="P482" s="1"/>
    </row>
    <row r="483" spans="1:16" x14ac:dyDescent="0.3">
      <c r="A483" s="1" t="s">
        <v>1440</v>
      </c>
      <c r="B483" s="1" t="s">
        <v>1441</v>
      </c>
      <c r="C483" s="1">
        <f t="shared" si="28"/>
        <v>2</v>
      </c>
      <c r="D483" s="1" t="str">
        <f t="shared" si="29"/>
        <v>s</v>
      </c>
      <c r="E483" s="122" t="s">
        <v>1439</v>
      </c>
      <c r="F483" s="1" t="s">
        <v>416</v>
      </c>
      <c r="G483" s="123">
        <v>1362810.27</v>
      </c>
      <c r="H483" s="121">
        <v>3971297.71</v>
      </c>
      <c r="I483" s="121" t="s">
        <v>1442</v>
      </c>
      <c r="J483" s="121" t="s">
        <v>1442</v>
      </c>
      <c r="K483" s="121" t="str">
        <f t="shared" si="30"/>
        <v>C</v>
      </c>
      <c r="L483" s="121">
        <f t="shared" si="31"/>
        <v>3299290.66</v>
      </c>
      <c r="N483" s="1"/>
      <c r="O483" s="1">
        <f>_xlfn.XLOOKUP(B483,'BALANCETE 2022'!B:B,'BALANCETE 2022'!J:J,0)</f>
        <v>0</v>
      </c>
      <c r="P483" s="1"/>
    </row>
    <row r="484" spans="1:16" x14ac:dyDescent="0.3">
      <c r="A484" t="s">
        <v>1443</v>
      </c>
      <c r="B484" t="s">
        <v>1444</v>
      </c>
      <c r="C484">
        <f t="shared" si="28"/>
        <v>2</v>
      </c>
      <c r="D484" t="str">
        <f t="shared" si="29"/>
        <v>A</v>
      </c>
      <c r="E484" s="115" t="s">
        <v>1445</v>
      </c>
      <c r="F484" t="s">
        <v>416</v>
      </c>
      <c r="G484" s="16">
        <v>90063.91</v>
      </c>
      <c r="H484" s="50">
        <v>90063.91</v>
      </c>
      <c r="I484" s="50" t="s">
        <v>1445</v>
      </c>
      <c r="J484" s="50" t="s">
        <v>1445</v>
      </c>
      <c r="K484" s="50" t="str">
        <f t="shared" si="30"/>
        <v>C</v>
      </c>
      <c r="L484" s="50">
        <f t="shared" si="31"/>
        <v>13247.77</v>
      </c>
      <c r="M484" s="124"/>
      <c r="O484">
        <f>_xlfn.XLOOKUP(B484,'BALANCETE 2022'!B:B,'BALANCETE 2022'!J:J,0)</f>
        <v>0</v>
      </c>
    </row>
    <row r="485" spans="1:16" x14ac:dyDescent="0.3">
      <c r="A485" t="s">
        <v>1446</v>
      </c>
      <c r="B485" t="s">
        <v>1447</v>
      </c>
      <c r="C485">
        <f t="shared" si="28"/>
        <v>2</v>
      </c>
      <c r="D485" t="str">
        <f t="shared" si="29"/>
        <v>A</v>
      </c>
      <c r="E485" s="115" t="s">
        <v>1448</v>
      </c>
      <c r="F485" t="s">
        <v>416</v>
      </c>
      <c r="G485" s="16">
        <v>1119819.68</v>
      </c>
      <c r="H485" s="50">
        <v>3758307.12</v>
      </c>
      <c r="I485" s="50" t="s">
        <v>1449</v>
      </c>
      <c r="J485" s="50" t="s">
        <v>1449</v>
      </c>
      <c r="K485" s="50" t="str">
        <f t="shared" si="30"/>
        <v>C</v>
      </c>
      <c r="L485" s="50">
        <f t="shared" si="31"/>
        <v>3286042.89</v>
      </c>
      <c r="M485" s="124"/>
      <c r="O485">
        <f>_xlfn.XLOOKUP(B485,'BALANCETE 2022'!B:B,'BALANCETE 2022'!J:J,0)</f>
        <v>0</v>
      </c>
    </row>
    <row r="486" spans="1:16" x14ac:dyDescent="0.3">
      <c r="A486" t="s">
        <v>1450</v>
      </c>
      <c r="B486" t="s">
        <v>1451</v>
      </c>
      <c r="C486">
        <f t="shared" si="28"/>
        <v>2</v>
      </c>
      <c r="D486" t="str">
        <f t="shared" si="29"/>
        <v>A</v>
      </c>
      <c r="E486" s="115" t="s">
        <v>934</v>
      </c>
      <c r="F486" t="s">
        <v>416</v>
      </c>
      <c r="G486" s="16">
        <v>152926.68</v>
      </c>
      <c r="H486" s="50">
        <v>122926.68</v>
      </c>
      <c r="I486" s="50" t="s">
        <v>884</v>
      </c>
      <c r="J486" s="50" t="s">
        <v>884</v>
      </c>
      <c r="K486" s="50" t="str">
        <f t="shared" si="30"/>
        <v>C</v>
      </c>
      <c r="L486" s="50">
        <f t="shared" si="31"/>
        <v>0</v>
      </c>
      <c r="M486" s="124"/>
      <c r="O486">
        <f>_xlfn.XLOOKUP(B486,'BALANCETE 2022'!B:B,'BALANCETE 2022'!J:J,0)</f>
        <v>0</v>
      </c>
    </row>
    <row r="487" spans="1:16" x14ac:dyDescent="0.3">
      <c r="A487" s="1" t="s">
        <v>1452</v>
      </c>
      <c r="B487" s="1" t="s">
        <v>1453</v>
      </c>
      <c r="C487" s="1">
        <f t="shared" si="28"/>
        <v>2</v>
      </c>
      <c r="D487" s="1" t="str">
        <f t="shared" si="29"/>
        <v>s</v>
      </c>
      <c r="E487" s="122" t="s">
        <v>1454</v>
      </c>
      <c r="F487" s="1" t="s">
        <v>416</v>
      </c>
      <c r="G487" s="123">
        <v>15059630</v>
      </c>
      <c r="H487" s="121">
        <v>24763054.469999999</v>
      </c>
      <c r="I487" s="121" t="s">
        <v>1455</v>
      </c>
      <c r="J487" s="121" t="s">
        <v>1455</v>
      </c>
      <c r="K487" s="121" t="str">
        <f t="shared" si="30"/>
        <v>C</v>
      </c>
      <c r="L487" s="121">
        <f t="shared" si="31"/>
        <v>55060252.469999999</v>
      </c>
      <c r="N487" s="1"/>
      <c r="O487" s="1">
        <f>_xlfn.XLOOKUP(B487,'BALANCETE 2022'!B:B,'BALANCETE 2022'!J:J,0)</f>
        <v>0</v>
      </c>
      <c r="P487" s="1"/>
    </row>
    <row r="488" spans="1:16" x14ac:dyDescent="0.3">
      <c r="A488" s="1" t="s">
        <v>1456</v>
      </c>
      <c r="B488" s="1" t="s">
        <v>1457</v>
      </c>
      <c r="C488" s="1">
        <f t="shared" si="28"/>
        <v>2</v>
      </c>
      <c r="D488" s="1" t="str">
        <f t="shared" si="29"/>
        <v>s</v>
      </c>
      <c r="E488" s="122" t="s">
        <v>1458</v>
      </c>
      <c r="F488" s="1" t="s">
        <v>416</v>
      </c>
      <c r="G488" s="123">
        <v>889651.13</v>
      </c>
      <c r="H488" s="121">
        <v>2152654.0299999998</v>
      </c>
      <c r="I488" s="121" t="s">
        <v>1459</v>
      </c>
      <c r="J488" s="121" t="s">
        <v>1459</v>
      </c>
      <c r="K488" s="121" t="str">
        <f t="shared" si="30"/>
        <v>C</v>
      </c>
      <c r="L488" s="121">
        <f t="shared" si="31"/>
        <v>3863781.91</v>
      </c>
      <c r="N488" s="1"/>
      <c r="O488" s="1">
        <f>_xlfn.XLOOKUP(B488,'BALANCETE 2022'!B:B,'BALANCETE 2022'!J:J,0)</f>
        <v>0</v>
      </c>
      <c r="P488" s="1"/>
    </row>
    <row r="489" spans="1:16" x14ac:dyDescent="0.3">
      <c r="A489" s="1" t="s">
        <v>1460</v>
      </c>
      <c r="B489" s="1" t="s">
        <v>1461</v>
      </c>
      <c r="C489" s="1">
        <f t="shared" si="28"/>
        <v>2</v>
      </c>
      <c r="D489" s="1" t="str">
        <f t="shared" si="29"/>
        <v>s</v>
      </c>
      <c r="E489" s="122" t="s">
        <v>1462</v>
      </c>
      <c r="F489" s="1" t="s">
        <v>416</v>
      </c>
      <c r="G489" s="123">
        <v>70518.3</v>
      </c>
      <c r="H489" s="121">
        <v>640053.21</v>
      </c>
      <c r="I489" s="121">
        <v>640053.21</v>
      </c>
      <c r="J489" s="121">
        <v>640053.21</v>
      </c>
      <c r="K489" s="121" t="str">
        <f t="shared" si="30"/>
        <v>1</v>
      </c>
      <c r="L489" s="121">
        <f t="shared" si="31"/>
        <v>-640053.21</v>
      </c>
      <c r="M489" s="52">
        <v>17</v>
      </c>
      <c r="N489" s="1"/>
      <c r="O489" s="1">
        <f>_xlfn.XLOOKUP(B489,'BALANCETE 2022'!B:B,'BALANCETE 2022'!J:J,0)</f>
        <v>0</v>
      </c>
      <c r="P489" s="1"/>
    </row>
    <row r="490" spans="1:16" x14ac:dyDescent="0.3">
      <c r="A490" t="s">
        <v>1463</v>
      </c>
      <c r="B490" t="s">
        <v>1464</v>
      </c>
      <c r="C490">
        <f t="shared" si="28"/>
        <v>2</v>
      </c>
      <c r="D490" t="str">
        <f t="shared" si="29"/>
        <v>A</v>
      </c>
      <c r="E490" s="115" t="s">
        <v>1408</v>
      </c>
      <c r="F490" t="s">
        <v>416</v>
      </c>
      <c r="G490" s="16">
        <v>70518.3</v>
      </c>
      <c r="H490" s="50">
        <v>0</v>
      </c>
      <c r="I490" s="50" t="s">
        <v>884</v>
      </c>
      <c r="J490" s="50" t="s">
        <v>884</v>
      </c>
      <c r="K490" s="50" t="str">
        <f t="shared" si="30"/>
        <v>C</v>
      </c>
      <c r="L490" s="50">
        <f t="shared" si="31"/>
        <v>0</v>
      </c>
      <c r="M490" s="124"/>
      <c r="O490">
        <f>_xlfn.XLOOKUP(B490,'BALANCETE 2022'!B:B,'BALANCETE 2022'!J:J,0)</f>
        <v>0</v>
      </c>
    </row>
    <row r="491" spans="1:16" x14ac:dyDescent="0.3">
      <c r="A491" t="s">
        <v>1465</v>
      </c>
      <c r="B491" t="s">
        <v>1466</v>
      </c>
      <c r="C491">
        <f t="shared" si="28"/>
        <v>2</v>
      </c>
      <c r="D491" t="str">
        <f t="shared" si="29"/>
        <v>A</v>
      </c>
      <c r="E491" s="115" t="s">
        <v>884</v>
      </c>
      <c r="F491" t="s">
        <v>416</v>
      </c>
      <c r="G491" s="16">
        <v>0</v>
      </c>
      <c r="H491" s="50">
        <v>640053.21</v>
      </c>
      <c r="I491" s="50" t="s">
        <v>1467</v>
      </c>
      <c r="J491" s="50" t="s">
        <v>1467</v>
      </c>
      <c r="K491" s="50" t="str">
        <f t="shared" si="30"/>
        <v>C</v>
      </c>
      <c r="L491" s="50">
        <f t="shared" si="31"/>
        <v>640053.21</v>
      </c>
      <c r="M491" s="124"/>
      <c r="O491">
        <f>_xlfn.XLOOKUP(B491,'BALANCETE 2022'!B:B,'BALANCETE 2022'!J:J,0)</f>
        <v>0</v>
      </c>
    </row>
    <row r="492" spans="1:16" x14ac:dyDescent="0.3">
      <c r="A492" s="1" t="s">
        <v>1468</v>
      </c>
      <c r="B492" s="1" t="s">
        <v>1469</v>
      </c>
      <c r="C492" s="1">
        <f t="shared" si="28"/>
        <v>2</v>
      </c>
      <c r="D492" s="1" t="str">
        <f t="shared" si="29"/>
        <v>s</v>
      </c>
      <c r="E492" s="122" t="s">
        <v>1470</v>
      </c>
      <c r="F492" s="1" t="s">
        <v>416</v>
      </c>
      <c r="G492" s="123">
        <v>819132.83</v>
      </c>
      <c r="H492" s="121">
        <v>1497536.83</v>
      </c>
      <c r="I492" s="121">
        <v>1855688.23</v>
      </c>
      <c r="J492" s="121">
        <v>1855688.23</v>
      </c>
      <c r="K492" s="121" t="str">
        <f t="shared" si="30"/>
        <v>3</v>
      </c>
      <c r="L492" s="121">
        <f t="shared" si="31"/>
        <v>-1855688.23</v>
      </c>
      <c r="M492" s="52">
        <v>18</v>
      </c>
      <c r="N492" s="1"/>
      <c r="O492" s="1">
        <f>_xlfn.XLOOKUP(B492,'BALANCETE 2022'!B:B,'BALANCETE 2022'!J:J,0)</f>
        <v>0</v>
      </c>
      <c r="P492" s="1"/>
    </row>
    <row r="493" spans="1:16" x14ac:dyDescent="0.3">
      <c r="A493" t="s">
        <v>1471</v>
      </c>
      <c r="B493" t="s">
        <v>1472</v>
      </c>
      <c r="C493">
        <f t="shared" si="28"/>
        <v>2</v>
      </c>
      <c r="D493" t="str">
        <f t="shared" si="29"/>
        <v>A</v>
      </c>
      <c r="E493" s="115" t="s">
        <v>1473</v>
      </c>
      <c r="F493" t="s">
        <v>416</v>
      </c>
      <c r="G493" s="16">
        <v>39368.730000000003</v>
      </c>
      <c r="H493" s="50">
        <v>14852.14</v>
      </c>
      <c r="I493" s="50" t="s">
        <v>1474</v>
      </c>
      <c r="J493" s="50" t="s">
        <v>1474</v>
      </c>
      <c r="K493" s="50" t="str">
        <f t="shared" si="30"/>
        <v>C</v>
      </c>
      <c r="L493" s="50">
        <f t="shared" si="31"/>
        <v>175786.58</v>
      </c>
      <c r="M493" s="124"/>
      <c r="O493">
        <f>_xlfn.XLOOKUP(B493,'BALANCETE 2022'!B:B,'BALANCETE 2022'!J:J,0)</f>
        <v>0</v>
      </c>
    </row>
    <row r="494" spans="1:16" x14ac:dyDescent="0.3">
      <c r="A494" t="s">
        <v>1475</v>
      </c>
      <c r="B494" t="s">
        <v>1476</v>
      </c>
      <c r="C494">
        <f t="shared" si="28"/>
        <v>2</v>
      </c>
      <c r="D494" t="str">
        <f t="shared" si="29"/>
        <v>A</v>
      </c>
      <c r="E494" s="115" t="s">
        <v>1477</v>
      </c>
      <c r="F494" t="s">
        <v>416</v>
      </c>
      <c r="G494" s="16">
        <v>196039.06</v>
      </c>
      <c r="H494" s="50">
        <v>0</v>
      </c>
      <c r="I494" s="50" t="s">
        <v>1478</v>
      </c>
      <c r="J494" s="50" t="s">
        <v>1478</v>
      </c>
      <c r="K494" s="50" t="str">
        <f t="shared" si="30"/>
        <v>C</v>
      </c>
      <c r="L494" s="50">
        <f t="shared" si="31"/>
        <v>153769.32</v>
      </c>
      <c r="M494" s="124"/>
      <c r="O494">
        <f>_xlfn.XLOOKUP(B494,'BALANCETE 2022'!B:B,'BALANCETE 2022'!J:J,0)</f>
        <v>0</v>
      </c>
    </row>
    <row r="495" spans="1:16" x14ac:dyDescent="0.3">
      <c r="A495" t="s">
        <v>1479</v>
      </c>
      <c r="B495" t="s">
        <v>1480</v>
      </c>
      <c r="C495">
        <f t="shared" si="28"/>
        <v>2</v>
      </c>
      <c r="D495" t="str">
        <f t="shared" si="29"/>
        <v>A</v>
      </c>
      <c r="E495" s="115" t="s">
        <v>1481</v>
      </c>
      <c r="F495" t="s">
        <v>416</v>
      </c>
      <c r="G495" s="16">
        <v>92759.5</v>
      </c>
      <c r="H495" s="50">
        <v>0</v>
      </c>
      <c r="I495" s="50" t="s">
        <v>1482</v>
      </c>
      <c r="J495" s="50" t="s">
        <v>1482</v>
      </c>
      <c r="K495" s="50" t="str">
        <f t="shared" si="30"/>
        <v>C</v>
      </c>
      <c r="L495" s="50">
        <f t="shared" si="31"/>
        <v>68083.66</v>
      </c>
      <c r="M495" s="124"/>
      <c r="O495">
        <f>_xlfn.XLOOKUP(B495,'BALANCETE 2022'!B:B,'BALANCETE 2022'!J:J,0)</f>
        <v>0</v>
      </c>
    </row>
    <row r="496" spans="1:16" x14ac:dyDescent="0.3">
      <c r="A496" t="s">
        <v>1483</v>
      </c>
      <c r="B496" t="s">
        <v>1484</v>
      </c>
      <c r="C496">
        <f t="shared" si="28"/>
        <v>2</v>
      </c>
      <c r="D496" t="str">
        <f t="shared" si="29"/>
        <v>A</v>
      </c>
      <c r="E496" s="115" t="s">
        <v>1485</v>
      </c>
      <c r="F496" t="s">
        <v>416</v>
      </c>
      <c r="G496" s="16">
        <v>153594.13</v>
      </c>
      <c r="H496" s="50">
        <v>0</v>
      </c>
      <c r="I496" s="50" t="s">
        <v>1486</v>
      </c>
      <c r="J496" s="50" t="s">
        <v>1486</v>
      </c>
      <c r="K496" s="50" t="str">
        <f t="shared" si="30"/>
        <v>C</v>
      </c>
      <c r="L496" s="50">
        <f t="shared" si="31"/>
        <v>112735.39</v>
      </c>
      <c r="M496" s="124"/>
      <c r="O496">
        <f>_xlfn.XLOOKUP(B496,'BALANCETE 2022'!B:B,'BALANCETE 2022'!J:J,0)</f>
        <v>0</v>
      </c>
    </row>
    <row r="497" spans="1:16" x14ac:dyDescent="0.3">
      <c r="A497" t="s">
        <v>1487</v>
      </c>
      <c r="B497" t="s">
        <v>1488</v>
      </c>
      <c r="C497">
        <f t="shared" si="28"/>
        <v>2</v>
      </c>
      <c r="D497" t="str">
        <f t="shared" si="29"/>
        <v>A</v>
      </c>
      <c r="E497" s="115" t="s">
        <v>1489</v>
      </c>
      <c r="F497" t="s">
        <v>416</v>
      </c>
      <c r="G497" s="16">
        <v>39598.870000000003</v>
      </c>
      <c r="H497" s="50">
        <v>0</v>
      </c>
      <c r="I497" s="50" t="s">
        <v>1490</v>
      </c>
      <c r="J497" s="50" t="s">
        <v>1490</v>
      </c>
      <c r="K497" s="50" t="str">
        <f t="shared" si="30"/>
        <v>C</v>
      </c>
      <c r="L497" s="50">
        <f t="shared" si="31"/>
        <v>160401.13</v>
      </c>
      <c r="M497" s="124"/>
      <c r="O497">
        <f>_xlfn.XLOOKUP(B497,'BALANCETE 2022'!B:B,'BALANCETE 2022'!J:J,0)</f>
        <v>0</v>
      </c>
    </row>
    <row r="498" spans="1:16" x14ac:dyDescent="0.3">
      <c r="A498" t="s">
        <v>1491</v>
      </c>
      <c r="B498" t="s">
        <v>1492</v>
      </c>
      <c r="C498">
        <f t="shared" si="28"/>
        <v>2</v>
      </c>
      <c r="D498" t="str">
        <f t="shared" si="29"/>
        <v>A</v>
      </c>
      <c r="E498" s="115" t="s">
        <v>884</v>
      </c>
      <c r="F498" t="s">
        <v>416</v>
      </c>
      <c r="G498" s="16">
        <v>273439.96000000002</v>
      </c>
      <c r="H498" s="50">
        <v>1347503.56</v>
      </c>
      <c r="I498" s="50" t="s">
        <v>1493</v>
      </c>
      <c r="J498" s="50" t="s">
        <v>1493</v>
      </c>
      <c r="K498" s="50" t="str">
        <f t="shared" si="30"/>
        <v>C</v>
      </c>
      <c r="L498" s="50">
        <f t="shared" si="31"/>
        <v>1074063.6000000001</v>
      </c>
      <c r="M498" s="124"/>
      <c r="O498">
        <f>_xlfn.XLOOKUP(B498,'BALANCETE 2022'!B:B,'BALANCETE 2022'!J:J,0)</f>
        <v>0</v>
      </c>
    </row>
    <row r="499" spans="1:16" x14ac:dyDescent="0.3">
      <c r="A499" t="s">
        <v>1494</v>
      </c>
      <c r="B499" t="s">
        <v>1495</v>
      </c>
      <c r="C499">
        <f t="shared" si="28"/>
        <v>2</v>
      </c>
      <c r="D499" t="str">
        <f t="shared" si="29"/>
        <v>A</v>
      </c>
      <c r="E499" s="115" t="s">
        <v>884</v>
      </c>
      <c r="F499" t="s">
        <v>416</v>
      </c>
      <c r="G499" s="16">
        <v>24332.58</v>
      </c>
      <c r="H499" s="50">
        <v>135181.13</v>
      </c>
      <c r="I499" s="50" t="s">
        <v>1496</v>
      </c>
      <c r="J499" s="50" t="s">
        <v>1496</v>
      </c>
      <c r="K499" s="50" t="str">
        <f t="shared" si="30"/>
        <v>C</v>
      </c>
      <c r="L499" s="50">
        <f t="shared" si="31"/>
        <v>110848.55</v>
      </c>
      <c r="M499" s="124"/>
      <c r="O499">
        <f>_xlfn.XLOOKUP(B499,'BALANCETE 2022'!B:B,'BALANCETE 2022'!J:J,0)</f>
        <v>0</v>
      </c>
    </row>
    <row r="500" spans="1:16" x14ac:dyDescent="0.3">
      <c r="A500" s="1" t="s">
        <v>1497</v>
      </c>
      <c r="B500" s="1" t="s">
        <v>1498</v>
      </c>
      <c r="C500" s="1">
        <f t="shared" si="28"/>
        <v>2</v>
      </c>
      <c r="D500" s="1" t="str">
        <f t="shared" si="29"/>
        <v>s</v>
      </c>
      <c r="E500" s="122" t="s">
        <v>1499</v>
      </c>
      <c r="F500" s="1" t="s">
        <v>416</v>
      </c>
      <c r="G500" s="123">
        <v>0</v>
      </c>
      <c r="H500" s="121">
        <v>15063.99</v>
      </c>
      <c r="I500" s="121">
        <v>1368040.47</v>
      </c>
      <c r="J500" s="121">
        <v>1368040.47</v>
      </c>
      <c r="K500" s="121" t="str">
        <f t="shared" si="30"/>
        <v>7</v>
      </c>
      <c r="L500" s="121">
        <f t="shared" si="31"/>
        <v>-1368040.47</v>
      </c>
      <c r="M500" s="52">
        <v>17</v>
      </c>
      <c r="N500" s="1"/>
      <c r="O500" s="1">
        <f>_xlfn.XLOOKUP(B500,'BALANCETE 2022'!B:B,'BALANCETE 2022'!J:J,0)</f>
        <v>0</v>
      </c>
      <c r="P500" s="1"/>
    </row>
    <row r="501" spans="1:16" x14ac:dyDescent="0.3">
      <c r="A501" t="s">
        <v>1500</v>
      </c>
      <c r="B501" t="s">
        <v>1501</v>
      </c>
      <c r="C501">
        <f t="shared" si="28"/>
        <v>2</v>
      </c>
      <c r="D501" t="str">
        <f t="shared" si="29"/>
        <v>A</v>
      </c>
      <c r="E501" s="115" t="s">
        <v>1502</v>
      </c>
      <c r="F501" t="s">
        <v>416</v>
      </c>
      <c r="G501" s="16">
        <v>0</v>
      </c>
      <c r="H501" s="50">
        <v>15063.99</v>
      </c>
      <c r="I501" s="50" t="s">
        <v>1503</v>
      </c>
      <c r="J501" s="50" t="s">
        <v>1503</v>
      </c>
      <c r="K501" s="50" t="str">
        <f t="shared" si="30"/>
        <v>C</v>
      </c>
      <c r="L501" s="50">
        <f t="shared" si="31"/>
        <v>1368040.47</v>
      </c>
      <c r="M501" s="124"/>
      <c r="O501">
        <f>_xlfn.XLOOKUP(B501,'BALANCETE 2022'!B:B,'BALANCETE 2022'!J:J,0)</f>
        <v>0</v>
      </c>
    </row>
    <row r="502" spans="1:16" x14ac:dyDescent="0.3">
      <c r="A502" s="1" t="s">
        <v>1504</v>
      </c>
      <c r="B502" s="1" t="s">
        <v>1505</v>
      </c>
      <c r="C502" s="1">
        <f t="shared" si="28"/>
        <v>2</v>
      </c>
      <c r="D502" s="1" t="str">
        <f t="shared" si="29"/>
        <v>s</v>
      </c>
      <c r="E502" s="122" t="s">
        <v>1506</v>
      </c>
      <c r="F502" s="1" t="s">
        <v>416</v>
      </c>
      <c r="G502" s="123">
        <v>13546366.550000001</v>
      </c>
      <c r="H502" s="121">
        <v>9145039.7899999991</v>
      </c>
      <c r="I502" s="121">
        <v>37731109.909999996</v>
      </c>
      <c r="J502" s="121">
        <v>37731109.909999996</v>
      </c>
      <c r="K502" s="121" t="str">
        <f t="shared" si="30"/>
        <v>1</v>
      </c>
      <c r="L502" s="121">
        <f t="shared" si="31"/>
        <v>-37731109.909999996</v>
      </c>
      <c r="M502" s="52">
        <v>19</v>
      </c>
      <c r="N502" s="1"/>
      <c r="O502" s="1">
        <f>_xlfn.XLOOKUP(B502,'BALANCETE 2022'!B:B,'BALANCETE 2022'!J:J,0)</f>
        <v>0</v>
      </c>
      <c r="P502" s="1"/>
    </row>
    <row r="503" spans="1:16" x14ac:dyDescent="0.3">
      <c r="A503" s="1" t="s">
        <v>1507</v>
      </c>
      <c r="B503" s="1" t="s">
        <v>1508</v>
      </c>
      <c r="C503" s="1">
        <f t="shared" si="28"/>
        <v>2</v>
      </c>
      <c r="D503" s="1" t="str">
        <f t="shared" si="29"/>
        <v>s</v>
      </c>
      <c r="E503" s="122" t="s">
        <v>1506</v>
      </c>
      <c r="F503" s="1" t="s">
        <v>416</v>
      </c>
      <c r="G503" s="123">
        <v>13546366.550000001</v>
      </c>
      <c r="H503" s="121">
        <v>9145039.7899999991</v>
      </c>
      <c r="I503" s="121" t="s">
        <v>1509</v>
      </c>
      <c r="J503" s="121" t="s">
        <v>1509</v>
      </c>
      <c r="K503" s="121" t="str">
        <f t="shared" si="30"/>
        <v>C</v>
      </c>
      <c r="L503" s="121">
        <f t="shared" si="31"/>
        <v>37731109.909999996</v>
      </c>
      <c r="N503" s="1"/>
      <c r="O503" s="1">
        <f>_xlfn.XLOOKUP(B503,'BALANCETE 2022'!B:B,'BALANCETE 2022'!J:J,0)</f>
        <v>0</v>
      </c>
      <c r="P503" s="1"/>
    </row>
    <row r="504" spans="1:16" x14ac:dyDescent="0.3">
      <c r="A504" t="s">
        <v>1510</v>
      </c>
      <c r="B504" t="s">
        <v>1511</v>
      </c>
      <c r="C504">
        <f t="shared" si="28"/>
        <v>2</v>
      </c>
      <c r="D504" t="str">
        <f t="shared" si="29"/>
        <v>A</v>
      </c>
      <c r="E504" s="115" t="s">
        <v>1512</v>
      </c>
      <c r="F504" t="s">
        <v>416</v>
      </c>
      <c r="G504" s="16">
        <v>11892675.76</v>
      </c>
      <c r="H504" s="50">
        <v>8901497.8900000006</v>
      </c>
      <c r="I504" s="50" t="s">
        <v>1513</v>
      </c>
      <c r="J504" s="50" t="s">
        <v>1513</v>
      </c>
      <c r="K504" s="50" t="str">
        <f t="shared" si="30"/>
        <v>C</v>
      </c>
      <c r="L504" s="50">
        <f t="shared" si="31"/>
        <v>8691622.7100000009</v>
      </c>
      <c r="M504" s="124"/>
      <c r="O504">
        <f>_xlfn.XLOOKUP(B504,'BALANCETE 2022'!B:B,'BALANCETE 2022'!J:J,0)</f>
        <v>0</v>
      </c>
    </row>
    <row r="505" spans="1:16" x14ac:dyDescent="0.3">
      <c r="A505" t="s">
        <v>1514</v>
      </c>
      <c r="B505" t="s">
        <v>1515</v>
      </c>
      <c r="C505">
        <f t="shared" si="28"/>
        <v>2</v>
      </c>
      <c r="D505" t="str">
        <f t="shared" si="29"/>
        <v>A</v>
      </c>
      <c r="E505" s="115" t="s">
        <v>1516</v>
      </c>
      <c r="F505" t="s">
        <v>416</v>
      </c>
      <c r="G505" s="16">
        <v>98878.99</v>
      </c>
      <c r="H505" s="50">
        <v>89315.38</v>
      </c>
      <c r="I505" s="50" t="s">
        <v>1517</v>
      </c>
      <c r="J505" s="50" t="s">
        <v>1517</v>
      </c>
      <c r="K505" s="50" t="str">
        <f t="shared" si="30"/>
        <v>C</v>
      </c>
      <c r="L505" s="50">
        <f t="shared" si="31"/>
        <v>27117399.670000002</v>
      </c>
      <c r="M505" s="124"/>
      <c r="O505">
        <f>_xlfn.XLOOKUP(B505,'BALANCETE 2022'!B:B,'BALANCETE 2022'!J:J,0)</f>
        <v>0</v>
      </c>
    </row>
    <row r="506" spans="1:16" x14ac:dyDescent="0.3">
      <c r="A506" t="s">
        <v>1518</v>
      </c>
      <c r="B506" t="s">
        <v>1519</v>
      </c>
      <c r="C506">
        <f t="shared" si="28"/>
        <v>2</v>
      </c>
      <c r="D506" t="str">
        <f t="shared" si="29"/>
        <v>A</v>
      </c>
      <c r="E506" s="115" t="s">
        <v>1520</v>
      </c>
      <c r="F506" t="s">
        <v>416</v>
      </c>
      <c r="G506" s="16">
        <v>1554811.8</v>
      </c>
      <c r="H506" s="50">
        <v>154226.51999999999</v>
      </c>
      <c r="I506" s="50" t="s">
        <v>1521</v>
      </c>
      <c r="J506" s="50" t="s">
        <v>1521</v>
      </c>
      <c r="K506" s="50" t="str">
        <f t="shared" si="30"/>
        <v>C</v>
      </c>
      <c r="L506" s="50">
        <f t="shared" si="31"/>
        <v>1922087.53</v>
      </c>
      <c r="M506" s="124"/>
      <c r="O506">
        <f>_xlfn.XLOOKUP(B506,'BALANCETE 2022'!B:B,'BALANCETE 2022'!J:J,0)</f>
        <v>0</v>
      </c>
    </row>
    <row r="507" spans="1:16" x14ac:dyDescent="0.3">
      <c r="A507" s="1" t="s">
        <v>1522</v>
      </c>
      <c r="B507" s="1" t="s">
        <v>1523</v>
      </c>
      <c r="C507" s="1">
        <f t="shared" si="28"/>
        <v>2</v>
      </c>
      <c r="D507" s="1" t="str">
        <f t="shared" si="29"/>
        <v>s</v>
      </c>
      <c r="E507" s="122" t="s">
        <v>1524</v>
      </c>
      <c r="F507" s="1" t="s">
        <v>416</v>
      </c>
      <c r="G507" s="123">
        <v>623612.31999999995</v>
      </c>
      <c r="H507" s="121">
        <v>13465360.65</v>
      </c>
      <c r="I507" s="121">
        <v>13465360.65</v>
      </c>
      <c r="J507" s="121">
        <v>13465360.65</v>
      </c>
      <c r="K507" s="121" t="str">
        <f t="shared" si="30"/>
        <v>5</v>
      </c>
      <c r="L507" s="121">
        <f t="shared" si="31"/>
        <v>-13465360.65</v>
      </c>
      <c r="M507" s="52" t="s">
        <v>1525</v>
      </c>
      <c r="N507" s="1"/>
      <c r="O507" s="1">
        <f>_xlfn.XLOOKUP(B507,'BALANCETE 2022'!B:B,'BALANCETE 2022'!J:J,0)</f>
        <v>0</v>
      </c>
      <c r="P507" s="1"/>
    </row>
    <row r="508" spans="1:16" x14ac:dyDescent="0.3">
      <c r="A508" s="1" t="s">
        <v>1526</v>
      </c>
      <c r="B508" s="1" t="s">
        <v>1527</v>
      </c>
      <c r="C508" s="1">
        <f t="shared" si="28"/>
        <v>2</v>
      </c>
      <c r="D508" s="1" t="str">
        <f t="shared" si="29"/>
        <v>s</v>
      </c>
      <c r="E508" s="122" t="s">
        <v>1524</v>
      </c>
      <c r="F508" s="1" t="s">
        <v>416</v>
      </c>
      <c r="G508" s="123">
        <v>623612.31999999995</v>
      </c>
      <c r="H508" s="121">
        <v>0</v>
      </c>
      <c r="I508" s="121" t="s">
        <v>884</v>
      </c>
      <c r="J508" s="121" t="s">
        <v>884</v>
      </c>
      <c r="K508" s="121" t="str">
        <f t="shared" si="30"/>
        <v>C</v>
      </c>
      <c r="L508" s="121">
        <f t="shared" si="31"/>
        <v>0</v>
      </c>
      <c r="N508" s="1"/>
      <c r="O508" s="1">
        <f>_xlfn.XLOOKUP(B508,'BALANCETE 2022'!B:B,'BALANCETE 2022'!J:J,0)</f>
        <v>0</v>
      </c>
      <c r="P508" s="1"/>
    </row>
    <row r="509" spans="1:16" x14ac:dyDescent="0.3">
      <c r="A509" t="s">
        <v>1528</v>
      </c>
      <c r="B509" t="s">
        <v>1529</v>
      </c>
      <c r="C509">
        <f t="shared" si="28"/>
        <v>2</v>
      </c>
      <c r="D509" t="str">
        <f t="shared" si="29"/>
        <v>A</v>
      </c>
      <c r="E509" s="115" t="s">
        <v>1530</v>
      </c>
      <c r="F509" t="s">
        <v>416</v>
      </c>
      <c r="G509" s="16">
        <v>433919.68</v>
      </c>
      <c r="H509" s="50">
        <v>0</v>
      </c>
      <c r="I509" s="50" t="s">
        <v>884</v>
      </c>
      <c r="J509" s="50" t="s">
        <v>884</v>
      </c>
      <c r="K509" s="50" t="str">
        <f t="shared" si="30"/>
        <v>C</v>
      </c>
      <c r="L509" s="50">
        <f t="shared" si="31"/>
        <v>0</v>
      </c>
      <c r="M509" s="124"/>
      <c r="O509">
        <f>_xlfn.XLOOKUP(B509,'BALANCETE 2022'!B:B,'BALANCETE 2022'!J:J,0)</f>
        <v>0</v>
      </c>
    </row>
    <row r="510" spans="1:16" x14ac:dyDescent="0.3">
      <c r="A510" t="s">
        <v>1531</v>
      </c>
      <c r="B510" t="s">
        <v>1532</v>
      </c>
      <c r="C510">
        <f t="shared" si="28"/>
        <v>2</v>
      </c>
      <c r="D510" t="str">
        <f t="shared" si="29"/>
        <v>A</v>
      </c>
      <c r="E510" s="115" t="s">
        <v>1533</v>
      </c>
      <c r="F510" t="s">
        <v>416</v>
      </c>
      <c r="G510" s="16">
        <v>189692.64</v>
      </c>
      <c r="H510" s="50">
        <v>0</v>
      </c>
      <c r="I510" s="50" t="s">
        <v>884</v>
      </c>
      <c r="J510" s="50" t="s">
        <v>884</v>
      </c>
      <c r="K510" s="50" t="str">
        <f t="shared" si="30"/>
        <v>C</v>
      </c>
      <c r="L510" s="50">
        <f t="shared" si="31"/>
        <v>0</v>
      </c>
      <c r="M510" s="124"/>
      <c r="O510">
        <f>_xlfn.XLOOKUP(B510,'BALANCETE 2022'!B:B,'BALANCETE 2022'!J:J,0)</f>
        <v>0</v>
      </c>
    </row>
    <row r="511" spans="1:16" x14ac:dyDescent="0.3">
      <c r="A511" s="1" t="s">
        <v>1534</v>
      </c>
      <c r="B511" s="1" t="s">
        <v>1535</v>
      </c>
      <c r="C511" s="1">
        <f t="shared" si="28"/>
        <v>2</v>
      </c>
      <c r="D511" s="1" t="str">
        <f t="shared" si="29"/>
        <v>s</v>
      </c>
      <c r="E511" s="122" t="s">
        <v>1536</v>
      </c>
      <c r="F511" s="1" t="s">
        <v>416</v>
      </c>
      <c r="G511" s="123">
        <v>0</v>
      </c>
      <c r="H511" s="121">
        <v>13465360.65</v>
      </c>
      <c r="I511" s="121" t="s">
        <v>1537</v>
      </c>
      <c r="J511" s="121" t="s">
        <v>1537</v>
      </c>
      <c r="K511" s="121" t="str">
        <f t="shared" si="30"/>
        <v>C</v>
      </c>
      <c r="L511" s="121">
        <f t="shared" si="31"/>
        <v>13465360.65</v>
      </c>
      <c r="N511" s="1"/>
      <c r="O511" s="1">
        <f>_xlfn.XLOOKUP(B511,'BALANCETE 2022'!B:B,'BALANCETE 2022'!J:J,0)</f>
        <v>0</v>
      </c>
      <c r="P511" s="1"/>
    </row>
    <row r="512" spans="1:16" x14ac:dyDescent="0.3">
      <c r="A512" t="s">
        <v>1538</v>
      </c>
      <c r="B512" t="s">
        <v>1539</v>
      </c>
      <c r="C512">
        <f t="shared" si="28"/>
        <v>2</v>
      </c>
      <c r="D512" t="str">
        <f t="shared" si="29"/>
        <v>A</v>
      </c>
      <c r="E512" s="115" t="s">
        <v>884</v>
      </c>
      <c r="F512" t="s">
        <v>416</v>
      </c>
      <c r="G512" s="16">
        <v>0</v>
      </c>
      <c r="H512" s="50">
        <v>9901000.4800000004</v>
      </c>
      <c r="I512" s="50" t="s">
        <v>1540</v>
      </c>
      <c r="J512" s="50" t="s">
        <v>1540</v>
      </c>
      <c r="K512" s="50" t="str">
        <f t="shared" si="30"/>
        <v>C</v>
      </c>
      <c r="L512" s="50">
        <f t="shared" si="31"/>
        <v>9901000.4800000004</v>
      </c>
      <c r="M512" s="124"/>
      <c r="O512">
        <f>_xlfn.XLOOKUP(B512,'BALANCETE 2022'!B:B,'BALANCETE 2022'!J:J,0)</f>
        <v>0</v>
      </c>
    </row>
    <row r="513" spans="1:16" x14ac:dyDescent="0.3">
      <c r="A513" t="s">
        <v>1541</v>
      </c>
      <c r="B513" t="s">
        <v>1542</v>
      </c>
      <c r="C513">
        <f t="shared" si="28"/>
        <v>2</v>
      </c>
      <c r="D513" t="str">
        <f t="shared" si="29"/>
        <v>A</v>
      </c>
      <c r="E513" s="115" t="s">
        <v>884</v>
      </c>
      <c r="F513" t="s">
        <v>416</v>
      </c>
      <c r="G513" s="16">
        <v>0</v>
      </c>
      <c r="H513" s="50">
        <v>3564360.17</v>
      </c>
      <c r="I513" s="50" t="s">
        <v>1543</v>
      </c>
      <c r="J513" s="50" t="s">
        <v>1543</v>
      </c>
      <c r="K513" s="50" t="str">
        <f t="shared" si="30"/>
        <v>C</v>
      </c>
      <c r="L513" s="50">
        <f t="shared" si="31"/>
        <v>3564360.17</v>
      </c>
      <c r="M513" s="124"/>
      <c r="O513">
        <f>_xlfn.XLOOKUP(B513,'BALANCETE 2022'!B:B,'BALANCETE 2022'!J:J,0)</f>
        <v>0</v>
      </c>
    </row>
    <row r="514" spans="1:16" x14ac:dyDescent="0.3">
      <c r="A514" s="1" t="s">
        <v>1544</v>
      </c>
      <c r="B514" s="1" t="s">
        <v>1545</v>
      </c>
      <c r="C514" s="1">
        <f t="shared" si="28"/>
        <v>2</v>
      </c>
      <c r="D514" s="1" t="str">
        <f t="shared" si="29"/>
        <v>s</v>
      </c>
      <c r="E514" s="122" t="s">
        <v>1546</v>
      </c>
      <c r="F514" s="1" t="s">
        <v>416</v>
      </c>
      <c r="G514" s="123">
        <v>382041711.79000002</v>
      </c>
      <c r="H514" s="121">
        <v>386890034.01999998</v>
      </c>
      <c r="I514" s="121">
        <v>8145452.7800000003</v>
      </c>
      <c r="J514" s="121">
        <v>8145452.7800000003</v>
      </c>
      <c r="K514" s="121" t="str">
        <f t="shared" si="30"/>
        <v>8</v>
      </c>
      <c r="L514" s="121">
        <f t="shared" si="31"/>
        <v>-8145452.7800000003</v>
      </c>
      <c r="N514" s="1"/>
      <c r="O514" s="1">
        <f>_xlfn.XLOOKUP(B514,'BALANCETE 2022'!B:B,'BALANCETE 2022'!J:J,0)</f>
        <v>0</v>
      </c>
      <c r="P514" s="1"/>
    </row>
    <row r="515" spans="1:16" x14ac:dyDescent="0.3">
      <c r="A515" s="1" t="s">
        <v>1547</v>
      </c>
      <c r="B515" s="1" t="s">
        <v>1548</v>
      </c>
      <c r="C515" s="1">
        <f t="shared" si="28"/>
        <v>2</v>
      </c>
      <c r="D515" s="1" t="str">
        <f t="shared" si="29"/>
        <v>s</v>
      </c>
      <c r="E515" s="122" t="s">
        <v>1549</v>
      </c>
      <c r="F515" s="1" t="s">
        <v>416</v>
      </c>
      <c r="G515" s="123">
        <v>0</v>
      </c>
      <c r="H515" s="121">
        <v>0</v>
      </c>
      <c r="I515" s="121">
        <v>240000000</v>
      </c>
      <c r="J515" s="121">
        <v>240000000</v>
      </c>
      <c r="K515" s="121" t="str">
        <f t="shared" si="30"/>
        <v>0</v>
      </c>
      <c r="L515" s="121">
        <f t="shared" si="31"/>
        <v>-240000000</v>
      </c>
      <c r="M515" s="52">
        <v>20</v>
      </c>
      <c r="N515" s="1"/>
      <c r="O515" s="1">
        <f>_xlfn.XLOOKUP(B515,'BALANCETE 2022'!B:B,'BALANCETE 2022'!J:J,0)</f>
        <v>0</v>
      </c>
      <c r="P515" s="1"/>
    </row>
    <row r="516" spans="1:16" x14ac:dyDescent="0.3">
      <c r="A516" s="1" t="s">
        <v>1550</v>
      </c>
      <c r="B516" s="1" t="s">
        <v>1551</v>
      </c>
      <c r="C516" s="1">
        <f t="shared" si="28"/>
        <v>2</v>
      </c>
      <c r="D516" s="1" t="str">
        <f t="shared" si="29"/>
        <v>s</v>
      </c>
      <c r="E516" s="122" t="s">
        <v>1549</v>
      </c>
      <c r="F516" s="1" t="s">
        <v>416</v>
      </c>
      <c r="G516" s="123">
        <v>0</v>
      </c>
      <c r="H516" s="121">
        <v>0</v>
      </c>
      <c r="I516" s="121" t="s">
        <v>1552</v>
      </c>
      <c r="J516" s="121" t="s">
        <v>1552</v>
      </c>
      <c r="K516" s="121" t="str">
        <f t="shared" si="30"/>
        <v>C</v>
      </c>
      <c r="L516" s="121">
        <f t="shared" si="31"/>
        <v>240000000</v>
      </c>
      <c r="N516" s="1"/>
      <c r="O516" s="1">
        <f>_xlfn.XLOOKUP(B516,'BALANCETE 2022'!B:B,'BALANCETE 2022'!J:J,0)</f>
        <v>0</v>
      </c>
      <c r="P516" s="1"/>
    </row>
    <row r="517" spans="1:16" x14ac:dyDescent="0.3">
      <c r="A517" t="s">
        <v>1553</v>
      </c>
      <c r="B517" t="s">
        <v>1554</v>
      </c>
      <c r="C517">
        <f t="shared" si="28"/>
        <v>2</v>
      </c>
      <c r="D517" t="str">
        <f t="shared" si="29"/>
        <v>A</v>
      </c>
      <c r="E517" s="115" t="s">
        <v>1555</v>
      </c>
      <c r="F517" t="s">
        <v>416</v>
      </c>
      <c r="G517" s="16">
        <v>0</v>
      </c>
      <c r="H517" s="50">
        <v>0</v>
      </c>
      <c r="I517" s="50" t="s">
        <v>1555</v>
      </c>
      <c r="J517" s="50" t="s">
        <v>1555</v>
      </c>
      <c r="K517" s="50" t="str">
        <f t="shared" si="30"/>
        <v>C</v>
      </c>
      <c r="L517" s="50">
        <f t="shared" si="31"/>
        <v>5518</v>
      </c>
      <c r="M517" s="124"/>
      <c r="O517">
        <f>_xlfn.XLOOKUP(B517,'BALANCETE 2022'!B:B,'BALANCETE 2022'!J:J,0)</f>
        <v>0</v>
      </c>
    </row>
    <row r="518" spans="1:16" x14ac:dyDescent="0.3">
      <c r="A518" t="s">
        <v>1556</v>
      </c>
      <c r="B518" t="s">
        <v>1557</v>
      </c>
      <c r="C518">
        <f t="shared" si="28"/>
        <v>2</v>
      </c>
      <c r="D518" t="str">
        <f t="shared" si="29"/>
        <v>A</v>
      </c>
      <c r="E518" s="115" t="s">
        <v>1558</v>
      </c>
      <c r="F518" t="s">
        <v>416</v>
      </c>
      <c r="G518" s="16">
        <v>0</v>
      </c>
      <c r="H518" s="50">
        <v>0</v>
      </c>
      <c r="I518" s="50" t="s">
        <v>1558</v>
      </c>
      <c r="J518" s="50" t="s">
        <v>1558</v>
      </c>
      <c r="K518" s="50" t="str">
        <f t="shared" si="30"/>
        <v>C</v>
      </c>
      <c r="L518" s="50">
        <f t="shared" si="31"/>
        <v>73</v>
      </c>
      <c r="M518" s="124"/>
      <c r="O518">
        <f>_xlfn.XLOOKUP(B518,'BALANCETE 2022'!B:B,'BALANCETE 2022'!J:J,0)</f>
        <v>0</v>
      </c>
    </row>
    <row r="519" spans="1:16" x14ac:dyDescent="0.3">
      <c r="A519" t="s">
        <v>1559</v>
      </c>
      <c r="B519" t="s">
        <v>1560</v>
      </c>
      <c r="C519">
        <f t="shared" si="28"/>
        <v>2</v>
      </c>
      <c r="D519" t="str">
        <f t="shared" si="29"/>
        <v>A</v>
      </c>
      <c r="E519" s="115" t="s">
        <v>1561</v>
      </c>
      <c r="F519" t="s">
        <v>416</v>
      </c>
      <c r="G519" s="16">
        <v>0</v>
      </c>
      <c r="H519" s="50">
        <v>0</v>
      </c>
      <c r="I519" s="50" t="s">
        <v>1561</v>
      </c>
      <c r="J519" s="50" t="s">
        <v>1561</v>
      </c>
      <c r="K519" s="50" t="str">
        <f t="shared" si="30"/>
        <v>C</v>
      </c>
      <c r="L519" s="50">
        <f t="shared" si="31"/>
        <v>239994409</v>
      </c>
      <c r="M519" s="124"/>
      <c r="O519">
        <f>_xlfn.XLOOKUP(B519,'BALANCETE 2022'!B:B,'BALANCETE 2022'!J:J,0)</f>
        <v>0</v>
      </c>
    </row>
    <row r="520" spans="1:16" x14ac:dyDescent="0.3">
      <c r="A520" s="1" t="s">
        <v>1562</v>
      </c>
      <c r="B520" s="1" t="s">
        <v>1563</v>
      </c>
      <c r="C520" s="1">
        <f t="shared" si="28"/>
        <v>2</v>
      </c>
      <c r="D520" s="1" t="str">
        <f t="shared" si="29"/>
        <v>s</v>
      </c>
      <c r="E520" s="122" t="s">
        <v>1564</v>
      </c>
      <c r="F520" s="1" t="s">
        <v>416</v>
      </c>
      <c r="G520" s="123">
        <v>71084485.390000001</v>
      </c>
      <c r="H520" s="121">
        <v>72159160.569999993</v>
      </c>
      <c r="I520" s="121">
        <v>15177736.26</v>
      </c>
      <c r="J520" s="121">
        <v>15177736.26</v>
      </c>
      <c r="K520" s="121" t="str">
        <f t="shared" si="30"/>
        <v>6</v>
      </c>
      <c r="L520" s="121">
        <f t="shared" si="31"/>
        <v>-15177736.26</v>
      </c>
      <c r="M520" s="52">
        <v>21</v>
      </c>
      <c r="N520" s="1"/>
      <c r="O520" s="1">
        <f>_xlfn.XLOOKUP(B520,'BALANCETE 2022'!B:B,'BALANCETE 2022'!J:J,0)</f>
        <v>0</v>
      </c>
      <c r="P520" s="1"/>
    </row>
    <row r="521" spans="1:16" x14ac:dyDescent="0.3">
      <c r="A521" s="1" t="s">
        <v>1565</v>
      </c>
      <c r="B521" s="1" t="s">
        <v>1566</v>
      </c>
      <c r="C521" s="1">
        <f t="shared" si="28"/>
        <v>2</v>
      </c>
      <c r="D521" s="1" t="str">
        <f t="shared" si="29"/>
        <v>s</v>
      </c>
      <c r="E521" s="122" t="s">
        <v>1567</v>
      </c>
      <c r="F521" s="1" t="s">
        <v>416</v>
      </c>
      <c r="G521" s="123">
        <v>53324128.030000001</v>
      </c>
      <c r="H521" s="121">
        <v>39604001.859999999</v>
      </c>
      <c r="I521" s="121" t="s">
        <v>1568</v>
      </c>
      <c r="J521" s="121" t="s">
        <v>1568</v>
      </c>
      <c r="K521" s="121" t="str">
        <f t="shared" si="30"/>
        <v>C</v>
      </c>
      <c r="L521" s="121">
        <f t="shared" si="31"/>
        <v>15177736.26</v>
      </c>
      <c r="N521" s="1"/>
      <c r="O521" s="1">
        <f>_xlfn.XLOOKUP(B521,'BALANCETE 2022'!B:B,'BALANCETE 2022'!J:J,0)</f>
        <v>0</v>
      </c>
      <c r="P521" s="1"/>
    </row>
    <row r="522" spans="1:16" x14ac:dyDescent="0.3">
      <c r="A522" t="s">
        <v>1569</v>
      </c>
      <c r="B522" t="s">
        <v>1570</v>
      </c>
      <c r="C522">
        <f t="shared" ref="C522:C585" si="32">(LEFT(SUBSTITUTE(B522,"[",""),1))+0</f>
        <v>2</v>
      </c>
      <c r="D522" t="str">
        <f t="shared" ref="D522:D585" si="33">IF((LEN(B522)+0)&lt;15,"s","A")</f>
        <v>A</v>
      </c>
      <c r="E522" s="115" t="s">
        <v>1571</v>
      </c>
      <c r="F522" t="s">
        <v>416</v>
      </c>
      <c r="G522" s="16">
        <v>18300011.170000002</v>
      </c>
      <c r="H522" s="50">
        <v>0</v>
      </c>
      <c r="I522" s="50" t="s">
        <v>884</v>
      </c>
      <c r="J522" s="50" t="s">
        <v>884</v>
      </c>
      <c r="K522" s="50" t="str">
        <f t="shared" ref="K522:K585" si="34">RIGHT(J522)</f>
        <v>C</v>
      </c>
      <c r="L522" s="50">
        <f t="shared" ref="L522:L546" si="35">(SUBSTITUTE(SUBSTITUTE(J522,"D","",1),"C","",1)+0)*IF(K522=F522,1,-1)</f>
        <v>0</v>
      </c>
      <c r="M522" s="124"/>
      <c r="O522">
        <f>_xlfn.XLOOKUP(B522,'BALANCETE 2022'!B:B,'BALANCETE 2022'!J:J,0)</f>
        <v>0</v>
      </c>
    </row>
    <row r="523" spans="1:16" x14ac:dyDescent="0.3">
      <c r="A523" t="s">
        <v>1572</v>
      </c>
      <c r="B523" t="s">
        <v>1573</v>
      </c>
      <c r="C523">
        <f t="shared" si="32"/>
        <v>2</v>
      </c>
      <c r="D523" t="str">
        <f t="shared" si="33"/>
        <v>A</v>
      </c>
      <c r="E523" s="115" t="s">
        <v>1574</v>
      </c>
      <c r="F523" t="s">
        <v>416</v>
      </c>
      <c r="G523" s="16">
        <v>34905426.420000002</v>
      </c>
      <c r="H523" s="50">
        <v>39604001.859999999</v>
      </c>
      <c r="I523" s="50" t="s">
        <v>1568</v>
      </c>
      <c r="J523" s="50" t="s">
        <v>1568</v>
      </c>
      <c r="K523" s="50" t="str">
        <f t="shared" si="34"/>
        <v>C</v>
      </c>
      <c r="L523" s="50">
        <f t="shared" si="35"/>
        <v>15177736.26</v>
      </c>
      <c r="M523" s="124"/>
      <c r="O523">
        <f>_xlfn.XLOOKUP(B523,'BALANCETE 2022'!B:B,'BALANCETE 2022'!J:J,0)</f>
        <v>0</v>
      </c>
    </row>
    <row r="524" spans="1:16" x14ac:dyDescent="0.3">
      <c r="A524" t="s">
        <v>1575</v>
      </c>
      <c r="B524" t="s">
        <v>1576</v>
      </c>
      <c r="C524">
        <f t="shared" si="32"/>
        <v>2</v>
      </c>
      <c r="D524" t="str">
        <f t="shared" si="33"/>
        <v>A</v>
      </c>
      <c r="E524" s="115" t="s">
        <v>1577</v>
      </c>
      <c r="F524" t="s">
        <v>416</v>
      </c>
      <c r="G524" s="16">
        <v>118690.44</v>
      </c>
      <c r="H524" s="50">
        <v>0</v>
      </c>
      <c r="I524" s="50" t="s">
        <v>884</v>
      </c>
      <c r="J524" s="50" t="s">
        <v>884</v>
      </c>
      <c r="K524" s="50" t="str">
        <f t="shared" si="34"/>
        <v>C</v>
      </c>
      <c r="L524" s="50">
        <f t="shared" si="35"/>
        <v>0</v>
      </c>
      <c r="M524" s="124"/>
      <c r="O524">
        <f>_xlfn.XLOOKUP(B524,'BALANCETE 2022'!B:B,'BALANCETE 2022'!J:J,0)</f>
        <v>0</v>
      </c>
    </row>
    <row r="525" spans="1:16" x14ac:dyDescent="0.3">
      <c r="A525" s="1" t="s">
        <v>1578</v>
      </c>
      <c r="B525" s="1" t="s">
        <v>1579</v>
      </c>
      <c r="C525" s="1">
        <f t="shared" si="32"/>
        <v>2</v>
      </c>
      <c r="D525" s="1" t="str">
        <f t="shared" si="33"/>
        <v>s</v>
      </c>
      <c r="E525" s="122" t="s">
        <v>1580</v>
      </c>
      <c r="F525" s="1" t="s">
        <v>416</v>
      </c>
      <c r="G525" s="123">
        <v>17760357.359999999</v>
      </c>
      <c r="H525" s="121">
        <v>32555158.710000001</v>
      </c>
      <c r="I525" s="121" t="s">
        <v>884</v>
      </c>
      <c r="J525" s="121" t="s">
        <v>884</v>
      </c>
      <c r="K525" s="121" t="str">
        <f t="shared" si="34"/>
        <v>C</v>
      </c>
      <c r="L525" s="121">
        <f t="shared" si="35"/>
        <v>0</v>
      </c>
      <c r="N525" s="1"/>
      <c r="O525" s="1">
        <f>_xlfn.XLOOKUP(B525,'BALANCETE 2022'!B:B,'BALANCETE 2022'!J:J,0)</f>
        <v>0</v>
      </c>
      <c r="P525" s="1"/>
    </row>
    <row r="526" spans="1:16" x14ac:dyDescent="0.3">
      <c r="A526" t="s">
        <v>1581</v>
      </c>
      <c r="B526" t="s">
        <v>1582</v>
      </c>
      <c r="C526">
        <f t="shared" si="32"/>
        <v>2</v>
      </c>
      <c r="D526" t="str">
        <f t="shared" si="33"/>
        <v>A</v>
      </c>
      <c r="E526" s="115" t="s">
        <v>1583</v>
      </c>
      <c r="F526" t="s">
        <v>14</v>
      </c>
      <c r="G526" s="16">
        <v>0</v>
      </c>
      <c r="H526" s="50">
        <v>32525921.710000001</v>
      </c>
      <c r="I526" s="50" t="s">
        <v>25</v>
      </c>
      <c r="J526" s="50" t="s">
        <v>25</v>
      </c>
      <c r="K526" s="50" t="str">
        <f t="shared" si="34"/>
        <v>D</v>
      </c>
      <c r="L526" s="50">
        <f t="shared" si="35"/>
        <v>0</v>
      </c>
      <c r="M526" s="124"/>
      <c r="O526">
        <f>_xlfn.XLOOKUP(B526,'BALANCETE 2022'!B:B,'BALANCETE 2022'!J:J,0)</f>
        <v>0</v>
      </c>
    </row>
    <row r="527" spans="1:16" x14ac:dyDescent="0.3">
      <c r="A527" t="s">
        <v>1584</v>
      </c>
      <c r="B527" t="s">
        <v>1585</v>
      </c>
      <c r="C527">
        <f t="shared" si="32"/>
        <v>2</v>
      </c>
      <c r="D527" t="str">
        <f t="shared" si="33"/>
        <v>A</v>
      </c>
      <c r="E527" s="115" t="s">
        <v>1586</v>
      </c>
      <c r="F527" t="s">
        <v>416</v>
      </c>
      <c r="G527" s="16">
        <v>17760357.359999999</v>
      </c>
      <c r="H527" s="50">
        <v>29237</v>
      </c>
      <c r="I527" s="50" t="s">
        <v>884</v>
      </c>
      <c r="J527" s="50" t="s">
        <v>884</v>
      </c>
      <c r="K527" s="50" t="str">
        <f t="shared" si="34"/>
        <v>C</v>
      </c>
      <c r="L527" s="50">
        <f t="shared" si="35"/>
        <v>0</v>
      </c>
      <c r="M527" s="124"/>
      <c r="O527">
        <f>_xlfn.XLOOKUP(B527,'BALANCETE 2022'!B:B,'BALANCETE 2022'!J:J,0)</f>
        <v>0</v>
      </c>
    </row>
    <row r="528" spans="1:16" x14ac:dyDescent="0.3">
      <c r="A528" s="1" t="s">
        <v>1587</v>
      </c>
      <c r="B528" s="1" t="s">
        <v>1588</v>
      </c>
      <c r="C528" s="1">
        <f t="shared" si="32"/>
        <v>2</v>
      </c>
      <c r="D528" s="1" t="str">
        <f t="shared" si="33"/>
        <v>s</v>
      </c>
      <c r="E528" s="122" t="s">
        <v>1589</v>
      </c>
      <c r="F528" s="1" t="s">
        <v>14</v>
      </c>
      <c r="G528" s="123">
        <v>310951918.10000002</v>
      </c>
      <c r="H528" s="121">
        <v>312007037.87</v>
      </c>
      <c r="I528" s="121">
        <v>230516030.16</v>
      </c>
      <c r="J528" s="121">
        <v>230516030.16</v>
      </c>
      <c r="K528" s="121" t="str">
        <f t="shared" si="34"/>
        <v>6</v>
      </c>
      <c r="L528" s="121">
        <f t="shared" si="35"/>
        <v>-230516030.16</v>
      </c>
      <c r="M528" s="52">
        <v>22</v>
      </c>
      <c r="N528" s="1"/>
      <c r="O528" s="1">
        <f>_xlfn.XLOOKUP(B528,'BALANCETE 2022'!B:B,'BALANCETE 2022'!J:J,0)</f>
        <v>0</v>
      </c>
      <c r="P528" s="1"/>
    </row>
    <row r="529" spans="1:16" x14ac:dyDescent="0.3">
      <c r="A529" s="1" t="s">
        <v>1590</v>
      </c>
      <c r="B529" s="1" t="s">
        <v>1591</v>
      </c>
      <c r="C529" s="1">
        <f t="shared" si="32"/>
        <v>2</v>
      </c>
      <c r="D529" s="1" t="str">
        <f t="shared" si="33"/>
        <v>s</v>
      </c>
      <c r="E529" s="122" t="s">
        <v>1592</v>
      </c>
      <c r="F529" s="1" t="s">
        <v>14</v>
      </c>
      <c r="G529" s="123">
        <v>53757609.119999997</v>
      </c>
      <c r="H529" s="121">
        <v>3613326.88</v>
      </c>
      <c r="I529" s="121" t="s">
        <v>1593</v>
      </c>
      <c r="J529" s="121" t="s">
        <v>1593</v>
      </c>
      <c r="K529" s="121" t="str">
        <f t="shared" si="34"/>
        <v>D</v>
      </c>
      <c r="L529" s="121">
        <f t="shared" si="35"/>
        <v>10358651.029999999</v>
      </c>
      <c r="N529" s="1"/>
      <c r="O529" s="1">
        <f>_xlfn.XLOOKUP(B529,'BALANCETE 2022'!B:B,'BALANCETE 2022'!J:J,0)</f>
        <v>0</v>
      </c>
      <c r="P529" s="1"/>
    </row>
    <row r="530" spans="1:16" x14ac:dyDescent="0.3">
      <c r="A530" t="s">
        <v>1594</v>
      </c>
      <c r="B530" t="s">
        <v>1595</v>
      </c>
      <c r="C530">
        <f t="shared" si="32"/>
        <v>2</v>
      </c>
      <c r="D530" t="str">
        <f t="shared" si="33"/>
        <v>A</v>
      </c>
      <c r="E530" s="115" t="s">
        <v>1596</v>
      </c>
      <c r="F530" t="s">
        <v>416</v>
      </c>
      <c r="G530" s="16">
        <v>29542773.239999998</v>
      </c>
      <c r="H530" s="50">
        <v>0</v>
      </c>
      <c r="I530" s="50" t="s">
        <v>884</v>
      </c>
      <c r="J530" s="50" t="s">
        <v>884</v>
      </c>
      <c r="K530" s="50" t="str">
        <f t="shared" si="34"/>
        <v>C</v>
      </c>
      <c r="L530" s="50">
        <f t="shared" si="35"/>
        <v>0</v>
      </c>
      <c r="M530" s="124"/>
      <c r="O530">
        <f>_xlfn.XLOOKUP(B530,'BALANCETE 2022'!B:B,'BALANCETE 2022'!J:J,0)</f>
        <v>0</v>
      </c>
    </row>
    <row r="531" spans="1:16" x14ac:dyDescent="0.3">
      <c r="A531" t="s">
        <v>1597</v>
      </c>
      <c r="B531" t="s">
        <v>1598</v>
      </c>
      <c r="C531">
        <f t="shared" si="32"/>
        <v>2</v>
      </c>
      <c r="D531" t="str">
        <f t="shared" si="33"/>
        <v>A</v>
      </c>
      <c r="E531" s="115" t="s">
        <v>1599</v>
      </c>
      <c r="F531" t="s">
        <v>14</v>
      </c>
      <c r="G531" s="16">
        <v>24214835.879999999</v>
      </c>
      <c r="H531" s="50">
        <v>3613326.88</v>
      </c>
      <c r="I531" s="50" t="s">
        <v>1593</v>
      </c>
      <c r="J531" s="50" t="s">
        <v>1593</v>
      </c>
      <c r="K531" s="50" t="str">
        <f t="shared" si="34"/>
        <v>D</v>
      </c>
      <c r="L531" s="50">
        <f t="shared" si="35"/>
        <v>10358651.029999999</v>
      </c>
      <c r="M531" s="124"/>
      <c r="O531">
        <f>_xlfn.XLOOKUP(B531,'BALANCETE 2022'!B:B,'BALANCETE 2022'!J:J,0)</f>
        <v>0</v>
      </c>
    </row>
    <row r="532" spans="1:16" x14ac:dyDescent="0.3">
      <c r="A532" s="1" t="s">
        <v>1600</v>
      </c>
      <c r="B532" s="1" t="s">
        <v>1601</v>
      </c>
      <c r="C532" s="1">
        <f t="shared" si="32"/>
        <v>2</v>
      </c>
      <c r="D532" s="1" t="str">
        <f t="shared" si="33"/>
        <v>s</v>
      </c>
      <c r="E532" s="122" t="s">
        <v>1602</v>
      </c>
      <c r="F532" s="1" t="s">
        <v>14</v>
      </c>
      <c r="G532" s="123">
        <v>257194308.97999999</v>
      </c>
      <c r="H532" s="121">
        <v>308393710.99000001</v>
      </c>
      <c r="I532" s="121">
        <v>220157379.13</v>
      </c>
      <c r="J532" s="121">
        <v>220157379.13</v>
      </c>
      <c r="K532" s="121" t="str">
        <f t="shared" si="34"/>
        <v>3</v>
      </c>
      <c r="L532" s="121">
        <f t="shared" si="35"/>
        <v>-220157379.13</v>
      </c>
      <c r="N532" s="1"/>
      <c r="O532" s="1">
        <f>_xlfn.XLOOKUP(B532,'BALANCETE 2022'!B:B,'BALANCETE 2022'!J:J,0)</f>
        <v>0</v>
      </c>
      <c r="P532" s="1"/>
    </row>
    <row r="533" spans="1:16" x14ac:dyDescent="0.3">
      <c r="A533" t="s">
        <v>1603</v>
      </c>
      <c r="B533" t="s">
        <v>1604</v>
      </c>
      <c r="C533">
        <f t="shared" si="32"/>
        <v>2</v>
      </c>
      <c r="D533" t="str">
        <f t="shared" si="33"/>
        <v>A</v>
      </c>
      <c r="E533" s="115" t="s">
        <v>1605</v>
      </c>
      <c r="F533" t="s">
        <v>14</v>
      </c>
      <c r="G533" s="16">
        <v>257194308.97999999</v>
      </c>
      <c r="H533" s="50">
        <v>86449159.299999997</v>
      </c>
      <c r="I533" s="50" t="s">
        <v>1606</v>
      </c>
      <c r="J533" s="50" t="s">
        <v>1606</v>
      </c>
      <c r="K533" s="50" t="str">
        <f t="shared" si="34"/>
        <v>D</v>
      </c>
      <c r="L533" s="50">
        <f t="shared" si="35"/>
        <v>220157379.13</v>
      </c>
      <c r="M533" s="124"/>
      <c r="O533">
        <f>_xlfn.XLOOKUP(B533,'BALANCETE 2022'!B:B,'BALANCETE 2022'!J:J,0)</f>
        <v>0</v>
      </c>
    </row>
    <row r="534" spans="1:16" x14ac:dyDescent="0.3">
      <c r="A534" t="s">
        <v>1607</v>
      </c>
      <c r="B534" t="s">
        <v>1608</v>
      </c>
      <c r="C534">
        <f t="shared" si="32"/>
        <v>2</v>
      </c>
      <c r="D534" t="str">
        <f t="shared" si="33"/>
        <v>A</v>
      </c>
      <c r="E534" s="115" t="s">
        <v>1609</v>
      </c>
      <c r="F534" t="s">
        <v>416</v>
      </c>
      <c r="G534" s="16">
        <v>0</v>
      </c>
      <c r="H534" s="50">
        <v>221944551.69</v>
      </c>
      <c r="I534" s="50">
        <v>0</v>
      </c>
      <c r="J534" s="50">
        <v>0</v>
      </c>
      <c r="K534" s="50" t="str">
        <f t="shared" si="34"/>
        <v>0</v>
      </c>
      <c r="L534" s="50">
        <f t="shared" si="35"/>
        <v>0</v>
      </c>
      <c r="M534" s="124"/>
      <c r="O534">
        <f>_xlfn.XLOOKUP(B534,'BALANCETE 2022'!B:B,'BALANCETE 2022'!J:J,0)</f>
        <v>0</v>
      </c>
    </row>
    <row r="535" spans="1:16" x14ac:dyDescent="0.3">
      <c r="A535" s="1" t="s">
        <v>1610</v>
      </c>
      <c r="B535" s="1" t="s">
        <v>1611</v>
      </c>
      <c r="C535" s="1">
        <f t="shared" si="32"/>
        <v>2</v>
      </c>
      <c r="D535" s="1" t="str">
        <f t="shared" si="33"/>
        <v>s</v>
      </c>
      <c r="E535" s="122" t="s">
        <v>1612</v>
      </c>
      <c r="F535" s="1" t="s">
        <v>14</v>
      </c>
      <c r="G535" s="123">
        <v>0</v>
      </c>
      <c r="H535" s="121">
        <v>0</v>
      </c>
      <c r="I535" s="121">
        <v>16516253.32</v>
      </c>
      <c r="J535" s="121">
        <v>16516253.32</v>
      </c>
      <c r="K535" s="121" t="str">
        <f t="shared" si="34"/>
        <v>2</v>
      </c>
      <c r="L535" s="121">
        <f t="shared" si="35"/>
        <v>-16516253.32</v>
      </c>
      <c r="M535" s="52">
        <v>20</v>
      </c>
      <c r="N535" s="1"/>
      <c r="O535" s="1">
        <f>_xlfn.XLOOKUP(B535,'BALANCETE 2022'!B:B,'BALANCETE 2022'!J:J,0)</f>
        <v>0</v>
      </c>
      <c r="P535" s="1"/>
    </row>
    <row r="536" spans="1:16" x14ac:dyDescent="0.3">
      <c r="A536" s="1" t="s">
        <v>1613</v>
      </c>
      <c r="B536" s="1" t="s">
        <v>1614</v>
      </c>
      <c r="C536" s="1">
        <f t="shared" si="32"/>
        <v>2</v>
      </c>
      <c r="D536" s="1" t="str">
        <f t="shared" si="33"/>
        <v>s</v>
      </c>
      <c r="E536" s="122" t="s">
        <v>1612</v>
      </c>
      <c r="F536" s="1" t="s">
        <v>14</v>
      </c>
      <c r="G536" s="123">
        <v>0</v>
      </c>
      <c r="H536" s="121">
        <v>0</v>
      </c>
      <c r="I536" s="121" t="s">
        <v>1615</v>
      </c>
      <c r="J536" s="121" t="s">
        <v>1615</v>
      </c>
      <c r="K536" s="121" t="str">
        <f t="shared" si="34"/>
        <v>D</v>
      </c>
      <c r="L536" s="121">
        <f t="shared" si="35"/>
        <v>16516253.32</v>
      </c>
      <c r="N536" s="1"/>
      <c r="O536" s="1">
        <f>_xlfn.XLOOKUP(B536,'BALANCETE 2022'!B:B,'BALANCETE 2022'!J:J,0)</f>
        <v>0</v>
      </c>
      <c r="P536" s="1"/>
    </row>
    <row r="537" spans="1:16" x14ac:dyDescent="0.3">
      <c r="A537" t="s">
        <v>1616</v>
      </c>
      <c r="B537" t="s">
        <v>1617</v>
      </c>
      <c r="C537">
        <f t="shared" si="32"/>
        <v>2</v>
      </c>
      <c r="D537" t="str">
        <f t="shared" si="33"/>
        <v>A</v>
      </c>
      <c r="E537" s="115" t="s">
        <v>1615</v>
      </c>
      <c r="F537" t="s">
        <v>14</v>
      </c>
      <c r="G537" s="16">
        <v>0</v>
      </c>
      <c r="H537" s="50">
        <v>0</v>
      </c>
      <c r="I537" s="50" t="s">
        <v>1615</v>
      </c>
      <c r="J537" s="50" t="s">
        <v>1615</v>
      </c>
      <c r="K537" s="50" t="str">
        <f t="shared" si="34"/>
        <v>D</v>
      </c>
      <c r="L537" s="50">
        <f t="shared" si="35"/>
        <v>16516253.32</v>
      </c>
      <c r="M537" s="124"/>
      <c r="O537">
        <f>_xlfn.XLOOKUP(B537,'BALANCETE 2022'!B:B,'BALANCETE 2022'!J:J,0)</f>
        <v>0</v>
      </c>
    </row>
    <row r="538" spans="1:16" x14ac:dyDescent="0.3">
      <c r="A538" s="1" t="s">
        <v>1618</v>
      </c>
      <c r="B538" s="1" t="s">
        <v>1619</v>
      </c>
      <c r="C538" s="1">
        <f t="shared" si="32"/>
        <v>2</v>
      </c>
      <c r="D538" s="1" t="str">
        <f t="shared" si="33"/>
        <v>s</v>
      </c>
      <c r="E538" s="122" t="s">
        <v>1620</v>
      </c>
      <c r="F538" s="1" t="s">
        <v>416</v>
      </c>
      <c r="G538" s="123">
        <v>5308.3</v>
      </c>
      <c r="H538" s="121">
        <v>2723835.58</v>
      </c>
      <c r="I538" s="121" t="s">
        <v>884</v>
      </c>
      <c r="J538" s="121" t="s">
        <v>884</v>
      </c>
      <c r="K538" s="121" t="str">
        <f t="shared" si="34"/>
        <v>C</v>
      </c>
      <c r="L538" s="121">
        <f t="shared" si="35"/>
        <v>0</v>
      </c>
      <c r="N538" s="1"/>
      <c r="O538" s="1">
        <f>_xlfn.XLOOKUP(B538,'BALANCETE 2022'!B:B,'BALANCETE 2022'!J:J,0)</f>
        <v>0</v>
      </c>
      <c r="P538" s="1"/>
    </row>
    <row r="539" spans="1:16" x14ac:dyDescent="0.3">
      <c r="A539" s="1" t="s">
        <v>1621</v>
      </c>
      <c r="B539" s="1" t="s">
        <v>1622</v>
      </c>
      <c r="C539" s="1">
        <f t="shared" si="32"/>
        <v>2</v>
      </c>
      <c r="D539" s="1" t="str">
        <f t="shared" si="33"/>
        <v>s</v>
      </c>
      <c r="E539" s="122" t="s">
        <v>1623</v>
      </c>
      <c r="F539" s="1" t="s">
        <v>416</v>
      </c>
      <c r="G539" s="123">
        <v>5308.3</v>
      </c>
      <c r="H539" s="121">
        <v>0</v>
      </c>
      <c r="I539" s="121" t="s">
        <v>884</v>
      </c>
      <c r="J539" s="121" t="s">
        <v>884</v>
      </c>
      <c r="K539" s="121" t="str">
        <f t="shared" si="34"/>
        <v>C</v>
      </c>
      <c r="L539" s="121">
        <f t="shared" si="35"/>
        <v>0</v>
      </c>
      <c r="N539" s="1"/>
      <c r="O539" s="1">
        <f>_xlfn.XLOOKUP(B539,'BALANCETE 2022'!B:B,'BALANCETE 2022'!J:J,0)</f>
        <v>0</v>
      </c>
      <c r="P539" s="1"/>
    </row>
    <row r="540" spans="1:16" x14ac:dyDescent="0.3">
      <c r="A540" t="s">
        <v>1624</v>
      </c>
      <c r="B540" t="s">
        <v>1625</v>
      </c>
      <c r="C540">
        <f t="shared" si="32"/>
        <v>2</v>
      </c>
      <c r="D540" t="str">
        <f t="shared" si="33"/>
        <v>A</v>
      </c>
      <c r="E540" s="115" t="s">
        <v>1626</v>
      </c>
      <c r="F540" t="s">
        <v>416</v>
      </c>
      <c r="G540" s="16">
        <v>5308.3</v>
      </c>
      <c r="H540" s="50">
        <v>0</v>
      </c>
      <c r="I540" s="50" t="s">
        <v>884</v>
      </c>
      <c r="J540" s="50" t="s">
        <v>884</v>
      </c>
      <c r="K540" s="50" t="str">
        <f t="shared" si="34"/>
        <v>C</v>
      </c>
      <c r="L540" s="50">
        <f t="shared" si="35"/>
        <v>0</v>
      </c>
      <c r="M540" s="124"/>
      <c r="O540">
        <f>_xlfn.XLOOKUP(B540,'BALANCETE 2022'!B:B,'BALANCETE 2022'!J:J,0)</f>
        <v>0</v>
      </c>
    </row>
    <row r="541" spans="1:16" x14ac:dyDescent="0.3">
      <c r="A541" s="1" t="s">
        <v>1627</v>
      </c>
      <c r="B541" s="1" t="s">
        <v>1628</v>
      </c>
      <c r="C541" s="1">
        <f t="shared" si="32"/>
        <v>2</v>
      </c>
      <c r="D541" s="1" t="str">
        <f t="shared" si="33"/>
        <v>s</v>
      </c>
      <c r="E541" s="122" t="s">
        <v>1629</v>
      </c>
      <c r="F541" s="1" t="s">
        <v>416</v>
      </c>
      <c r="G541" s="123">
        <v>0</v>
      </c>
      <c r="H541" s="121">
        <v>2723835.58</v>
      </c>
      <c r="I541" s="121" t="s">
        <v>884</v>
      </c>
      <c r="J541" s="121" t="s">
        <v>884</v>
      </c>
      <c r="K541" s="121" t="str">
        <f t="shared" si="34"/>
        <v>C</v>
      </c>
      <c r="L541" s="121">
        <f t="shared" si="35"/>
        <v>0</v>
      </c>
      <c r="N541" s="1"/>
      <c r="O541" s="1">
        <f>_xlfn.XLOOKUP(B541,'BALANCETE 2022'!B:B,'BALANCETE 2022'!J:J,0)</f>
        <v>0</v>
      </c>
      <c r="P541" s="1"/>
    </row>
    <row r="542" spans="1:16" x14ac:dyDescent="0.3">
      <c r="A542" t="s">
        <v>1630</v>
      </c>
      <c r="B542" t="s">
        <v>1631</v>
      </c>
      <c r="C542">
        <f t="shared" si="32"/>
        <v>2</v>
      </c>
      <c r="D542" t="str">
        <f t="shared" si="33"/>
        <v>A</v>
      </c>
      <c r="E542" s="115" t="s">
        <v>1632</v>
      </c>
      <c r="F542" t="s">
        <v>14</v>
      </c>
      <c r="G542" s="16">
        <v>0</v>
      </c>
      <c r="H542" s="50">
        <v>2723835.58</v>
      </c>
      <c r="I542" s="50" t="s">
        <v>25</v>
      </c>
      <c r="J542" s="50" t="s">
        <v>25</v>
      </c>
      <c r="K542" s="50" t="str">
        <f t="shared" si="34"/>
        <v>D</v>
      </c>
      <c r="L542" s="50">
        <f t="shared" si="35"/>
        <v>0</v>
      </c>
      <c r="M542" s="124"/>
      <c r="O542">
        <f>_xlfn.XLOOKUP(B542,'BALANCETE 2022'!B:B,'BALANCETE 2022'!J:J,0)</f>
        <v>0</v>
      </c>
    </row>
    <row r="543" spans="1:16" x14ac:dyDescent="0.3">
      <c r="A543" s="51" t="s">
        <v>1633</v>
      </c>
      <c r="B543" s="51" t="s">
        <v>1634</v>
      </c>
      <c r="C543" s="51">
        <f t="shared" si="32"/>
        <v>3</v>
      </c>
      <c r="D543" s="1" t="str">
        <f t="shared" si="33"/>
        <v>s</v>
      </c>
      <c r="E543" s="118" t="s">
        <v>1536</v>
      </c>
      <c r="F543" s="51" t="s">
        <v>14</v>
      </c>
      <c r="G543" s="119">
        <v>59584763.539999999</v>
      </c>
      <c r="H543" s="120">
        <v>22585854.050000001</v>
      </c>
      <c r="I543" s="120">
        <v>36998909.490000002</v>
      </c>
      <c r="J543" s="120">
        <v>36998909.490000002</v>
      </c>
      <c r="K543" s="121" t="str">
        <f t="shared" si="34"/>
        <v>9</v>
      </c>
      <c r="L543" s="120">
        <f t="shared" si="35"/>
        <v>-36998909.490000002</v>
      </c>
      <c r="M543" s="52" t="s">
        <v>1635</v>
      </c>
      <c r="N543" s="1"/>
      <c r="O543" s="1">
        <f>_xlfn.XLOOKUP(B543,'BALANCETE 2022'!B:B,'BALANCETE 2022'!J:J,0)</f>
        <v>0</v>
      </c>
      <c r="P543" s="1"/>
    </row>
    <row r="544" spans="1:16" x14ac:dyDescent="0.3">
      <c r="A544" s="1" t="s">
        <v>1636</v>
      </c>
      <c r="B544" s="1" t="s">
        <v>1637</v>
      </c>
      <c r="C544" s="1">
        <f t="shared" si="32"/>
        <v>3</v>
      </c>
      <c r="D544" s="1" t="str">
        <f t="shared" si="33"/>
        <v>s</v>
      </c>
      <c r="E544" s="122">
        <v>0</v>
      </c>
      <c r="F544" s="1" t="s">
        <v>14</v>
      </c>
      <c r="G544" s="123">
        <v>36661978.560000002</v>
      </c>
      <c r="H544" s="121">
        <v>13072788.67</v>
      </c>
      <c r="I544" s="121">
        <v>23589189.890000001</v>
      </c>
      <c r="J544" s="121">
        <v>23589189.890000001</v>
      </c>
      <c r="K544" s="121" t="str">
        <f t="shared" si="34"/>
        <v>9</v>
      </c>
      <c r="L544" s="121">
        <f t="shared" si="35"/>
        <v>-23589189.890000001</v>
      </c>
      <c r="M544" s="52" t="s">
        <v>1635</v>
      </c>
      <c r="N544" s="1"/>
      <c r="O544" s="1">
        <f>_xlfn.XLOOKUP(B544,'BALANCETE 2022'!B:B,'BALANCETE 2022'!J:J,0)</f>
        <v>0</v>
      </c>
      <c r="P544" s="1"/>
    </row>
    <row r="545" spans="1:16" x14ac:dyDescent="0.3">
      <c r="A545" s="1" t="s">
        <v>1638</v>
      </c>
      <c r="B545" s="1" t="s">
        <v>1639</v>
      </c>
      <c r="C545" s="1">
        <f t="shared" si="32"/>
        <v>3</v>
      </c>
      <c r="D545" s="1" t="str">
        <f t="shared" si="33"/>
        <v>s</v>
      </c>
      <c r="E545" s="122" t="s">
        <v>1536</v>
      </c>
      <c r="F545" s="1" t="s">
        <v>14</v>
      </c>
      <c r="G545" s="123">
        <v>30803770.289999999</v>
      </c>
      <c r="H545" s="121">
        <v>10487143.279999999</v>
      </c>
      <c r="I545" s="121" t="s">
        <v>1640</v>
      </c>
      <c r="J545" s="121" t="s">
        <v>1640</v>
      </c>
      <c r="K545" s="121" t="str">
        <f t="shared" si="34"/>
        <v>D</v>
      </c>
      <c r="L545" s="121">
        <f t="shared" si="35"/>
        <v>20316627.010000002</v>
      </c>
      <c r="N545" s="1"/>
      <c r="O545" s="1">
        <f>_xlfn.XLOOKUP(B545,'BALANCETE 2022'!B:B,'BALANCETE 2022'!J:J,0)</f>
        <v>0</v>
      </c>
      <c r="P545" s="1"/>
    </row>
    <row r="546" spans="1:16" x14ac:dyDescent="0.3">
      <c r="A546" s="1" t="s">
        <v>1641</v>
      </c>
      <c r="B546" s="1" t="s">
        <v>1642</v>
      </c>
      <c r="C546" s="1">
        <f t="shared" si="32"/>
        <v>3</v>
      </c>
      <c r="D546" s="1" t="str">
        <f t="shared" si="33"/>
        <v>s</v>
      </c>
      <c r="E546" s="122" t="s">
        <v>1536</v>
      </c>
      <c r="F546" s="1" t="s">
        <v>14</v>
      </c>
      <c r="G546" s="123">
        <v>111175.98</v>
      </c>
      <c r="H546" s="121">
        <v>0</v>
      </c>
      <c r="I546" s="121" t="s">
        <v>1643</v>
      </c>
      <c r="J546" s="121" t="s">
        <v>1643</v>
      </c>
      <c r="K546" s="121" t="str">
        <f t="shared" si="34"/>
        <v>D</v>
      </c>
      <c r="L546" s="121">
        <f t="shared" si="35"/>
        <v>111175.98</v>
      </c>
      <c r="N546" s="1"/>
      <c r="O546" s="1">
        <f>_xlfn.XLOOKUP(B546,'BALANCETE 2022'!B:B,'BALANCETE 2022'!J:J,0)</f>
        <v>0</v>
      </c>
      <c r="P546" s="1"/>
    </row>
    <row r="547" spans="1:16" x14ac:dyDescent="0.3">
      <c r="A547" t="s">
        <v>1644</v>
      </c>
      <c r="B547" t="s">
        <v>1645</v>
      </c>
      <c r="C547">
        <f t="shared" si="32"/>
        <v>3</v>
      </c>
      <c r="D547" t="str">
        <f t="shared" si="33"/>
        <v>A</v>
      </c>
      <c r="E547" s="115" t="s">
        <v>884</v>
      </c>
      <c r="F547" t="s">
        <v>14</v>
      </c>
      <c r="G547" s="16">
        <v>111175.98</v>
      </c>
      <c r="H547" s="50">
        <v>0</v>
      </c>
      <c r="I547" s="50" t="s">
        <v>1643</v>
      </c>
      <c r="J547" s="50" t="s">
        <v>1643</v>
      </c>
      <c r="K547" s="50" t="str">
        <f t="shared" si="34"/>
        <v>D</v>
      </c>
      <c r="L547" s="50">
        <f>(SUBSTITUTE(SUBSTITUTE(J547,"D","",1),"C","",1)+0)</f>
        <v>111175.98</v>
      </c>
      <c r="M547" s="124"/>
      <c r="O547" s="67">
        <f>_xlfn.XLOOKUP(B547,'BALANCETE 2022'!B:B,'BALANCETE 2022'!J:J,0)</f>
        <v>22</v>
      </c>
      <c r="P547" t="str">
        <f>_xlfn.XLOOKUP(O547,DRE!B:B,DRE!A:A,0)</f>
        <v>Custos com fabricação de Produtos</v>
      </c>
    </row>
    <row r="548" spans="1:16" x14ac:dyDescent="0.3">
      <c r="A548" s="1" t="s">
        <v>1646</v>
      </c>
      <c r="B548" s="1" t="s">
        <v>1647</v>
      </c>
      <c r="C548" s="1">
        <f t="shared" si="32"/>
        <v>3</v>
      </c>
      <c r="D548" s="1" t="str">
        <f t="shared" si="33"/>
        <v>s</v>
      </c>
      <c r="E548" s="122" t="s">
        <v>1536</v>
      </c>
      <c r="F548" s="1" t="s">
        <v>14</v>
      </c>
      <c r="G548" s="123">
        <v>30692594.309999999</v>
      </c>
      <c r="H548" s="121">
        <v>10487143.279999999</v>
      </c>
      <c r="I548" s="121" t="s">
        <v>1648</v>
      </c>
      <c r="J548" s="121" t="s">
        <v>1648</v>
      </c>
      <c r="K548" s="121" t="str">
        <f t="shared" si="34"/>
        <v>D</v>
      </c>
      <c r="L548" s="121">
        <f>(SUBSTITUTE(SUBSTITUTE(J548,"D","",1),"C","",1)+0)*IF(K548=F548,1,-1)</f>
        <v>20205451.030000001</v>
      </c>
      <c r="N548" s="1"/>
      <c r="O548" s="1">
        <f>_xlfn.XLOOKUP(B548,'BALANCETE 2022'!B:B,'BALANCETE 2022'!J:J,0)</f>
        <v>0</v>
      </c>
      <c r="P548" s="1"/>
    </row>
    <row r="549" spans="1:16" x14ac:dyDescent="0.3">
      <c r="A549" t="s">
        <v>1649</v>
      </c>
      <c r="B549" t="s">
        <v>1650</v>
      </c>
      <c r="C549">
        <f t="shared" si="32"/>
        <v>3</v>
      </c>
      <c r="D549" t="str">
        <f t="shared" si="33"/>
        <v>A</v>
      </c>
      <c r="E549" s="115" t="s">
        <v>884</v>
      </c>
      <c r="F549" t="s">
        <v>14</v>
      </c>
      <c r="G549" s="16">
        <v>49282</v>
      </c>
      <c r="H549" s="50">
        <v>0</v>
      </c>
      <c r="I549" s="50" t="s">
        <v>1651</v>
      </c>
      <c r="J549" s="50" t="s">
        <v>1651</v>
      </c>
      <c r="K549" s="50" t="str">
        <f t="shared" si="34"/>
        <v>D</v>
      </c>
      <c r="L549" s="50">
        <f>(SUBSTITUTE(SUBSTITUTE(J549,"D","",1),"C","",1)+0)</f>
        <v>49282</v>
      </c>
      <c r="M549" s="124"/>
      <c r="O549" s="67">
        <f>_xlfn.XLOOKUP(B549,'BALANCETE 2022'!B:B,'BALANCETE 2022'!J:J,0)</f>
        <v>22</v>
      </c>
      <c r="P549" t="str">
        <f>_xlfn.XLOOKUP(O549,DRE!B:B,DRE!A:A,0)</f>
        <v>Custos com fabricação de Produtos</v>
      </c>
    </row>
    <row r="550" spans="1:16" x14ac:dyDescent="0.3">
      <c r="A550" t="s">
        <v>1652</v>
      </c>
      <c r="B550" t="s">
        <v>1653</v>
      </c>
      <c r="C550">
        <f t="shared" si="32"/>
        <v>3</v>
      </c>
      <c r="D550" t="str">
        <f t="shared" si="33"/>
        <v>A</v>
      </c>
      <c r="E550" s="115" t="s">
        <v>884</v>
      </c>
      <c r="F550" t="s">
        <v>14</v>
      </c>
      <c r="G550" s="16">
        <v>18000</v>
      </c>
      <c r="H550" s="50">
        <v>0</v>
      </c>
      <c r="I550" s="50" t="s">
        <v>180</v>
      </c>
      <c r="J550" s="50" t="s">
        <v>180</v>
      </c>
      <c r="K550" s="50" t="str">
        <f t="shared" si="34"/>
        <v>D</v>
      </c>
      <c r="L550" s="50">
        <f>(SUBSTITUTE(SUBSTITUTE(J550,"D","",1),"C","",1)+0)</f>
        <v>18000</v>
      </c>
      <c r="M550" s="124"/>
      <c r="O550" s="67">
        <f>_xlfn.XLOOKUP(B550,'BALANCETE 2022'!B:B,'BALANCETE 2022'!J:J,0)</f>
        <v>22</v>
      </c>
      <c r="P550" t="str">
        <f>_xlfn.XLOOKUP(O550,DRE!B:B,DRE!A:A,0)</f>
        <v>Custos com fabricação de Produtos</v>
      </c>
    </row>
    <row r="551" spans="1:16" x14ac:dyDescent="0.3">
      <c r="A551" t="s">
        <v>1654</v>
      </c>
      <c r="B551" t="s">
        <v>1655</v>
      </c>
      <c r="C551">
        <f t="shared" si="32"/>
        <v>3</v>
      </c>
      <c r="D551" t="str">
        <f t="shared" si="33"/>
        <v>A</v>
      </c>
      <c r="E551" s="115" t="s">
        <v>884</v>
      </c>
      <c r="F551" t="s">
        <v>14</v>
      </c>
      <c r="G551" s="16">
        <v>45979.63</v>
      </c>
      <c r="H551" s="50">
        <v>0</v>
      </c>
      <c r="I551" s="50">
        <v>45979.63</v>
      </c>
      <c r="J551" s="50">
        <v>45979.63</v>
      </c>
      <c r="K551" s="50" t="str">
        <f t="shared" si="34"/>
        <v>3</v>
      </c>
      <c r="L551" s="50">
        <f>(SUBSTITUTE(SUBSTITUTE(J551,"D","",1),"C","",1)+0)</f>
        <v>45979.63</v>
      </c>
      <c r="M551" s="124"/>
      <c r="O551" s="67">
        <f>_xlfn.XLOOKUP(B551,'BALANCETE 2022'!B:B,'BALANCETE 2022'!J:J,0)</f>
        <v>22</v>
      </c>
      <c r="P551" t="str">
        <f>_xlfn.XLOOKUP(O551,DRE!B:B,DRE!A:A,0)</f>
        <v>Custos com fabricação de Produtos</v>
      </c>
    </row>
    <row r="552" spans="1:16" x14ac:dyDescent="0.3">
      <c r="A552" t="s">
        <v>1656</v>
      </c>
      <c r="B552" t="s">
        <v>1657</v>
      </c>
      <c r="C552">
        <f t="shared" si="32"/>
        <v>3</v>
      </c>
      <c r="D552" t="str">
        <f t="shared" si="33"/>
        <v>A</v>
      </c>
      <c r="E552" s="115" t="s">
        <v>884</v>
      </c>
      <c r="F552" t="s">
        <v>14</v>
      </c>
      <c r="G552" s="16">
        <v>2566615.7999999998</v>
      </c>
      <c r="H552" s="50">
        <v>0</v>
      </c>
      <c r="I552" s="50" t="s">
        <v>1658</v>
      </c>
      <c r="J552" s="50" t="s">
        <v>1658</v>
      </c>
      <c r="K552" s="50" t="str">
        <f t="shared" si="34"/>
        <v>D</v>
      </c>
      <c r="L552" s="50">
        <f>(SUBSTITUTE(SUBSTITUTE(J552,"D","",1),"C","",1)+0)</f>
        <v>2566615.7999999998</v>
      </c>
      <c r="M552" s="124"/>
      <c r="O552" s="67">
        <f>_xlfn.XLOOKUP(B552,'BALANCETE 2022'!B:B,'BALANCETE 2022'!J:J,0)</f>
        <v>22</v>
      </c>
      <c r="P552" t="str">
        <f>_xlfn.XLOOKUP(O552,DRE!B:B,DRE!A:A,0)</f>
        <v>Custos com fabricação de Produtos</v>
      </c>
    </row>
    <row r="553" spans="1:16" x14ac:dyDescent="0.3">
      <c r="A553" t="s">
        <v>1659</v>
      </c>
      <c r="B553" t="s">
        <v>1660</v>
      </c>
      <c r="C553">
        <f t="shared" si="32"/>
        <v>3</v>
      </c>
      <c r="D553" t="str">
        <f t="shared" si="33"/>
        <v>A</v>
      </c>
      <c r="E553" s="115" t="s">
        <v>884</v>
      </c>
      <c r="F553" t="s">
        <v>14</v>
      </c>
      <c r="G553" s="16">
        <v>24660167.079999998</v>
      </c>
      <c r="H553" s="50">
        <v>0</v>
      </c>
      <c r="I553" s="50" t="s">
        <v>1661</v>
      </c>
      <c r="J553" s="50" t="s">
        <v>1661</v>
      </c>
      <c r="K553" s="50" t="str">
        <f t="shared" si="34"/>
        <v>D</v>
      </c>
      <c r="L553" s="50">
        <f>(SUBSTITUTE(SUBSTITUTE(J553,"D","",1),"C","",1)+0)</f>
        <v>24660167.079999998</v>
      </c>
      <c r="M553" s="124"/>
      <c r="O553" s="67">
        <v>22</v>
      </c>
      <c r="P553" t="str">
        <f>_xlfn.XLOOKUP(O553,DRE!B:B,DRE!A:A,0)</f>
        <v>Custos com fabricação de Produtos</v>
      </c>
    </row>
    <row r="554" spans="1:16" x14ac:dyDescent="0.3">
      <c r="A554" t="s">
        <v>1662</v>
      </c>
      <c r="B554" t="s">
        <v>1663</v>
      </c>
      <c r="C554">
        <f t="shared" si="32"/>
        <v>3</v>
      </c>
      <c r="D554" t="str">
        <f t="shared" si="33"/>
        <v>A</v>
      </c>
      <c r="E554" s="115" t="s">
        <v>884</v>
      </c>
      <c r="F554" t="s">
        <v>14</v>
      </c>
      <c r="G554" s="16">
        <v>3352257.81</v>
      </c>
      <c r="H554" s="50">
        <v>10486851.289999999</v>
      </c>
      <c r="I554" s="50" t="s">
        <v>1664</v>
      </c>
      <c r="J554" s="50" t="s">
        <v>1664</v>
      </c>
      <c r="K554" s="50" t="str">
        <f t="shared" si="34"/>
        <v>C</v>
      </c>
      <c r="L554" s="50">
        <f>-(SUBSTITUTE(SUBSTITUTE(J554,"D","",1),"C","",1)+0)</f>
        <v>-7134593.4800000004</v>
      </c>
      <c r="M554" s="124"/>
      <c r="O554" s="67">
        <f>_xlfn.XLOOKUP(B554,'BALANCETE 2022'!B:B,'BALANCETE 2022'!J:J,0)</f>
        <v>22</v>
      </c>
      <c r="P554" t="str">
        <f>_xlfn.XLOOKUP(O554,DRE!B:B,DRE!A:A,0)</f>
        <v>Custos com fabricação de Produtos</v>
      </c>
    </row>
    <row r="555" spans="1:16" x14ac:dyDescent="0.3">
      <c r="A555" t="s">
        <v>1665</v>
      </c>
      <c r="B555" t="s">
        <v>1666</v>
      </c>
      <c r="C555">
        <f t="shared" si="32"/>
        <v>3</v>
      </c>
      <c r="D555" t="str">
        <f t="shared" si="33"/>
        <v>A</v>
      </c>
      <c r="E555" s="115" t="s">
        <v>884</v>
      </c>
      <c r="F555" t="s">
        <v>416</v>
      </c>
      <c r="G555" s="16">
        <v>291.99</v>
      </c>
      <c r="H555" s="50">
        <v>291.99</v>
      </c>
      <c r="I555" s="50" t="s">
        <v>884</v>
      </c>
      <c r="J555" s="50" t="s">
        <v>884</v>
      </c>
      <c r="K555" s="50" t="str">
        <f t="shared" si="34"/>
        <v>C</v>
      </c>
      <c r="L555" s="50">
        <f>(SUBSTITUTE(SUBSTITUTE(J555,"D","",1),"C","",1)+0)</f>
        <v>0</v>
      </c>
      <c r="M555" s="124"/>
      <c r="O555" s="67">
        <f>_xlfn.XLOOKUP(B555,'BALANCETE 2022'!B:B,'BALANCETE 2022'!J:J,0)</f>
        <v>22</v>
      </c>
      <c r="P555" t="str">
        <f>_xlfn.XLOOKUP(O555,DRE!B:B,DRE!A:A,0)</f>
        <v>Custos com fabricação de Produtos</v>
      </c>
    </row>
    <row r="556" spans="1:16" x14ac:dyDescent="0.3">
      <c r="A556" s="1" t="s">
        <v>1667</v>
      </c>
      <c r="B556" s="1" t="s">
        <v>1668</v>
      </c>
      <c r="C556" s="1">
        <f t="shared" si="32"/>
        <v>3</v>
      </c>
      <c r="D556" s="1" t="str">
        <f t="shared" si="33"/>
        <v>s</v>
      </c>
      <c r="E556" s="122" t="s">
        <v>1536</v>
      </c>
      <c r="F556" s="1" t="s">
        <v>14</v>
      </c>
      <c r="G556" s="123">
        <v>5858208.2699999996</v>
      </c>
      <c r="H556" s="121">
        <v>2585645.39</v>
      </c>
      <c r="I556" s="121" t="s">
        <v>1669</v>
      </c>
      <c r="J556" s="121" t="s">
        <v>1669</v>
      </c>
      <c r="K556" s="121" t="str">
        <f t="shared" si="34"/>
        <v>D</v>
      </c>
      <c r="L556" s="121">
        <f>(SUBSTITUTE(SUBSTITUTE(J556,"D","",1),"C","",1)+0)*IF(K556=F556,1,-1)</f>
        <v>3272562.88</v>
      </c>
      <c r="N556" s="1"/>
      <c r="O556" s="1">
        <f>_xlfn.XLOOKUP(B556,'BALANCETE 2022'!B:B,'BALANCETE 2022'!J:J,0)</f>
        <v>0</v>
      </c>
      <c r="P556" s="1"/>
    </row>
    <row r="557" spans="1:16" x14ac:dyDescent="0.3">
      <c r="A557" s="1" t="s">
        <v>1670</v>
      </c>
      <c r="B557" s="1" t="s">
        <v>1671</v>
      </c>
      <c r="C557" s="1">
        <f t="shared" si="32"/>
        <v>3</v>
      </c>
      <c r="D557" s="1" t="str">
        <f t="shared" si="33"/>
        <v>s</v>
      </c>
      <c r="E557" s="122" t="s">
        <v>1536</v>
      </c>
      <c r="F557" s="1" t="s">
        <v>14</v>
      </c>
      <c r="G557" s="123">
        <v>0.01</v>
      </c>
      <c r="H557" s="121">
        <v>0</v>
      </c>
      <c r="I557" s="121" t="s">
        <v>1672</v>
      </c>
      <c r="J557" s="121" t="s">
        <v>1672</v>
      </c>
      <c r="K557" s="121" t="str">
        <f t="shared" si="34"/>
        <v>D</v>
      </c>
      <c r="L557" s="121">
        <f>(SUBSTITUTE(SUBSTITUTE(J557,"D","",1),"C","",1)+0)*IF(K557=F557,1,-1)</f>
        <v>0.01</v>
      </c>
      <c r="N557" s="1"/>
      <c r="O557" s="1">
        <f>_xlfn.XLOOKUP(B557,'BALANCETE 2022'!B:B,'BALANCETE 2022'!J:J,0)</f>
        <v>0</v>
      </c>
      <c r="P557" s="1"/>
    </row>
    <row r="558" spans="1:16" x14ac:dyDescent="0.3">
      <c r="A558" t="s">
        <v>1673</v>
      </c>
      <c r="B558" t="s">
        <v>1674</v>
      </c>
      <c r="C558">
        <f t="shared" si="32"/>
        <v>3</v>
      </c>
      <c r="D558" t="str">
        <f t="shared" si="33"/>
        <v>A</v>
      </c>
      <c r="E558" s="115" t="s">
        <v>884</v>
      </c>
      <c r="F558" t="s">
        <v>14</v>
      </c>
      <c r="G558" s="16">
        <v>0.01</v>
      </c>
      <c r="H558" s="50">
        <v>0</v>
      </c>
      <c r="I558" s="50" t="s">
        <v>1672</v>
      </c>
      <c r="J558" s="50" t="s">
        <v>1672</v>
      </c>
      <c r="K558" s="50" t="str">
        <f t="shared" si="34"/>
        <v>D</v>
      </c>
      <c r="L558" s="50">
        <f>(SUBSTITUTE(SUBSTITUTE(J558,"D","",1),"C","",1)+0)</f>
        <v>0.01</v>
      </c>
      <c r="M558" s="124"/>
      <c r="O558" s="67">
        <v>22</v>
      </c>
      <c r="P558" t="str">
        <f>_xlfn.XLOOKUP(O558,DRE!B:B,DRE!A:A,0)</f>
        <v>Custos com fabricação de Produtos</v>
      </c>
    </row>
    <row r="559" spans="1:16" x14ac:dyDescent="0.3">
      <c r="A559" s="1" t="s">
        <v>1675</v>
      </c>
      <c r="B559" s="1" t="s">
        <v>1676</v>
      </c>
      <c r="C559" s="1">
        <f t="shared" si="32"/>
        <v>3</v>
      </c>
      <c r="D559" s="1" t="str">
        <f t="shared" si="33"/>
        <v>s</v>
      </c>
      <c r="E559" s="122">
        <v>0</v>
      </c>
      <c r="F559" s="1" t="s">
        <v>14</v>
      </c>
      <c r="G559" s="123">
        <v>5858208.2599999998</v>
      </c>
      <c r="H559" s="121">
        <v>2585645.39</v>
      </c>
      <c r="I559" s="121" t="s">
        <v>1677</v>
      </c>
      <c r="J559" s="121" t="s">
        <v>1677</v>
      </c>
      <c r="K559" s="121" t="str">
        <f t="shared" si="34"/>
        <v>D</v>
      </c>
      <c r="L559" s="121">
        <f>(SUBSTITUTE(SUBSTITUTE(J559,"D","",1),"C","",1)+0)*IF(K559=F559,1,-1)</f>
        <v>3272562.87</v>
      </c>
      <c r="N559" s="1"/>
      <c r="O559" s="1">
        <f>_xlfn.XLOOKUP(B559,'BALANCETE 2022'!B:B,'BALANCETE 2022'!J:J,0)</f>
        <v>0</v>
      </c>
      <c r="P559" s="1"/>
    </row>
    <row r="560" spans="1:16" x14ac:dyDescent="0.3">
      <c r="A560" t="s">
        <v>1678</v>
      </c>
      <c r="B560" t="s">
        <v>1679</v>
      </c>
      <c r="C560">
        <f t="shared" si="32"/>
        <v>3</v>
      </c>
      <c r="D560" t="str">
        <f t="shared" si="33"/>
        <v>A</v>
      </c>
      <c r="E560" s="115">
        <v>0</v>
      </c>
      <c r="F560" t="s">
        <v>14</v>
      </c>
      <c r="G560" s="16">
        <v>3841.66</v>
      </c>
      <c r="H560" s="50">
        <v>254.23</v>
      </c>
      <c r="I560" s="50" t="s">
        <v>1680</v>
      </c>
      <c r="J560" s="50" t="s">
        <v>1680</v>
      </c>
      <c r="K560" s="50" t="str">
        <f t="shared" si="34"/>
        <v>D</v>
      </c>
      <c r="L560" s="50">
        <f>(SUBSTITUTE(SUBSTITUTE(J560,"D","",1),"C","",1)+0)</f>
        <v>3587.43</v>
      </c>
      <c r="M560" s="124"/>
      <c r="O560" s="67">
        <f>_xlfn.XLOOKUP(B560,'BALANCETE 2022'!B:B,'BALANCETE 2022'!J:J,0)</f>
        <v>22</v>
      </c>
      <c r="P560" t="str">
        <f>_xlfn.XLOOKUP(O560,DRE!B:B,DRE!A:A,0)</f>
        <v>Custos com fabricação de Produtos</v>
      </c>
    </row>
    <row r="561" spans="1:16" x14ac:dyDescent="0.3">
      <c r="A561" t="s">
        <v>1681</v>
      </c>
      <c r="B561" t="s">
        <v>1682</v>
      </c>
      <c r="C561">
        <f t="shared" si="32"/>
        <v>3</v>
      </c>
      <c r="D561" t="str">
        <f t="shared" si="33"/>
        <v>A</v>
      </c>
      <c r="E561" s="115">
        <v>0</v>
      </c>
      <c r="F561" t="s">
        <v>14</v>
      </c>
      <c r="G561" s="16">
        <v>5852346.4500000002</v>
      </c>
      <c r="H561" s="50">
        <v>2585275.44</v>
      </c>
      <c r="I561" s="50" t="s">
        <v>1683</v>
      </c>
      <c r="J561" s="50" t="s">
        <v>1683</v>
      </c>
      <c r="K561" s="50" t="str">
        <f t="shared" si="34"/>
        <v>D</v>
      </c>
      <c r="L561" s="50">
        <f>(SUBSTITUTE(SUBSTITUTE(J561,"D","",1),"C","",1)+0)</f>
        <v>3267071.01</v>
      </c>
      <c r="M561" s="124"/>
      <c r="O561" s="67">
        <f>_xlfn.XLOOKUP(B561,'BALANCETE 2022'!B:B,'BALANCETE 2022'!J:J,0)</f>
        <v>22</v>
      </c>
      <c r="P561" t="str">
        <f>_xlfn.XLOOKUP(O561,DRE!B:B,DRE!A:A,0)</f>
        <v>Custos com fabricação de Produtos</v>
      </c>
    </row>
    <row r="562" spans="1:16" x14ac:dyDescent="0.3">
      <c r="A562" t="s">
        <v>1684</v>
      </c>
      <c r="B562" t="s">
        <v>1685</v>
      </c>
      <c r="C562">
        <f t="shared" si="32"/>
        <v>3</v>
      </c>
      <c r="D562" t="str">
        <f t="shared" si="33"/>
        <v>A</v>
      </c>
      <c r="E562" s="115">
        <v>0</v>
      </c>
      <c r="F562" t="s">
        <v>14</v>
      </c>
      <c r="G562" s="16">
        <v>1974.5</v>
      </c>
      <c r="H562" s="50">
        <v>115.72</v>
      </c>
      <c r="I562" s="50" t="s">
        <v>1686</v>
      </c>
      <c r="J562" s="50" t="s">
        <v>1686</v>
      </c>
      <c r="K562" s="50" t="str">
        <f t="shared" si="34"/>
        <v>D</v>
      </c>
      <c r="L562" s="50">
        <f>(SUBSTITUTE(SUBSTITUTE(J562,"D","",1),"C","",1)+0)</f>
        <v>1858.78</v>
      </c>
      <c r="M562" s="124"/>
      <c r="O562" s="67">
        <f>_xlfn.XLOOKUP(B562,'BALANCETE 2022'!B:B,'BALANCETE 2022'!J:J,0)</f>
        <v>22</v>
      </c>
      <c r="P562" t="str">
        <f>_xlfn.XLOOKUP(O562,DRE!B:B,DRE!A:A,0)</f>
        <v>Custos com fabricação de Produtos</v>
      </c>
    </row>
    <row r="563" spans="1:16" x14ac:dyDescent="0.3">
      <c r="A563" t="s">
        <v>1687</v>
      </c>
      <c r="B563" t="s">
        <v>1688</v>
      </c>
      <c r="C563">
        <f t="shared" si="32"/>
        <v>3</v>
      </c>
      <c r="D563" t="str">
        <f t="shared" si="33"/>
        <v>A</v>
      </c>
      <c r="E563" s="115">
        <v>0</v>
      </c>
      <c r="F563" t="s">
        <v>14</v>
      </c>
      <c r="G563" s="16">
        <v>44.5</v>
      </c>
      <c r="H563" s="50">
        <v>0</v>
      </c>
      <c r="I563" s="50" t="s">
        <v>1689</v>
      </c>
      <c r="J563" s="50" t="s">
        <v>1689</v>
      </c>
      <c r="K563" s="50" t="str">
        <f t="shared" si="34"/>
        <v>D</v>
      </c>
      <c r="L563" s="50">
        <f>(SUBSTITUTE(SUBSTITUTE(J563,"D","",1),"C","",1)+0)</f>
        <v>44.5</v>
      </c>
      <c r="M563" s="124"/>
      <c r="O563" s="67">
        <f>_xlfn.XLOOKUP(B563,'BALANCETE 2022'!B:B,'BALANCETE 2022'!J:J,0)</f>
        <v>22</v>
      </c>
      <c r="P563" t="str">
        <f>_xlfn.XLOOKUP(O563,DRE!B:B,DRE!A:A,0)</f>
        <v>Custos com fabricação de Produtos</v>
      </c>
    </row>
    <row r="564" spans="1:16" x14ac:dyDescent="0.3">
      <c r="A564" t="s">
        <v>1690</v>
      </c>
      <c r="B564" t="s">
        <v>1691</v>
      </c>
      <c r="C564">
        <f t="shared" si="32"/>
        <v>3</v>
      </c>
      <c r="D564" t="str">
        <f t="shared" si="33"/>
        <v>A</v>
      </c>
      <c r="E564" s="115">
        <v>0</v>
      </c>
      <c r="F564" t="s">
        <v>14</v>
      </c>
      <c r="G564" s="16">
        <v>1.1499999999999999</v>
      </c>
      <c r="H564" s="50">
        <v>0</v>
      </c>
      <c r="I564" s="50" t="s">
        <v>1692</v>
      </c>
      <c r="J564" s="50" t="s">
        <v>1692</v>
      </c>
      <c r="K564" s="50" t="str">
        <f t="shared" si="34"/>
        <v>D</v>
      </c>
      <c r="L564" s="50">
        <f>(SUBSTITUTE(SUBSTITUTE(J564,"D","",1),"C","",1)+0)</f>
        <v>1.1499999999999999</v>
      </c>
      <c r="M564" s="124"/>
      <c r="O564" s="67">
        <f>_xlfn.XLOOKUP(B564,'BALANCETE 2022'!B:B,'BALANCETE 2022'!J:J,0)</f>
        <v>22</v>
      </c>
      <c r="P564" t="str">
        <f>_xlfn.XLOOKUP(O564,DRE!B:B,DRE!A:A,0)</f>
        <v>Custos com fabricação de Produtos</v>
      </c>
    </row>
    <row r="565" spans="1:16" x14ac:dyDescent="0.3">
      <c r="A565" s="1" t="s">
        <v>1693</v>
      </c>
      <c r="B565" s="1" t="s">
        <v>1694</v>
      </c>
      <c r="C565" s="1">
        <f t="shared" si="32"/>
        <v>3</v>
      </c>
      <c r="D565" s="1" t="str">
        <f t="shared" si="33"/>
        <v>s</v>
      </c>
      <c r="E565" s="122">
        <v>0</v>
      </c>
      <c r="F565" s="1" t="s">
        <v>14</v>
      </c>
      <c r="G565" s="123">
        <v>22922784.98</v>
      </c>
      <c r="H565" s="121">
        <v>9513065.3800000008</v>
      </c>
      <c r="I565" s="121" t="s">
        <v>1695</v>
      </c>
      <c r="J565" s="121" t="s">
        <v>1695</v>
      </c>
      <c r="K565" s="121" t="str">
        <f t="shared" si="34"/>
        <v>D</v>
      </c>
      <c r="L565" s="121">
        <f>(SUBSTITUTE(SUBSTITUTE(J565,"D","",1),"C","",1)+0)*IF(K565=F565,1,-1)</f>
        <v>13409719.6</v>
      </c>
      <c r="N565" s="1"/>
      <c r="O565" s="1">
        <f>_xlfn.XLOOKUP(B565,'BALANCETE 2022'!B:B,'BALANCETE 2022'!J:J,0)</f>
        <v>0</v>
      </c>
      <c r="P565" s="1"/>
    </row>
    <row r="566" spans="1:16" x14ac:dyDescent="0.3">
      <c r="A566" s="1" t="s">
        <v>1696</v>
      </c>
      <c r="B566" s="1" t="s">
        <v>1697</v>
      </c>
      <c r="C566" s="1">
        <f t="shared" si="32"/>
        <v>3</v>
      </c>
      <c r="D566" s="1" t="str">
        <f t="shared" si="33"/>
        <v>s</v>
      </c>
      <c r="E566" s="122" t="s">
        <v>1536</v>
      </c>
      <c r="F566" s="1" t="s">
        <v>14</v>
      </c>
      <c r="G566" s="123">
        <v>22922784.98</v>
      </c>
      <c r="H566" s="121">
        <v>9513065.3800000008</v>
      </c>
      <c r="I566" s="121" t="s">
        <v>1695</v>
      </c>
      <c r="J566" s="121" t="s">
        <v>1695</v>
      </c>
      <c r="K566" s="121" t="str">
        <f t="shared" si="34"/>
        <v>D</v>
      </c>
      <c r="L566" s="121">
        <f>(SUBSTITUTE(SUBSTITUTE(J566,"D","",1),"C","",1)+0)*IF(K566=F566,1,-1)</f>
        <v>13409719.6</v>
      </c>
      <c r="N566" s="1"/>
      <c r="O566" s="1">
        <f>_xlfn.XLOOKUP(B566,'BALANCETE 2022'!B:B,'BALANCETE 2022'!J:J,0)</f>
        <v>0</v>
      </c>
      <c r="P566" s="1"/>
    </row>
    <row r="567" spans="1:16" x14ac:dyDescent="0.3">
      <c r="A567" s="1" t="s">
        <v>1698</v>
      </c>
      <c r="B567" s="1" t="s">
        <v>1699</v>
      </c>
      <c r="C567" s="1">
        <f t="shared" si="32"/>
        <v>3</v>
      </c>
      <c r="D567" s="1" t="str">
        <f t="shared" si="33"/>
        <v>s</v>
      </c>
      <c r="E567" s="122" t="s">
        <v>1536</v>
      </c>
      <c r="F567" s="1" t="s">
        <v>14</v>
      </c>
      <c r="G567" s="123">
        <v>7272753.6900000004</v>
      </c>
      <c r="H567" s="121">
        <v>272176.2</v>
      </c>
      <c r="I567" s="121">
        <v>7000577.4900000002</v>
      </c>
      <c r="J567" s="121">
        <v>7000577.4900000002</v>
      </c>
      <c r="K567" s="121" t="str">
        <f t="shared" si="34"/>
        <v>9</v>
      </c>
      <c r="L567" s="121">
        <f>(SUBSTITUTE(SUBSTITUTE(J567,"D","",1),"C","",1)+0)*IF(K567=F567,1,-1)</f>
        <v>-7000577.4900000002</v>
      </c>
      <c r="M567" s="52" t="s">
        <v>1700</v>
      </c>
      <c r="N567" s="1"/>
      <c r="O567" s="1">
        <f>_xlfn.XLOOKUP(B567,'BALANCETE 2022'!B:B,'BALANCETE 2022'!J:J,0)</f>
        <v>0</v>
      </c>
      <c r="P567" s="1"/>
    </row>
    <row r="568" spans="1:16" x14ac:dyDescent="0.3">
      <c r="A568" t="s">
        <v>1701</v>
      </c>
      <c r="B568" t="s">
        <v>1702</v>
      </c>
      <c r="C568">
        <f t="shared" si="32"/>
        <v>3</v>
      </c>
      <c r="D568" t="str">
        <f t="shared" si="33"/>
        <v>A</v>
      </c>
      <c r="E568" s="115" t="s">
        <v>884</v>
      </c>
      <c r="F568" t="s">
        <v>14</v>
      </c>
      <c r="G568" s="16">
        <v>192628.14</v>
      </c>
      <c r="H568" s="50">
        <v>0</v>
      </c>
      <c r="I568" s="50" t="s">
        <v>1703</v>
      </c>
      <c r="J568" s="50" t="s">
        <v>1703</v>
      </c>
      <c r="K568" s="50" t="str">
        <f t="shared" si="34"/>
        <v>D</v>
      </c>
      <c r="L568" s="50">
        <f t="shared" ref="L568:L581" si="36">(SUBSTITUTE(SUBSTITUTE(J568,"D","",1),"C","",1)+0)</f>
        <v>192628.14</v>
      </c>
      <c r="M568" s="124"/>
      <c r="O568" s="67">
        <f>_xlfn.XLOOKUP(B568,'BALANCETE 2022'!B:B,'BALANCETE 2022'!J:J,0)</f>
        <v>23</v>
      </c>
      <c r="P568" t="str">
        <f>_xlfn.XLOOKUP(O568,DRE!B:B,DRE!A:A,0)</f>
        <v>DESPESAS OPERACIONAIS E ADMINISTRATIVAS</v>
      </c>
    </row>
    <row r="569" spans="1:16" x14ac:dyDescent="0.3">
      <c r="A569" t="s">
        <v>1704</v>
      </c>
      <c r="B569" t="s">
        <v>1705</v>
      </c>
      <c r="C569">
        <f t="shared" si="32"/>
        <v>3</v>
      </c>
      <c r="D569" t="str">
        <f t="shared" si="33"/>
        <v>A</v>
      </c>
      <c r="E569" s="115" t="s">
        <v>884</v>
      </c>
      <c r="F569" t="s">
        <v>14</v>
      </c>
      <c r="G569" s="16">
        <v>160385.45000000001</v>
      </c>
      <c r="H569" s="50">
        <v>0</v>
      </c>
      <c r="I569" s="50" t="s">
        <v>1706</v>
      </c>
      <c r="J569" s="50" t="s">
        <v>1706</v>
      </c>
      <c r="K569" s="50" t="str">
        <f t="shared" si="34"/>
        <v>D</v>
      </c>
      <c r="L569" s="50">
        <f t="shared" si="36"/>
        <v>160385.45000000001</v>
      </c>
      <c r="M569" s="124"/>
      <c r="O569" s="67">
        <f>_xlfn.XLOOKUP(B569,'BALANCETE 2022'!B:B,'BALANCETE 2022'!J:J,0)</f>
        <v>23</v>
      </c>
      <c r="P569" t="str">
        <f>_xlfn.XLOOKUP(O569,DRE!B:B,DRE!A:A,0)</f>
        <v>DESPESAS OPERACIONAIS E ADMINISTRATIVAS</v>
      </c>
    </row>
    <row r="570" spans="1:16" x14ac:dyDescent="0.3">
      <c r="A570" t="s">
        <v>1707</v>
      </c>
      <c r="B570" t="s">
        <v>1708</v>
      </c>
      <c r="C570">
        <f t="shared" si="32"/>
        <v>3</v>
      </c>
      <c r="D570" t="str">
        <f t="shared" si="33"/>
        <v>A</v>
      </c>
      <c r="E570" s="115" t="s">
        <v>884</v>
      </c>
      <c r="F570" t="s">
        <v>14</v>
      </c>
      <c r="G570" s="16">
        <v>3526</v>
      </c>
      <c r="H570" s="50">
        <v>0</v>
      </c>
      <c r="I570" s="50" t="s">
        <v>1709</v>
      </c>
      <c r="J570" s="50" t="s">
        <v>1709</v>
      </c>
      <c r="K570" s="50" t="str">
        <f t="shared" si="34"/>
        <v>D</v>
      </c>
      <c r="L570" s="50">
        <f t="shared" si="36"/>
        <v>3526</v>
      </c>
      <c r="M570" s="124"/>
      <c r="O570" s="67">
        <v>23</v>
      </c>
      <c r="P570" t="str">
        <f>_xlfn.XLOOKUP(O570,DRE!B:B,DRE!A:A,0)</f>
        <v>DESPESAS OPERACIONAIS E ADMINISTRATIVAS</v>
      </c>
    </row>
    <row r="571" spans="1:16" x14ac:dyDescent="0.3">
      <c r="A571" t="s">
        <v>1710</v>
      </c>
      <c r="B571" t="s">
        <v>1711</v>
      </c>
      <c r="C571">
        <f t="shared" si="32"/>
        <v>3</v>
      </c>
      <c r="D571" t="str">
        <f t="shared" si="33"/>
        <v>A</v>
      </c>
      <c r="E571" s="115" t="s">
        <v>884</v>
      </c>
      <c r="F571" t="s">
        <v>14</v>
      </c>
      <c r="G571" s="16">
        <v>48943.19</v>
      </c>
      <c r="H571" s="50">
        <v>0</v>
      </c>
      <c r="I571" s="50" t="s">
        <v>1712</v>
      </c>
      <c r="J571" s="50" t="s">
        <v>1712</v>
      </c>
      <c r="K571" s="50" t="str">
        <f t="shared" si="34"/>
        <v>D</v>
      </c>
      <c r="L571" s="50">
        <f t="shared" si="36"/>
        <v>48943.19</v>
      </c>
      <c r="M571" s="124"/>
      <c r="O571" s="67">
        <f>_xlfn.XLOOKUP(B571,'BALANCETE 2022'!B:B,'BALANCETE 2022'!J:J,0)</f>
        <v>23</v>
      </c>
      <c r="P571" t="str">
        <f>_xlfn.XLOOKUP(O571,DRE!B:B,DRE!A:A,0)</f>
        <v>DESPESAS OPERACIONAIS E ADMINISTRATIVAS</v>
      </c>
    </row>
    <row r="572" spans="1:16" x14ac:dyDescent="0.3">
      <c r="A572" t="s">
        <v>1713</v>
      </c>
      <c r="B572" t="s">
        <v>1714</v>
      </c>
      <c r="C572">
        <f t="shared" si="32"/>
        <v>3</v>
      </c>
      <c r="D572" t="str">
        <f t="shared" si="33"/>
        <v>A</v>
      </c>
      <c r="E572" s="115" t="s">
        <v>884</v>
      </c>
      <c r="F572" t="s">
        <v>14</v>
      </c>
      <c r="G572" s="16">
        <v>1443082.31</v>
      </c>
      <c r="H572" s="50">
        <v>7553.16</v>
      </c>
      <c r="I572" s="50" t="s">
        <v>1715</v>
      </c>
      <c r="J572" s="50" t="s">
        <v>1715</v>
      </c>
      <c r="K572" s="50" t="str">
        <f t="shared" si="34"/>
        <v>D</v>
      </c>
      <c r="L572" s="50">
        <f t="shared" si="36"/>
        <v>1435529.15</v>
      </c>
      <c r="M572" s="124"/>
      <c r="O572" s="67">
        <v>23</v>
      </c>
      <c r="P572" t="str">
        <f>_xlfn.XLOOKUP(O572,DRE!B:B,DRE!A:A,0)</f>
        <v>DESPESAS OPERACIONAIS E ADMINISTRATIVAS</v>
      </c>
    </row>
    <row r="573" spans="1:16" x14ac:dyDescent="0.3">
      <c r="A573" t="s">
        <v>1716</v>
      </c>
      <c r="B573" t="s">
        <v>1717</v>
      </c>
      <c r="C573">
        <f t="shared" si="32"/>
        <v>3</v>
      </c>
      <c r="D573" t="str">
        <f t="shared" si="33"/>
        <v>A</v>
      </c>
      <c r="E573" s="115" t="s">
        <v>884</v>
      </c>
      <c r="F573" t="s">
        <v>14</v>
      </c>
      <c r="G573" s="16">
        <v>1870984.97</v>
      </c>
      <c r="H573" s="50">
        <v>0</v>
      </c>
      <c r="I573" s="50" t="s">
        <v>1718</v>
      </c>
      <c r="J573" s="50" t="s">
        <v>1718</v>
      </c>
      <c r="K573" s="50" t="str">
        <f t="shared" si="34"/>
        <v>D</v>
      </c>
      <c r="L573" s="50">
        <f t="shared" si="36"/>
        <v>1870984.97</v>
      </c>
      <c r="M573" s="124"/>
      <c r="O573" s="67">
        <f>_xlfn.XLOOKUP(B573,'BALANCETE 2022'!B:B,'BALANCETE 2022'!J:J,0)</f>
        <v>23</v>
      </c>
      <c r="P573" t="str">
        <f>_xlfn.XLOOKUP(O573,DRE!B:B,DRE!A:A,0)</f>
        <v>DESPESAS OPERACIONAIS E ADMINISTRATIVAS</v>
      </c>
    </row>
    <row r="574" spans="1:16" x14ac:dyDescent="0.3">
      <c r="A574" t="s">
        <v>1719</v>
      </c>
      <c r="B574" t="s">
        <v>1720</v>
      </c>
      <c r="C574">
        <f t="shared" si="32"/>
        <v>3</v>
      </c>
      <c r="D574" t="str">
        <f t="shared" si="33"/>
        <v>A</v>
      </c>
      <c r="E574" s="115" t="s">
        <v>884</v>
      </c>
      <c r="F574" t="s">
        <v>14</v>
      </c>
      <c r="G574" s="16">
        <v>587022.82999999996</v>
      </c>
      <c r="H574" s="50">
        <v>7563.32</v>
      </c>
      <c r="I574" s="50" t="s">
        <v>1721</v>
      </c>
      <c r="J574" s="50" t="s">
        <v>1721</v>
      </c>
      <c r="K574" s="50" t="str">
        <f t="shared" si="34"/>
        <v>D</v>
      </c>
      <c r="L574" s="50">
        <f t="shared" si="36"/>
        <v>579459.51</v>
      </c>
      <c r="M574" s="124"/>
      <c r="O574" s="67">
        <f>_xlfn.XLOOKUP(B574,'BALANCETE 2022'!B:B,'BALANCETE 2022'!J:J,0)</f>
        <v>23</v>
      </c>
      <c r="P574" t="str">
        <f>_xlfn.XLOOKUP(O574,DRE!B:B,DRE!A:A,0)</f>
        <v>DESPESAS OPERACIONAIS E ADMINISTRATIVAS</v>
      </c>
    </row>
    <row r="575" spans="1:16" x14ac:dyDescent="0.3">
      <c r="A575" t="s">
        <v>1722</v>
      </c>
      <c r="B575" t="s">
        <v>1723</v>
      </c>
      <c r="C575">
        <f t="shared" si="32"/>
        <v>3</v>
      </c>
      <c r="D575" t="str">
        <f t="shared" si="33"/>
        <v>A</v>
      </c>
      <c r="E575" s="115" t="s">
        <v>884</v>
      </c>
      <c r="F575" t="s">
        <v>14</v>
      </c>
      <c r="G575" s="16">
        <v>40906.97</v>
      </c>
      <c r="H575" s="50">
        <v>0</v>
      </c>
      <c r="I575" s="50" t="s">
        <v>1724</v>
      </c>
      <c r="J575" s="50" t="s">
        <v>1724</v>
      </c>
      <c r="K575" s="50" t="str">
        <f t="shared" si="34"/>
        <v>D</v>
      </c>
      <c r="L575" s="50">
        <f t="shared" si="36"/>
        <v>40906.97</v>
      </c>
      <c r="M575" s="124"/>
      <c r="O575" s="67">
        <f>_xlfn.XLOOKUP(B575,'BALANCETE 2022'!B:B,'BALANCETE 2022'!J:J,0)</f>
        <v>23</v>
      </c>
      <c r="P575" t="str">
        <f>_xlfn.XLOOKUP(O575,DRE!B:B,DRE!A:A,0)</f>
        <v>DESPESAS OPERACIONAIS E ADMINISTRATIVAS</v>
      </c>
    </row>
    <row r="576" spans="1:16" x14ac:dyDescent="0.3">
      <c r="A576" t="s">
        <v>1725</v>
      </c>
      <c r="B576" t="s">
        <v>1726</v>
      </c>
      <c r="C576">
        <f t="shared" si="32"/>
        <v>3</v>
      </c>
      <c r="D576" t="str">
        <f t="shared" si="33"/>
        <v>A</v>
      </c>
      <c r="E576" s="115" t="s">
        <v>884</v>
      </c>
      <c r="F576" t="s">
        <v>14</v>
      </c>
      <c r="G576" s="16">
        <v>81887.199999999997</v>
      </c>
      <c r="H576" s="50">
        <v>0</v>
      </c>
      <c r="I576" s="50" t="s">
        <v>1727</v>
      </c>
      <c r="J576" s="50" t="s">
        <v>1727</v>
      </c>
      <c r="K576" s="50" t="str">
        <f t="shared" si="34"/>
        <v>D</v>
      </c>
      <c r="L576" s="50">
        <f t="shared" si="36"/>
        <v>81887.199999999997</v>
      </c>
      <c r="M576" s="124"/>
      <c r="O576" s="67">
        <f>_xlfn.XLOOKUP(B576,'BALANCETE 2022'!B:B,'BALANCETE 2022'!J:J,0)</f>
        <v>23</v>
      </c>
      <c r="P576" t="str">
        <f>_xlfn.XLOOKUP(O576,DRE!B:B,DRE!A:A,0)</f>
        <v>DESPESAS OPERACIONAIS E ADMINISTRATIVAS</v>
      </c>
    </row>
    <row r="577" spans="1:16" x14ac:dyDescent="0.3">
      <c r="A577" t="s">
        <v>1728</v>
      </c>
      <c r="B577" t="s">
        <v>1729</v>
      </c>
      <c r="C577">
        <f t="shared" si="32"/>
        <v>3</v>
      </c>
      <c r="D577" t="str">
        <f t="shared" si="33"/>
        <v>A</v>
      </c>
      <c r="E577" s="115" t="s">
        <v>884</v>
      </c>
      <c r="F577" t="s">
        <v>14</v>
      </c>
      <c r="G577" s="16">
        <v>1955878.28</v>
      </c>
      <c r="H577" s="50">
        <v>251344.79</v>
      </c>
      <c r="I577" s="50" t="s">
        <v>1730</v>
      </c>
      <c r="J577" s="50" t="s">
        <v>1730</v>
      </c>
      <c r="K577" s="50" t="str">
        <f t="shared" si="34"/>
        <v>D</v>
      </c>
      <c r="L577" s="50">
        <f t="shared" si="36"/>
        <v>1704533.49</v>
      </c>
      <c r="M577" s="124"/>
      <c r="O577" s="67">
        <f>_xlfn.XLOOKUP(B577,'BALANCETE 2022'!B:B,'BALANCETE 2022'!J:J,0)</f>
        <v>23</v>
      </c>
      <c r="P577" t="str">
        <f>_xlfn.XLOOKUP(O577,DRE!B:B,DRE!A:A,0)</f>
        <v>DESPESAS OPERACIONAIS E ADMINISTRATIVAS</v>
      </c>
    </row>
    <row r="578" spans="1:16" x14ac:dyDescent="0.3">
      <c r="A578" t="s">
        <v>1731</v>
      </c>
      <c r="B578" t="s">
        <v>1732</v>
      </c>
      <c r="C578">
        <f t="shared" si="32"/>
        <v>3</v>
      </c>
      <c r="D578" t="str">
        <f t="shared" si="33"/>
        <v>A</v>
      </c>
      <c r="E578" s="115" t="s">
        <v>884</v>
      </c>
      <c r="F578" t="s">
        <v>14</v>
      </c>
      <c r="G578" s="16">
        <v>9595.6</v>
      </c>
      <c r="H578" s="50">
        <v>1796.05</v>
      </c>
      <c r="I578" s="50" t="s">
        <v>1733</v>
      </c>
      <c r="J578" s="50" t="s">
        <v>1733</v>
      </c>
      <c r="K578" s="50" t="str">
        <f t="shared" si="34"/>
        <v>D</v>
      </c>
      <c r="L578" s="50">
        <f t="shared" si="36"/>
        <v>7799.55</v>
      </c>
      <c r="M578" s="124"/>
      <c r="O578" s="67">
        <f>_xlfn.XLOOKUP(B578,'BALANCETE 2022'!B:B,'BALANCETE 2022'!J:J,0)</f>
        <v>23</v>
      </c>
      <c r="P578" t="str">
        <f>_xlfn.XLOOKUP(O578,DRE!B:B,DRE!A:A,0)</f>
        <v>DESPESAS OPERACIONAIS E ADMINISTRATIVAS</v>
      </c>
    </row>
    <row r="579" spans="1:16" x14ac:dyDescent="0.3">
      <c r="A579" t="s">
        <v>1734</v>
      </c>
      <c r="B579" t="s">
        <v>1735</v>
      </c>
      <c r="C579">
        <f t="shared" si="32"/>
        <v>3</v>
      </c>
      <c r="D579" t="str">
        <f t="shared" si="33"/>
        <v>A</v>
      </c>
      <c r="E579" s="115" t="s">
        <v>884</v>
      </c>
      <c r="F579" t="s">
        <v>14</v>
      </c>
      <c r="G579" s="16">
        <v>317205.09000000003</v>
      </c>
      <c r="H579" s="50">
        <v>0</v>
      </c>
      <c r="I579" s="50" t="s">
        <v>1736</v>
      </c>
      <c r="J579" s="50" t="s">
        <v>1736</v>
      </c>
      <c r="K579" s="50" t="str">
        <f t="shared" si="34"/>
        <v>D</v>
      </c>
      <c r="L579" s="50">
        <f t="shared" si="36"/>
        <v>317205.09000000003</v>
      </c>
      <c r="M579" s="124"/>
      <c r="O579" s="67">
        <f>_xlfn.XLOOKUP(B579,'BALANCETE 2022'!B:B,'BALANCETE 2022'!J:J,0)</f>
        <v>23</v>
      </c>
      <c r="P579" t="str">
        <f>_xlfn.XLOOKUP(O579,DRE!B:B,DRE!A:A,0)</f>
        <v>DESPESAS OPERACIONAIS E ADMINISTRATIVAS</v>
      </c>
    </row>
    <row r="580" spans="1:16" x14ac:dyDescent="0.3">
      <c r="A580" t="s">
        <v>1737</v>
      </c>
      <c r="B580" t="s">
        <v>1738</v>
      </c>
      <c r="C580">
        <f t="shared" si="32"/>
        <v>3</v>
      </c>
      <c r="D580" t="str">
        <f t="shared" si="33"/>
        <v>A</v>
      </c>
      <c r="E580" s="115" t="s">
        <v>884</v>
      </c>
      <c r="F580" t="s">
        <v>14</v>
      </c>
      <c r="G580" s="16">
        <v>120672.37</v>
      </c>
      <c r="H580" s="50">
        <v>3918.88</v>
      </c>
      <c r="I580" s="50" t="s">
        <v>1739</v>
      </c>
      <c r="J580" s="50" t="s">
        <v>1739</v>
      </c>
      <c r="K580" s="50" t="str">
        <f t="shared" si="34"/>
        <v>D</v>
      </c>
      <c r="L580" s="50">
        <f t="shared" si="36"/>
        <v>116753.49</v>
      </c>
      <c r="M580" s="124"/>
      <c r="O580" s="67">
        <f>_xlfn.XLOOKUP(B580,'BALANCETE 2022'!B:B,'BALANCETE 2022'!J:J,0)</f>
        <v>23</v>
      </c>
      <c r="P580" t="str">
        <f>_xlfn.XLOOKUP(O580,DRE!B:B,DRE!A:A,0)</f>
        <v>DESPESAS OPERACIONAIS E ADMINISTRATIVAS</v>
      </c>
    </row>
    <row r="581" spans="1:16" x14ac:dyDescent="0.3">
      <c r="A581" t="s">
        <v>1740</v>
      </c>
      <c r="B581" t="s">
        <v>1741</v>
      </c>
      <c r="C581">
        <f t="shared" si="32"/>
        <v>3</v>
      </c>
      <c r="D581" t="str">
        <f t="shared" si="33"/>
        <v>A</v>
      </c>
      <c r="E581" s="115" t="s">
        <v>884</v>
      </c>
      <c r="F581" t="s">
        <v>14</v>
      </c>
      <c r="G581" s="16">
        <v>440035.29</v>
      </c>
      <c r="H581" s="50">
        <v>0</v>
      </c>
      <c r="I581" s="50" t="s">
        <v>1742</v>
      </c>
      <c r="J581" s="50" t="s">
        <v>1742</v>
      </c>
      <c r="K581" s="50" t="str">
        <f t="shared" si="34"/>
        <v>D</v>
      </c>
      <c r="L581" s="50">
        <f t="shared" si="36"/>
        <v>440035.29</v>
      </c>
      <c r="M581" s="124"/>
      <c r="O581" s="67">
        <f>_xlfn.XLOOKUP(B581,'BALANCETE 2022'!B:B,'BALANCETE 2022'!J:J,0)</f>
        <v>23</v>
      </c>
      <c r="P581" t="str">
        <f>_xlfn.XLOOKUP(O581,DRE!B:B,DRE!A:A,0)</f>
        <v>DESPESAS OPERACIONAIS E ADMINISTRATIVAS</v>
      </c>
    </row>
    <row r="582" spans="1:16" x14ac:dyDescent="0.3">
      <c r="A582" s="1" t="s">
        <v>1743</v>
      </c>
      <c r="B582" s="1" t="s">
        <v>1744</v>
      </c>
      <c r="C582" s="1">
        <f t="shared" si="32"/>
        <v>3</v>
      </c>
      <c r="D582" s="1" t="str">
        <f t="shared" si="33"/>
        <v>s</v>
      </c>
      <c r="E582" s="122" t="s">
        <v>1536</v>
      </c>
      <c r="F582" s="1" t="s">
        <v>14</v>
      </c>
      <c r="G582" s="123">
        <v>1636468.12</v>
      </c>
      <c r="H582" s="121">
        <v>2132.41</v>
      </c>
      <c r="I582" s="121">
        <v>1634335.71</v>
      </c>
      <c r="J582" s="121">
        <v>1634335.71</v>
      </c>
      <c r="K582" s="121" t="str">
        <f t="shared" si="34"/>
        <v>1</v>
      </c>
      <c r="L582" s="121">
        <f>(SUBSTITUTE(SUBSTITUTE(J582,"D","",1),"C","",1)+0)*IF(K582=F582,1,-1)</f>
        <v>-1634335.71</v>
      </c>
      <c r="M582" s="52" t="s">
        <v>1700</v>
      </c>
      <c r="N582" s="1"/>
      <c r="O582" s="1">
        <f>_xlfn.XLOOKUP(B582,'BALANCETE 2022'!B:B,'BALANCETE 2022'!J:J,0)</f>
        <v>0</v>
      </c>
      <c r="P582" s="1"/>
    </row>
    <row r="583" spans="1:16" x14ac:dyDescent="0.3">
      <c r="A583" t="s">
        <v>1745</v>
      </c>
      <c r="B583" t="s">
        <v>1746</v>
      </c>
      <c r="C583">
        <f t="shared" si="32"/>
        <v>3</v>
      </c>
      <c r="D583" t="str">
        <f t="shared" si="33"/>
        <v>A</v>
      </c>
      <c r="E583" s="115">
        <v>0</v>
      </c>
      <c r="F583" t="s">
        <v>14</v>
      </c>
      <c r="G583" s="16">
        <v>339716.48</v>
      </c>
      <c r="H583" s="50">
        <v>0</v>
      </c>
      <c r="I583" s="50" t="s">
        <v>1747</v>
      </c>
      <c r="J583" s="50" t="s">
        <v>1747</v>
      </c>
      <c r="K583" s="50" t="str">
        <f t="shared" si="34"/>
        <v>D</v>
      </c>
      <c r="L583" s="50">
        <f>(SUBSTITUTE(SUBSTITUTE(J583,"D","",1),"C","",1)+0)</f>
        <v>339716.48</v>
      </c>
      <c r="M583" s="124"/>
      <c r="O583" s="67">
        <f>_xlfn.XLOOKUP(B583,'BALANCETE 2022'!B:B,'BALANCETE 2022'!J:J,0)</f>
        <v>23</v>
      </c>
      <c r="P583" t="str">
        <f>_xlfn.XLOOKUP(O583,DRE!B:B,DRE!A:A,0)</f>
        <v>DESPESAS OPERACIONAIS E ADMINISTRATIVAS</v>
      </c>
    </row>
    <row r="584" spans="1:16" x14ac:dyDescent="0.3">
      <c r="A584" t="s">
        <v>1748</v>
      </c>
      <c r="B584" t="s">
        <v>1749</v>
      </c>
      <c r="C584">
        <f t="shared" si="32"/>
        <v>3</v>
      </c>
      <c r="D584" t="str">
        <f t="shared" si="33"/>
        <v>A</v>
      </c>
      <c r="E584" s="115">
        <v>0</v>
      </c>
      <c r="F584" t="s">
        <v>14</v>
      </c>
      <c r="G584" s="16">
        <v>1205226.22</v>
      </c>
      <c r="H584" s="50">
        <v>2132.41</v>
      </c>
      <c r="I584" s="50" t="s">
        <v>1750</v>
      </c>
      <c r="J584" s="50" t="s">
        <v>1750</v>
      </c>
      <c r="K584" s="50" t="str">
        <f t="shared" si="34"/>
        <v>D</v>
      </c>
      <c r="L584" s="50">
        <f>(SUBSTITUTE(SUBSTITUTE(J584,"D","",1),"C","",1)+0)</f>
        <v>1203093.81</v>
      </c>
      <c r="M584" s="124"/>
      <c r="O584" s="67">
        <f>_xlfn.XLOOKUP(B584,'BALANCETE 2022'!B:B,'BALANCETE 2022'!J:J,0)</f>
        <v>23</v>
      </c>
      <c r="P584" t="str">
        <f>_xlfn.XLOOKUP(O584,DRE!B:B,DRE!A:A,0)</f>
        <v>DESPESAS OPERACIONAIS E ADMINISTRATIVAS</v>
      </c>
    </row>
    <row r="585" spans="1:16" x14ac:dyDescent="0.3">
      <c r="A585" t="s">
        <v>1751</v>
      </c>
      <c r="B585" t="s">
        <v>1752</v>
      </c>
      <c r="C585">
        <f t="shared" si="32"/>
        <v>3</v>
      </c>
      <c r="D585" t="str">
        <f t="shared" si="33"/>
        <v>A</v>
      </c>
      <c r="E585" s="115">
        <v>0</v>
      </c>
      <c r="F585" t="s">
        <v>14</v>
      </c>
      <c r="G585" s="16">
        <v>65757.789999999994</v>
      </c>
      <c r="H585" s="50">
        <v>0</v>
      </c>
      <c r="I585" s="50" t="s">
        <v>1753</v>
      </c>
      <c r="J585" s="50" t="s">
        <v>1753</v>
      </c>
      <c r="K585" s="50" t="str">
        <f t="shared" si="34"/>
        <v>D</v>
      </c>
      <c r="L585" s="50">
        <f>(SUBSTITUTE(SUBSTITUTE(J585,"D","",1),"C","",1)+0)</f>
        <v>65757.789999999994</v>
      </c>
      <c r="M585" s="124"/>
      <c r="O585" s="67">
        <f>_xlfn.XLOOKUP(B585,'BALANCETE 2022'!B:B,'BALANCETE 2022'!J:J,0)</f>
        <v>23</v>
      </c>
      <c r="P585" t="str">
        <f>_xlfn.XLOOKUP(O585,DRE!B:B,DRE!A:A,0)</f>
        <v>DESPESAS OPERACIONAIS E ADMINISTRATIVAS</v>
      </c>
    </row>
    <row r="586" spans="1:16" x14ac:dyDescent="0.3">
      <c r="A586" t="s">
        <v>1754</v>
      </c>
      <c r="B586" t="s">
        <v>1755</v>
      </c>
      <c r="C586">
        <f t="shared" ref="C586:C649" si="37">(LEFT(SUBSTITUTE(B586,"[",""),1))+0</f>
        <v>3</v>
      </c>
      <c r="D586" t="str">
        <f t="shared" ref="D586:D649" si="38">IF((LEN(B586)+0)&lt;15,"s","A")</f>
        <v>A</v>
      </c>
      <c r="E586" s="115">
        <v>0</v>
      </c>
      <c r="F586" t="s">
        <v>14</v>
      </c>
      <c r="G586" s="16">
        <v>25767.63</v>
      </c>
      <c r="H586" s="50">
        <v>0</v>
      </c>
      <c r="I586" s="50" t="s">
        <v>1756</v>
      </c>
      <c r="J586" s="50" t="s">
        <v>1756</v>
      </c>
      <c r="K586" s="50" t="str">
        <f t="shared" ref="K586:K649" si="39">RIGHT(J586)</f>
        <v>D</v>
      </c>
      <c r="L586" s="50">
        <f>(SUBSTITUTE(SUBSTITUTE(J586,"D","",1),"C","",1)+0)</f>
        <v>25767.63</v>
      </c>
      <c r="M586" s="124"/>
      <c r="O586" s="67">
        <f>_xlfn.XLOOKUP(B586,'BALANCETE 2022'!B:B,'BALANCETE 2022'!J:J,0)</f>
        <v>23</v>
      </c>
      <c r="P586" t="str">
        <f>_xlfn.XLOOKUP(O586,DRE!B:B,DRE!A:A,0)</f>
        <v>DESPESAS OPERACIONAIS E ADMINISTRATIVAS</v>
      </c>
    </row>
    <row r="587" spans="1:16" x14ac:dyDescent="0.3">
      <c r="A587" s="1" t="s">
        <v>1757</v>
      </c>
      <c r="B587" s="1" t="s">
        <v>1758</v>
      </c>
      <c r="C587" s="1">
        <f t="shared" si="37"/>
        <v>3</v>
      </c>
      <c r="D587" s="1" t="str">
        <f t="shared" si="38"/>
        <v>s</v>
      </c>
      <c r="E587" s="122" t="s">
        <v>410</v>
      </c>
      <c r="F587" s="1" t="s">
        <v>14</v>
      </c>
      <c r="G587" s="123">
        <v>9803268.9800000004</v>
      </c>
      <c r="H587" s="121">
        <v>9175977.5</v>
      </c>
      <c r="I587" s="121">
        <v>627291.48</v>
      </c>
      <c r="J587" s="121">
        <v>627291.48</v>
      </c>
      <c r="K587" s="121" t="str">
        <f t="shared" si="39"/>
        <v>8</v>
      </c>
      <c r="L587" s="121">
        <f>(SUBSTITUTE(SUBSTITUTE(J587,"D","",1),"C","",1)+0)*IF(K587=F587,1,-1)</f>
        <v>-627291.48</v>
      </c>
      <c r="M587" s="52" t="s">
        <v>1759</v>
      </c>
      <c r="N587" s="1"/>
      <c r="O587" s="1">
        <f>_xlfn.XLOOKUP(B587,'BALANCETE 2022'!B:B,'BALANCETE 2022'!J:J,0)</f>
        <v>0</v>
      </c>
      <c r="P587" s="1"/>
    </row>
    <row r="588" spans="1:16" x14ac:dyDescent="0.3">
      <c r="A588" t="s">
        <v>1760</v>
      </c>
      <c r="B588" t="s">
        <v>1761</v>
      </c>
      <c r="C588">
        <f t="shared" si="37"/>
        <v>3</v>
      </c>
      <c r="D588" t="str">
        <f t="shared" si="38"/>
        <v>A</v>
      </c>
      <c r="E588" s="115" t="s">
        <v>25</v>
      </c>
      <c r="F588" t="s">
        <v>14</v>
      </c>
      <c r="G588" s="16">
        <v>367345.44</v>
      </c>
      <c r="H588" s="50">
        <v>31935.759999999998</v>
      </c>
      <c r="I588" s="50" t="s">
        <v>1762</v>
      </c>
      <c r="J588" s="50" t="s">
        <v>1762</v>
      </c>
      <c r="K588" s="50" t="str">
        <f t="shared" si="39"/>
        <v>D</v>
      </c>
      <c r="L588" s="50">
        <f>(SUBSTITUTE(SUBSTITUTE(J588,"D","",1),"C","",1)+0)</f>
        <v>335409.68</v>
      </c>
      <c r="M588" s="124"/>
      <c r="O588" s="67">
        <f>_xlfn.XLOOKUP(B588,'BALANCETE 2022'!B:B,'BALANCETE 2022'!J:J,0)</f>
        <v>23</v>
      </c>
      <c r="P588" t="str">
        <f>_xlfn.XLOOKUP(O588,DRE!B:B,DRE!A:A,0)</f>
        <v>DESPESAS OPERACIONAIS E ADMINISTRATIVAS</v>
      </c>
    </row>
    <row r="589" spans="1:16" x14ac:dyDescent="0.3">
      <c r="A589" t="s">
        <v>1763</v>
      </c>
      <c r="B589" t="s">
        <v>1764</v>
      </c>
      <c r="C589">
        <f t="shared" si="37"/>
        <v>3</v>
      </c>
      <c r="D589" t="str">
        <f t="shared" si="38"/>
        <v>A</v>
      </c>
      <c r="E589" s="115" t="s">
        <v>25</v>
      </c>
      <c r="F589" t="s">
        <v>14</v>
      </c>
      <c r="G589" s="16">
        <v>108345.27</v>
      </c>
      <c r="H589" s="50">
        <v>0</v>
      </c>
      <c r="I589" s="50" t="s">
        <v>1765</v>
      </c>
      <c r="J589" s="50" t="s">
        <v>1765</v>
      </c>
      <c r="K589" s="50" t="str">
        <f t="shared" si="39"/>
        <v>D</v>
      </c>
      <c r="L589" s="50">
        <f>(SUBSTITUTE(SUBSTITUTE(J589,"D","",1),"C","",1)+0)</f>
        <v>108345.27</v>
      </c>
      <c r="M589" s="124"/>
      <c r="O589" s="67">
        <f>_xlfn.XLOOKUP(B589,'BALANCETE 2022'!B:B,'BALANCETE 2022'!J:J,0)</f>
        <v>23</v>
      </c>
      <c r="P589" t="str">
        <f>_xlfn.XLOOKUP(O589,DRE!B:B,DRE!A:A,0)</f>
        <v>DESPESAS OPERACIONAIS E ADMINISTRATIVAS</v>
      </c>
    </row>
    <row r="590" spans="1:16" x14ac:dyDescent="0.3">
      <c r="A590" t="s">
        <v>1766</v>
      </c>
      <c r="B590" t="s">
        <v>1767</v>
      </c>
      <c r="C590">
        <f t="shared" si="37"/>
        <v>3</v>
      </c>
      <c r="D590" t="str">
        <f t="shared" si="38"/>
        <v>A</v>
      </c>
      <c r="E590" s="115" t="s">
        <v>25</v>
      </c>
      <c r="F590" t="s">
        <v>14</v>
      </c>
      <c r="G590" s="16">
        <v>453547.79</v>
      </c>
      <c r="H590" s="50">
        <v>0</v>
      </c>
      <c r="I590" s="50" t="s">
        <v>1768</v>
      </c>
      <c r="J590" s="50" t="s">
        <v>1768</v>
      </c>
      <c r="K590" s="50" t="str">
        <f t="shared" si="39"/>
        <v>D</v>
      </c>
      <c r="L590" s="50">
        <f>(SUBSTITUTE(SUBSTITUTE(J590,"D","",1),"C","",1)+0)</f>
        <v>453547.79</v>
      </c>
      <c r="M590" s="124"/>
      <c r="O590" s="67">
        <f>_xlfn.XLOOKUP(B590,'BALANCETE 2022'!B:B,'BALANCETE 2022'!J:J,0)</f>
        <v>23</v>
      </c>
      <c r="P590" t="str">
        <f>_xlfn.XLOOKUP(O590,DRE!B:B,DRE!A:A,0)</f>
        <v>DESPESAS OPERACIONAIS E ADMINISTRATIVAS</v>
      </c>
    </row>
    <row r="591" spans="1:16" x14ac:dyDescent="0.3">
      <c r="A591" t="s">
        <v>1769</v>
      </c>
      <c r="B591" t="s">
        <v>1770</v>
      </c>
      <c r="C591">
        <f t="shared" si="37"/>
        <v>3</v>
      </c>
      <c r="D591" t="str">
        <f t="shared" si="38"/>
        <v>A</v>
      </c>
      <c r="E591" s="115" t="s">
        <v>25</v>
      </c>
      <c r="F591" t="s">
        <v>14</v>
      </c>
      <c r="G591" s="16">
        <v>88318.23</v>
      </c>
      <c r="H591" s="50">
        <v>16720.52</v>
      </c>
      <c r="I591" s="50" t="s">
        <v>1771</v>
      </c>
      <c r="J591" s="50" t="s">
        <v>1771</v>
      </c>
      <c r="K591" s="50" t="str">
        <f t="shared" si="39"/>
        <v>D</v>
      </c>
      <c r="L591" s="50">
        <f>(SUBSTITUTE(SUBSTITUTE(J591,"D","",1),"C","",1)+0)</f>
        <v>71597.710000000006</v>
      </c>
      <c r="M591" s="124"/>
      <c r="O591" s="67">
        <f>_xlfn.XLOOKUP(B591,'BALANCETE 2022'!B:B,'BALANCETE 2022'!J:J,0)</f>
        <v>23</v>
      </c>
      <c r="P591" t="str">
        <f>_xlfn.XLOOKUP(O591,DRE!B:B,DRE!A:A,0)</f>
        <v>DESPESAS OPERACIONAIS E ADMINISTRATIVAS</v>
      </c>
    </row>
    <row r="592" spans="1:16" x14ac:dyDescent="0.3">
      <c r="A592" t="s">
        <v>1772</v>
      </c>
      <c r="B592" t="s">
        <v>1773</v>
      </c>
      <c r="C592">
        <f t="shared" si="37"/>
        <v>3</v>
      </c>
      <c r="D592" t="str">
        <f t="shared" si="38"/>
        <v>A</v>
      </c>
      <c r="E592" s="115" t="s">
        <v>25</v>
      </c>
      <c r="F592" t="s">
        <v>14</v>
      </c>
      <c r="G592" s="16">
        <v>8691622.7100000009</v>
      </c>
      <c r="H592" s="50">
        <v>9092880.5700000003</v>
      </c>
      <c r="I592" s="50" t="s">
        <v>1774</v>
      </c>
      <c r="J592" s="50" t="s">
        <v>1774</v>
      </c>
      <c r="K592" s="50" t="str">
        <f t="shared" si="39"/>
        <v>C</v>
      </c>
      <c r="L592" s="50">
        <f>-(SUBSTITUTE(SUBSTITUTE(J592,"D","",1),"C","",1)+0)</f>
        <v>-401257.86</v>
      </c>
      <c r="M592" s="124"/>
      <c r="O592" s="67">
        <f>_xlfn.XLOOKUP(B592,'BALANCETE 2022'!B:B,'BALANCETE 2022'!J:J,0)</f>
        <v>23</v>
      </c>
      <c r="P592" t="str">
        <f>_xlfn.XLOOKUP(O592,DRE!B:B,DRE!A:A,0)</f>
        <v>DESPESAS OPERACIONAIS E ADMINISTRATIVAS</v>
      </c>
    </row>
    <row r="593" spans="1:16" x14ac:dyDescent="0.3">
      <c r="A593" t="s">
        <v>1775</v>
      </c>
      <c r="B593" t="s">
        <v>1776</v>
      </c>
      <c r="C593">
        <f t="shared" si="37"/>
        <v>3</v>
      </c>
      <c r="D593" t="str">
        <f t="shared" si="38"/>
        <v>A</v>
      </c>
      <c r="E593" s="115" t="s">
        <v>25</v>
      </c>
      <c r="F593" t="s">
        <v>14</v>
      </c>
      <c r="G593" s="16">
        <v>94089.54</v>
      </c>
      <c r="H593" s="50">
        <v>34440.65</v>
      </c>
      <c r="I593" s="50" t="s">
        <v>1777</v>
      </c>
      <c r="J593" s="50" t="s">
        <v>1777</v>
      </c>
      <c r="K593" s="50" t="str">
        <f t="shared" si="39"/>
        <v>D</v>
      </c>
      <c r="L593" s="50">
        <f>(SUBSTITUTE(SUBSTITUTE(J593,"D","",1),"C","",1)+0)</f>
        <v>59648.89</v>
      </c>
      <c r="M593" s="124"/>
      <c r="O593" s="67">
        <f>_xlfn.XLOOKUP(B593,'BALANCETE 2022'!B:B,'BALANCETE 2022'!J:J,0)</f>
        <v>23</v>
      </c>
      <c r="P593" t="str">
        <f>_xlfn.XLOOKUP(O593,DRE!B:B,DRE!A:A,0)</f>
        <v>DESPESAS OPERACIONAIS E ADMINISTRATIVAS</v>
      </c>
    </row>
    <row r="594" spans="1:16" x14ac:dyDescent="0.3">
      <c r="A594" s="1" t="s">
        <v>1778</v>
      </c>
      <c r="B594" s="1" t="s">
        <v>1779</v>
      </c>
      <c r="C594" s="1">
        <f t="shared" si="37"/>
        <v>3</v>
      </c>
      <c r="D594" s="1" t="str">
        <f t="shared" si="38"/>
        <v>s</v>
      </c>
      <c r="E594" s="122" t="s">
        <v>410</v>
      </c>
      <c r="F594" s="1" t="s">
        <v>14</v>
      </c>
      <c r="G594" s="123">
        <v>3021667.82</v>
      </c>
      <c r="H594" s="121">
        <v>38593.199999999997</v>
      </c>
      <c r="I594" s="121">
        <v>2983074.62</v>
      </c>
      <c r="J594" s="121">
        <v>2983074.62</v>
      </c>
      <c r="K594" s="121" t="str">
        <f t="shared" si="39"/>
        <v>2</v>
      </c>
      <c r="L594" s="121">
        <f>(SUBSTITUTE(SUBSTITUTE(J594,"D","",1),"C","",1)+0)*IF(K594=F594,1,-1)</f>
        <v>-2983074.62</v>
      </c>
      <c r="M594" s="52" t="s">
        <v>1780</v>
      </c>
      <c r="N594" s="1"/>
      <c r="O594" s="1">
        <f>_xlfn.XLOOKUP(B594,'BALANCETE 2022'!B:B,'BALANCETE 2022'!J:J,0)</f>
        <v>0</v>
      </c>
      <c r="P594" s="1"/>
    </row>
    <row r="595" spans="1:16" x14ac:dyDescent="0.3">
      <c r="A595" t="s">
        <v>1781</v>
      </c>
      <c r="B595" t="s">
        <v>1782</v>
      </c>
      <c r="C595">
        <f t="shared" si="37"/>
        <v>3</v>
      </c>
      <c r="D595" t="str">
        <f t="shared" si="38"/>
        <v>A</v>
      </c>
      <c r="E595" s="115" t="s">
        <v>25</v>
      </c>
      <c r="F595" t="s">
        <v>14</v>
      </c>
      <c r="G595" s="16">
        <v>75721.820000000007</v>
      </c>
      <c r="H595" s="50">
        <v>0</v>
      </c>
      <c r="I595" s="50" t="s">
        <v>1783</v>
      </c>
      <c r="J595" s="50" t="s">
        <v>1783</v>
      </c>
      <c r="K595" s="50" t="str">
        <f t="shared" si="39"/>
        <v>D</v>
      </c>
      <c r="L595" s="50">
        <f t="shared" ref="L595:L620" si="40">(SUBSTITUTE(SUBSTITUTE(J595,"D","",1),"C","",1)+0)</f>
        <v>75721.820000000007</v>
      </c>
      <c r="M595" s="124"/>
      <c r="O595" s="67">
        <f>_xlfn.XLOOKUP(B595,'BALANCETE 2022'!B:B,'BALANCETE 2022'!J:J,0)</f>
        <v>23</v>
      </c>
      <c r="P595" t="str">
        <f>_xlfn.XLOOKUP(O595,DRE!B:B,DRE!A:A,0)</f>
        <v>DESPESAS OPERACIONAIS E ADMINISTRATIVAS</v>
      </c>
    </row>
    <row r="596" spans="1:16" x14ac:dyDescent="0.3">
      <c r="A596" t="s">
        <v>1784</v>
      </c>
      <c r="B596" t="s">
        <v>1785</v>
      </c>
      <c r="C596">
        <f t="shared" si="37"/>
        <v>3</v>
      </c>
      <c r="D596" t="str">
        <f t="shared" si="38"/>
        <v>A</v>
      </c>
      <c r="E596" s="115" t="s">
        <v>25</v>
      </c>
      <c r="F596" t="s">
        <v>14</v>
      </c>
      <c r="G596" s="16">
        <v>216737.7</v>
      </c>
      <c r="H596" s="50">
        <v>0</v>
      </c>
      <c r="I596" s="50" t="s">
        <v>1786</v>
      </c>
      <c r="J596" s="50" t="s">
        <v>1786</v>
      </c>
      <c r="K596" s="50" t="str">
        <f t="shared" si="39"/>
        <v>D</v>
      </c>
      <c r="L596" s="50">
        <f t="shared" si="40"/>
        <v>216737.7</v>
      </c>
      <c r="M596" s="124"/>
      <c r="O596" s="67">
        <f>_xlfn.XLOOKUP(B596,'BALANCETE 2022'!B:B,'BALANCETE 2022'!J:J,0)</f>
        <v>23</v>
      </c>
      <c r="P596" t="str">
        <f>_xlfn.XLOOKUP(O596,DRE!B:B,DRE!A:A,0)</f>
        <v>DESPESAS OPERACIONAIS E ADMINISTRATIVAS</v>
      </c>
    </row>
    <row r="597" spans="1:16" x14ac:dyDescent="0.3">
      <c r="A597" t="s">
        <v>1787</v>
      </c>
      <c r="B597" t="s">
        <v>1788</v>
      </c>
      <c r="C597">
        <f t="shared" si="37"/>
        <v>3</v>
      </c>
      <c r="D597" t="str">
        <f t="shared" si="38"/>
        <v>A</v>
      </c>
      <c r="E597" s="115" t="s">
        <v>25</v>
      </c>
      <c r="F597" t="s">
        <v>14</v>
      </c>
      <c r="G597" s="16">
        <v>5537.41</v>
      </c>
      <c r="H597" s="50">
        <v>0</v>
      </c>
      <c r="I597" s="50" t="s">
        <v>1789</v>
      </c>
      <c r="J597" s="50" t="s">
        <v>1789</v>
      </c>
      <c r="K597" s="50" t="str">
        <f t="shared" si="39"/>
        <v>D</v>
      </c>
      <c r="L597" s="50">
        <f t="shared" si="40"/>
        <v>5537.41</v>
      </c>
      <c r="M597" s="124"/>
      <c r="O597" s="67">
        <f>_xlfn.XLOOKUP(B597,'BALANCETE 2022'!B:B,'BALANCETE 2022'!J:J,0)</f>
        <v>23</v>
      </c>
      <c r="P597" t="str">
        <f>_xlfn.XLOOKUP(O597,DRE!B:B,DRE!A:A,0)</f>
        <v>DESPESAS OPERACIONAIS E ADMINISTRATIVAS</v>
      </c>
    </row>
    <row r="598" spans="1:16" x14ac:dyDescent="0.3">
      <c r="A598" t="s">
        <v>1790</v>
      </c>
      <c r="B598" t="s">
        <v>1791</v>
      </c>
      <c r="C598">
        <f t="shared" si="37"/>
        <v>3</v>
      </c>
      <c r="D598" t="str">
        <f t="shared" si="38"/>
        <v>A</v>
      </c>
      <c r="E598" s="115" t="s">
        <v>25</v>
      </c>
      <c r="F598" t="s">
        <v>14</v>
      </c>
      <c r="G598" s="16">
        <v>712785.1</v>
      </c>
      <c r="H598" s="50">
        <v>0</v>
      </c>
      <c r="I598" s="50" t="s">
        <v>1792</v>
      </c>
      <c r="J598" s="50" t="s">
        <v>1792</v>
      </c>
      <c r="K598" s="50" t="str">
        <f t="shared" si="39"/>
        <v>D</v>
      </c>
      <c r="L598" s="50">
        <f t="shared" si="40"/>
        <v>712785.1</v>
      </c>
      <c r="M598" s="124"/>
      <c r="O598" s="67">
        <f>_xlfn.XLOOKUP(B598,'BALANCETE 2022'!B:B,'BALANCETE 2022'!J:J,0)</f>
        <v>23</v>
      </c>
      <c r="P598" t="str">
        <f>_xlfn.XLOOKUP(O598,DRE!B:B,DRE!A:A,0)</f>
        <v>DESPESAS OPERACIONAIS E ADMINISTRATIVAS</v>
      </c>
    </row>
    <row r="599" spans="1:16" x14ac:dyDescent="0.3">
      <c r="A599" t="s">
        <v>1793</v>
      </c>
      <c r="B599" t="s">
        <v>1794</v>
      </c>
      <c r="C599">
        <f t="shared" si="37"/>
        <v>3</v>
      </c>
      <c r="D599" t="str">
        <f t="shared" si="38"/>
        <v>A</v>
      </c>
      <c r="E599" s="115" t="s">
        <v>25</v>
      </c>
      <c r="F599" t="s">
        <v>14</v>
      </c>
      <c r="G599" s="16">
        <v>209200</v>
      </c>
      <c r="H599" s="50">
        <v>0</v>
      </c>
      <c r="I599" s="50" t="s">
        <v>1795</v>
      </c>
      <c r="J599" s="50" t="s">
        <v>1795</v>
      </c>
      <c r="K599" s="50" t="str">
        <f t="shared" si="39"/>
        <v>D</v>
      </c>
      <c r="L599" s="50">
        <f t="shared" si="40"/>
        <v>209200</v>
      </c>
      <c r="M599" s="124"/>
      <c r="O599" s="67">
        <v>23</v>
      </c>
      <c r="P599" t="str">
        <f>_xlfn.XLOOKUP(O599,DRE!B:B,DRE!A:A,0)</f>
        <v>DESPESAS OPERACIONAIS E ADMINISTRATIVAS</v>
      </c>
    </row>
    <row r="600" spans="1:16" x14ac:dyDescent="0.3">
      <c r="A600" t="s">
        <v>1796</v>
      </c>
      <c r="B600" t="s">
        <v>1797</v>
      </c>
      <c r="C600">
        <f t="shared" si="37"/>
        <v>3</v>
      </c>
      <c r="D600" t="str">
        <f t="shared" si="38"/>
        <v>A</v>
      </c>
      <c r="E600" s="115" t="s">
        <v>25</v>
      </c>
      <c r="F600" t="s">
        <v>14</v>
      </c>
      <c r="G600" s="16">
        <v>165375.97</v>
      </c>
      <c r="H600" s="50">
        <v>0</v>
      </c>
      <c r="I600" s="50" t="s">
        <v>1798</v>
      </c>
      <c r="J600" s="50" t="s">
        <v>1798</v>
      </c>
      <c r="K600" s="50" t="str">
        <f t="shared" si="39"/>
        <v>D</v>
      </c>
      <c r="L600" s="50">
        <f t="shared" si="40"/>
        <v>165375.97</v>
      </c>
      <c r="M600" s="124"/>
      <c r="O600" s="67">
        <f>_xlfn.XLOOKUP(B600,'BALANCETE 2022'!B:B,'BALANCETE 2022'!J:J,0)</f>
        <v>23</v>
      </c>
      <c r="P600" t="str">
        <f>_xlfn.XLOOKUP(O600,DRE!B:B,DRE!A:A,0)</f>
        <v>DESPESAS OPERACIONAIS E ADMINISTRATIVAS</v>
      </c>
    </row>
    <row r="601" spans="1:16" x14ac:dyDescent="0.3">
      <c r="A601" t="s">
        <v>1799</v>
      </c>
      <c r="B601" t="s">
        <v>1800</v>
      </c>
      <c r="C601">
        <f t="shared" si="37"/>
        <v>3</v>
      </c>
      <c r="D601" t="str">
        <f t="shared" si="38"/>
        <v>A</v>
      </c>
      <c r="E601" s="115" t="s">
        <v>25</v>
      </c>
      <c r="F601" t="s">
        <v>14</v>
      </c>
      <c r="G601" s="16">
        <v>315</v>
      </c>
      <c r="H601" s="50">
        <v>0</v>
      </c>
      <c r="I601" s="50" t="s">
        <v>1801</v>
      </c>
      <c r="J601" s="50" t="s">
        <v>1801</v>
      </c>
      <c r="K601" s="50" t="str">
        <f t="shared" si="39"/>
        <v>D</v>
      </c>
      <c r="L601" s="50">
        <f t="shared" si="40"/>
        <v>315</v>
      </c>
      <c r="M601" s="124"/>
      <c r="O601" s="67">
        <v>23</v>
      </c>
      <c r="P601" t="str">
        <f>_xlfn.XLOOKUP(O601,DRE!B:B,DRE!A:A,0)</f>
        <v>DESPESAS OPERACIONAIS E ADMINISTRATIVAS</v>
      </c>
    </row>
    <row r="602" spans="1:16" x14ac:dyDescent="0.3">
      <c r="A602" t="s">
        <v>1802</v>
      </c>
      <c r="B602" t="s">
        <v>1803</v>
      </c>
      <c r="C602">
        <f t="shared" si="37"/>
        <v>3</v>
      </c>
      <c r="D602" t="str">
        <f t="shared" si="38"/>
        <v>A</v>
      </c>
      <c r="E602" s="115" t="s">
        <v>25</v>
      </c>
      <c r="F602" t="s">
        <v>14</v>
      </c>
      <c r="G602" s="16">
        <v>2824.78</v>
      </c>
      <c r="H602" s="50">
        <v>0</v>
      </c>
      <c r="I602" s="50" t="s">
        <v>1804</v>
      </c>
      <c r="J602" s="50" t="s">
        <v>1804</v>
      </c>
      <c r="K602" s="50" t="str">
        <f t="shared" si="39"/>
        <v>D</v>
      </c>
      <c r="L602" s="50">
        <f t="shared" si="40"/>
        <v>2824.78</v>
      </c>
      <c r="M602" s="124"/>
      <c r="O602" s="67">
        <f>_xlfn.XLOOKUP(B602,'BALANCETE 2022'!B:B,'BALANCETE 2022'!J:J,0)</f>
        <v>23</v>
      </c>
      <c r="P602" t="str">
        <f>_xlfn.XLOOKUP(O602,DRE!B:B,DRE!A:A,0)</f>
        <v>DESPESAS OPERACIONAIS E ADMINISTRATIVAS</v>
      </c>
    </row>
    <row r="603" spans="1:16" x14ac:dyDescent="0.3">
      <c r="A603" t="s">
        <v>1805</v>
      </c>
      <c r="B603" t="s">
        <v>1806</v>
      </c>
      <c r="C603">
        <f t="shared" si="37"/>
        <v>3</v>
      </c>
      <c r="D603" t="str">
        <f t="shared" si="38"/>
        <v>A</v>
      </c>
      <c r="E603" s="115" t="s">
        <v>25</v>
      </c>
      <c r="F603" t="s">
        <v>14</v>
      </c>
      <c r="G603" s="16">
        <v>345453.82</v>
      </c>
      <c r="H603" s="50">
        <v>0</v>
      </c>
      <c r="I603" s="50" t="s">
        <v>1807</v>
      </c>
      <c r="J603" s="50" t="s">
        <v>1807</v>
      </c>
      <c r="K603" s="50" t="str">
        <f t="shared" si="39"/>
        <v>D</v>
      </c>
      <c r="L603" s="50">
        <f t="shared" si="40"/>
        <v>345453.82</v>
      </c>
      <c r="M603" s="124"/>
      <c r="O603" s="67">
        <f>_xlfn.XLOOKUP(B603,'BALANCETE 2022'!B:B,'BALANCETE 2022'!J:J,0)</f>
        <v>23</v>
      </c>
      <c r="P603" t="str">
        <f>_xlfn.XLOOKUP(O603,DRE!B:B,DRE!A:A,0)</f>
        <v>DESPESAS OPERACIONAIS E ADMINISTRATIVAS</v>
      </c>
    </row>
    <row r="604" spans="1:16" x14ac:dyDescent="0.3">
      <c r="A604" t="s">
        <v>1808</v>
      </c>
      <c r="B604" t="s">
        <v>1809</v>
      </c>
      <c r="C604">
        <f t="shared" si="37"/>
        <v>3</v>
      </c>
      <c r="D604" t="str">
        <f t="shared" si="38"/>
        <v>A</v>
      </c>
      <c r="E604" s="115" t="s">
        <v>25</v>
      </c>
      <c r="F604" t="s">
        <v>14</v>
      </c>
      <c r="G604" s="16">
        <v>25521</v>
      </c>
      <c r="H604" s="50">
        <v>0</v>
      </c>
      <c r="I604" s="50" t="s">
        <v>1810</v>
      </c>
      <c r="J604" s="50" t="s">
        <v>1810</v>
      </c>
      <c r="K604" s="50" t="str">
        <f t="shared" si="39"/>
        <v>D</v>
      </c>
      <c r="L604" s="50">
        <f t="shared" si="40"/>
        <v>25521</v>
      </c>
      <c r="M604" s="124"/>
      <c r="O604" s="67">
        <f>_xlfn.XLOOKUP(B604,'BALANCETE 2022'!B:B,'BALANCETE 2022'!J:J,0)</f>
        <v>23</v>
      </c>
      <c r="P604" t="str">
        <f>_xlfn.XLOOKUP(O604,DRE!B:B,DRE!A:A,0)</f>
        <v>DESPESAS OPERACIONAIS E ADMINISTRATIVAS</v>
      </c>
    </row>
    <row r="605" spans="1:16" x14ac:dyDescent="0.3">
      <c r="A605" t="s">
        <v>1811</v>
      </c>
      <c r="B605" t="s">
        <v>1812</v>
      </c>
      <c r="C605">
        <f t="shared" si="37"/>
        <v>3</v>
      </c>
      <c r="D605" t="str">
        <f t="shared" si="38"/>
        <v>A</v>
      </c>
      <c r="E605" s="115" t="s">
        <v>25</v>
      </c>
      <c r="F605" t="s">
        <v>14</v>
      </c>
      <c r="G605" s="16">
        <v>15456.17</v>
      </c>
      <c r="H605" s="50">
        <v>0</v>
      </c>
      <c r="I605" s="50" t="s">
        <v>1813</v>
      </c>
      <c r="J605" s="50" t="s">
        <v>1813</v>
      </c>
      <c r="K605" s="50" t="str">
        <f t="shared" si="39"/>
        <v>D</v>
      </c>
      <c r="L605" s="50">
        <f t="shared" si="40"/>
        <v>15456.17</v>
      </c>
      <c r="M605" s="124"/>
      <c r="O605" s="67">
        <f>_xlfn.XLOOKUP(B605,'BALANCETE 2022'!B:B,'BALANCETE 2022'!J:J,0)</f>
        <v>23</v>
      </c>
      <c r="P605" t="str">
        <f>_xlfn.XLOOKUP(O605,DRE!B:B,DRE!A:A,0)</f>
        <v>DESPESAS OPERACIONAIS E ADMINISTRATIVAS</v>
      </c>
    </row>
    <row r="606" spans="1:16" x14ac:dyDescent="0.3">
      <c r="A606" t="s">
        <v>1814</v>
      </c>
      <c r="B606" t="s">
        <v>1815</v>
      </c>
      <c r="C606">
        <f t="shared" si="37"/>
        <v>3</v>
      </c>
      <c r="D606" t="str">
        <f t="shared" si="38"/>
        <v>A</v>
      </c>
      <c r="E606" s="115" t="s">
        <v>25</v>
      </c>
      <c r="F606" t="s">
        <v>14</v>
      </c>
      <c r="G606" s="16">
        <v>57000.32</v>
      </c>
      <c r="H606" s="50">
        <v>0</v>
      </c>
      <c r="I606" s="50" t="s">
        <v>1816</v>
      </c>
      <c r="J606" s="50" t="s">
        <v>1816</v>
      </c>
      <c r="K606" s="50" t="str">
        <f t="shared" si="39"/>
        <v>D</v>
      </c>
      <c r="L606" s="50">
        <f t="shared" si="40"/>
        <v>57000.32</v>
      </c>
      <c r="M606" s="124"/>
      <c r="O606" s="67">
        <f>_xlfn.XLOOKUP(B606,'BALANCETE 2022'!B:B,'BALANCETE 2022'!J:J,0)</f>
        <v>23</v>
      </c>
      <c r="P606" t="str">
        <f>_xlfn.XLOOKUP(O606,DRE!B:B,DRE!A:A,0)</f>
        <v>DESPESAS OPERACIONAIS E ADMINISTRATIVAS</v>
      </c>
    </row>
    <row r="607" spans="1:16" x14ac:dyDescent="0.3">
      <c r="A607" t="s">
        <v>1817</v>
      </c>
      <c r="B607" t="s">
        <v>1818</v>
      </c>
      <c r="C607">
        <f t="shared" si="37"/>
        <v>3</v>
      </c>
      <c r="D607" t="str">
        <f t="shared" si="38"/>
        <v>A</v>
      </c>
      <c r="E607" s="115" t="s">
        <v>25</v>
      </c>
      <c r="F607" t="s">
        <v>14</v>
      </c>
      <c r="G607" s="16">
        <v>597494.85</v>
      </c>
      <c r="H607" s="50">
        <v>38593.199999999997</v>
      </c>
      <c r="I607" s="50">
        <v>558901.65</v>
      </c>
      <c r="J607" s="50">
        <v>558901.65</v>
      </c>
      <c r="K607" s="50" t="str">
        <f t="shared" si="39"/>
        <v>5</v>
      </c>
      <c r="L607" s="50">
        <f t="shared" si="40"/>
        <v>558901.65</v>
      </c>
      <c r="M607" s="124"/>
      <c r="O607" s="67">
        <f>_xlfn.XLOOKUP(B607,'BALANCETE 2022'!B:B,'BALANCETE 2022'!J:J,0)</f>
        <v>23</v>
      </c>
      <c r="P607" t="str">
        <f>_xlfn.XLOOKUP(O607,DRE!B:B,DRE!A:A,0)</f>
        <v>DESPESAS OPERACIONAIS E ADMINISTRATIVAS</v>
      </c>
    </row>
    <row r="608" spans="1:16" x14ac:dyDescent="0.3">
      <c r="A608" t="s">
        <v>1819</v>
      </c>
      <c r="B608" t="s">
        <v>1820</v>
      </c>
      <c r="C608">
        <f t="shared" si="37"/>
        <v>3</v>
      </c>
      <c r="D608" t="str">
        <f t="shared" si="38"/>
        <v>A</v>
      </c>
      <c r="E608" s="115" t="s">
        <v>25</v>
      </c>
      <c r="F608" t="s">
        <v>14</v>
      </c>
      <c r="G608" s="16">
        <v>1793.64</v>
      </c>
      <c r="H608" s="50">
        <v>0</v>
      </c>
      <c r="I608" s="50" t="s">
        <v>1821</v>
      </c>
      <c r="J608" s="50" t="s">
        <v>1821</v>
      </c>
      <c r="K608" s="50" t="str">
        <f t="shared" si="39"/>
        <v>D</v>
      </c>
      <c r="L608" s="50">
        <f t="shared" si="40"/>
        <v>1793.64</v>
      </c>
      <c r="M608" s="124"/>
      <c r="O608" s="67">
        <f>_xlfn.XLOOKUP(B608,'BALANCETE 2022'!B:B,'BALANCETE 2022'!J:J,0)</f>
        <v>23</v>
      </c>
      <c r="P608" t="str">
        <f>_xlfn.XLOOKUP(O608,DRE!B:B,DRE!A:A,0)</f>
        <v>DESPESAS OPERACIONAIS E ADMINISTRATIVAS</v>
      </c>
    </row>
    <row r="609" spans="1:16" x14ac:dyDescent="0.3">
      <c r="A609" t="s">
        <v>1822</v>
      </c>
      <c r="B609" t="s">
        <v>1823</v>
      </c>
      <c r="C609">
        <f t="shared" si="37"/>
        <v>3</v>
      </c>
      <c r="D609" t="str">
        <f t="shared" si="38"/>
        <v>A</v>
      </c>
      <c r="E609" s="115" t="s">
        <v>25</v>
      </c>
      <c r="F609" t="s">
        <v>14</v>
      </c>
      <c r="G609" s="16">
        <v>21095.14</v>
      </c>
      <c r="H609" s="50">
        <v>0</v>
      </c>
      <c r="I609" s="50" t="s">
        <v>1824</v>
      </c>
      <c r="J609" s="50" t="s">
        <v>1824</v>
      </c>
      <c r="K609" s="50" t="str">
        <f t="shared" si="39"/>
        <v>D</v>
      </c>
      <c r="L609" s="50">
        <f t="shared" si="40"/>
        <v>21095.14</v>
      </c>
      <c r="M609" s="124"/>
      <c r="O609" s="67">
        <f>_xlfn.XLOOKUP(B609,'BALANCETE 2022'!B:B,'BALANCETE 2022'!J:J,0)</f>
        <v>23</v>
      </c>
      <c r="P609" t="str">
        <f>_xlfn.XLOOKUP(O609,DRE!B:B,DRE!A:A,0)</f>
        <v>DESPESAS OPERACIONAIS E ADMINISTRATIVAS</v>
      </c>
    </row>
    <row r="610" spans="1:16" x14ac:dyDescent="0.3">
      <c r="A610" t="s">
        <v>1825</v>
      </c>
      <c r="B610" t="s">
        <v>1826</v>
      </c>
      <c r="C610">
        <f t="shared" si="37"/>
        <v>3</v>
      </c>
      <c r="D610" t="str">
        <f t="shared" si="38"/>
        <v>A</v>
      </c>
      <c r="E610" s="115" t="s">
        <v>25</v>
      </c>
      <c r="F610" t="s">
        <v>14</v>
      </c>
      <c r="G610" s="16">
        <v>37695.370000000003</v>
      </c>
      <c r="H610" s="50">
        <v>0</v>
      </c>
      <c r="I610" s="50" t="s">
        <v>1827</v>
      </c>
      <c r="J610" s="50" t="s">
        <v>1827</v>
      </c>
      <c r="K610" s="50" t="str">
        <f t="shared" si="39"/>
        <v>D</v>
      </c>
      <c r="L610" s="50">
        <f t="shared" si="40"/>
        <v>37695.370000000003</v>
      </c>
      <c r="M610" s="124"/>
      <c r="O610" s="67">
        <f>_xlfn.XLOOKUP(B610,'BALANCETE 2022'!B:B,'BALANCETE 2022'!J:J,0)</f>
        <v>23</v>
      </c>
      <c r="P610" t="str">
        <f>_xlfn.XLOOKUP(O610,DRE!B:B,DRE!A:A,0)</f>
        <v>DESPESAS OPERACIONAIS E ADMINISTRATIVAS</v>
      </c>
    </row>
    <row r="611" spans="1:16" x14ac:dyDescent="0.3">
      <c r="A611" t="s">
        <v>1828</v>
      </c>
      <c r="B611" t="s">
        <v>1829</v>
      </c>
      <c r="C611">
        <f t="shared" si="37"/>
        <v>3</v>
      </c>
      <c r="D611" t="str">
        <f t="shared" si="38"/>
        <v>A</v>
      </c>
      <c r="E611" s="115" t="s">
        <v>25</v>
      </c>
      <c r="F611" t="s">
        <v>14</v>
      </c>
      <c r="G611" s="16">
        <v>8044.78</v>
      </c>
      <c r="H611" s="50">
        <v>0</v>
      </c>
      <c r="I611" s="50" t="s">
        <v>1830</v>
      </c>
      <c r="J611" s="50" t="s">
        <v>1830</v>
      </c>
      <c r="K611" s="50" t="str">
        <f t="shared" si="39"/>
        <v>D</v>
      </c>
      <c r="L611" s="50">
        <f t="shared" si="40"/>
        <v>8044.78</v>
      </c>
      <c r="M611" s="124"/>
      <c r="O611" s="67">
        <f>_xlfn.XLOOKUP(B611,'BALANCETE 2022'!B:B,'BALANCETE 2022'!J:J,0)</f>
        <v>23</v>
      </c>
      <c r="P611" t="str">
        <f>_xlfn.XLOOKUP(O611,DRE!B:B,DRE!A:A,0)</f>
        <v>DESPESAS OPERACIONAIS E ADMINISTRATIVAS</v>
      </c>
    </row>
    <row r="612" spans="1:16" x14ac:dyDescent="0.3">
      <c r="A612" t="s">
        <v>1831</v>
      </c>
      <c r="B612" t="s">
        <v>1832</v>
      </c>
      <c r="C612">
        <f t="shared" si="37"/>
        <v>3</v>
      </c>
      <c r="D612" t="str">
        <f t="shared" si="38"/>
        <v>A</v>
      </c>
      <c r="E612" s="115" t="s">
        <v>25</v>
      </c>
      <c r="F612" t="s">
        <v>14</v>
      </c>
      <c r="G612" s="16">
        <v>3385.8</v>
      </c>
      <c r="H612" s="50">
        <v>0</v>
      </c>
      <c r="I612" s="50" t="s">
        <v>1833</v>
      </c>
      <c r="J612" s="50" t="s">
        <v>1833</v>
      </c>
      <c r="K612" s="50" t="str">
        <f t="shared" si="39"/>
        <v>D</v>
      </c>
      <c r="L612" s="50">
        <f t="shared" si="40"/>
        <v>3385.8</v>
      </c>
      <c r="M612" s="124"/>
      <c r="O612" s="67">
        <f>_xlfn.XLOOKUP(B612,'BALANCETE 2022'!B:B,'BALANCETE 2022'!J:J,0)</f>
        <v>23</v>
      </c>
      <c r="P612" t="str">
        <f>_xlfn.XLOOKUP(O612,DRE!B:B,DRE!A:A,0)</f>
        <v>DESPESAS OPERACIONAIS E ADMINISTRATIVAS</v>
      </c>
    </row>
    <row r="613" spans="1:16" x14ac:dyDescent="0.3">
      <c r="A613" t="s">
        <v>1834</v>
      </c>
      <c r="B613" t="s">
        <v>1835</v>
      </c>
      <c r="C613">
        <f t="shared" si="37"/>
        <v>3</v>
      </c>
      <c r="D613" t="str">
        <f t="shared" si="38"/>
        <v>A</v>
      </c>
      <c r="E613" s="115" t="s">
        <v>25</v>
      </c>
      <c r="F613" t="s">
        <v>14</v>
      </c>
      <c r="G613" s="16">
        <v>3795.4</v>
      </c>
      <c r="H613" s="50">
        <v>0</v>
      </c>
      <c r="I613" s="50" t="s">
        <v>1836</v>
      </c>
      <c r="J613" s="50" t="s">
        <v>1836</v>
      </c>
      <c r="K613" s="50" t="str">
        <f t="shared" si="39"/>
        <v>D</v>
      </c>
      <c r="L613" s="50">
        <f t="shared" si="40"/>
        <v>3795.4</v>
      </c>
      <c r="M613" s="124"/>
      <c r="O613" s="67">
        <f>_xlfn.XLOOKUP(B613,'BALANCETE 2022'!B:B,'BALANCETE 2022'!J:J,0)</f>
        <v>23</v>
      </c>
      <c r="P613" t="str">
        <f>_xlfn.XLOOKUP(O613,DRE!B:B,DRE!A:A,0)</f>
        <v>DESPESAS OPERACIONAIS E ADMINISTRATIVAS</v>
      </c>
    </row>
    <row r="614" spans="1:16" x14ac:dyDescent="0.3">
      <c r="A614" t="s">
        <v>1837</v>
      </c>
      <c r="B614" t="s">
        <v>1838</v>
      </c>
      <c r="C614">
        <f t="shared" si="37"/>
        <v>3</v>
      </c>
      <c r="D614" t="str">
        <f t="shared" si="38"/>
        <v>A</v>
      </c>
      <c r="E614" s="115" t="s">
        <v>25</v>
      </c>
      <c r="F614" t="s">
        <v>14</v>
      </c>
      <c r="G614" s="16">
        <v>202.57</v>
      </c>
      <c r="H614" s="50">
        <v>0</v>
      </c>
      <c r="I614" s="50" t="s">
        <v>1839</v>
      </c>
      <c r="J614" s="50" t="s">
        <v>1839</v>
      </c>
      <c r="K614" s="50" t="str">
        <f t="shared" si="39"/>
        <v>D</v>
      </c>
      <c r="L614" s="50">
        <f t="shared" si="40"/>
        <v>202.57</v>
      </c>
      <c r="M614" s="124"/>
      <c r="O614" s="67">
        <f>_xlfn.XLOOKUP(B614,'BALANCETE 2022'!B:B,'BALANCETE 2022'!J:J,0)</f>
        <v>23</v>
      </c>
      <c r="P614" t="str">
        <f>_xlfn.XLOOKUP(O614,DRE!B:B,DRE!A:A,0)</f>
        <v>DESPESAS OPERACIONAIS E ADMINISTRATIVAS</v>
      </c>
    </row>
    <row r="615" spans="1:16" x14ac:dyDescent="0.3">
      <c r="A615" t="s">
        <v>1840</v>
      </c>
      <c r="B615" t="s">
        <v>1841</v>
      </c>
      <c r="C615">
        <f t="shared" si="37"/>
        <v>3</v>
      </c>
      <c r="D615" t="str">
        <f t="shared" si="38"/>
        <v>A</v>
      </c>
      <c r="E615" s="115" t="s">
        <v>25</v>
      </c>
      <c r="F615" t="s">
        <v>14</v>
      </c>
      <c r="G615" s="16">
        <v>10599.05</v>
      </c>
      <c r="H615" s="50">
        <v>0</v>
      </c>
      <c r="I615" s="50" t="s">
        <v>1842</v>
      </c>
      <c r="J615" s="50" t="s">
        <v>1842</v>
      </c>
      <c r="K615" s="50" t="str">
        <f t="shared" si="39"/>
        <v>D</v>
      </c>
      <c r="L615" s="50">
        <f t="shared" si="40"/>
        <v>10599.05</v>
      </c>
      <c r="M615" s="124"/>
      <c r="O615" s="67">
        <f>_xlfn.XLOOKUP(B615,'BALANCETE 2022'!B:B,'BALANCETE 2022'!J:J,0)</f>
        <v>23</v>
      </c>
      <c r="P615" t="str">
        <f>_xlfn.XLOOKUP(O615,DRE!B:B,DRE!A:A,0)</f>
        <v>DESPESAS OPERACIONAIS E ADMINISTRATIVAS</v>
      </c>
    </row>
    <row r="616" spans="1:16" x14ac:dyDescent="0.3">
      <c r="A616" t="s">
        <v>1843</v>
      </c>
      <c r="B616" t="s">
        <v>1844</v>
      </c>
      <c r="C616">
        <f t="shared" si="37"/>
        <v>3</v>
      </c>
      <c r="D616" t="str">
        <f t="shared" si="38"/>
        <v>A</v>
      </c>
      <c r="E616" s="115" t="s">
        <v>25</v>
      </c>
      <c r="F616" t="s">
        <v>14</v>
      </c>
      <c r="G616" s="16">
        <v>7462.3</v>
      </c>
      <c r="H616" s="50">
        <v>0</v>
      </c>
      <c r="I616" s="50" t="s">
        <v>1845</v>
      </c>
      <c r="J616" s="50" t="s">
        <v>1845</v>
      </c>
      <c r="K616" s="50" t="str">
        <f t="shared" si="39"/>
        <v>D</v>
      </c>
      <c r="L616" s="50">
        <f t="shared" si="40"/>
        <v>7462.3</v>
      </c>
      <c r="M616" s="124"/>
      <c r="O616" s="67">
        <f>_xlfn.XLOOKUP(B616,'BALANCETE 2022'!B:B,'BALANCETE 2022'!J:J,0)</f>
        <v>23</v>
      </c>
      <c r="P616" t="str">
        <f>_xlfn.XLOOKUP(O616,DRE!B:B,DRE!A:A,0)</f>
        <v>DESPESAS OPERACIONAIS E ADMINISTRATIVAS</v>
      </c>
    </row>
    <row r="617" spans="1:16" x14ac:dyDescent="0.3">
      <c r="A617" t="s">
        <v>1846</v>
      </c>
      <c r="B617" t="s">
        <v>1847</v>
      </c>
      <c r="C617">
        <f t="shared" si="37"/>
        <v>3</v>
      </c>
      <c r="D617" t="str">
        <f t="shared" si="38"/>
        <v>A</v>
      </c>
      <c r="E617" s="115">
        <v>0</v>
      </c>
      <c r="F617" t="s">
        <v>14</v>
      </c>
      <c r="G617" s="16">
        <v>34378.129999999997</v>
      </c>
      <c r="H617" s="50">
        <v>0</v>
      </c>
      <c r="I617" s="50" t="s">
        <v>1848</v>
      </c>
      <c r="J617" s="50" t="s">
        <v>1848</v>
      </c>
      <c r="K617" s="50" t="str">
        <f t="shared" si="39"/>
        <v>D</v>
      </c>
      <c r="L617" s="50">
        <f t="shared" si="40"/>
        <v>34378.129999999997</v>
      </c>
      <c r="M617" s="124"/>
      <c r="O617" s="67">
        <v>23</v>
      </c>
      <c r="P617" t="str">
        <f>_xlfn.XLOOKUP(O617,DRE!B:B,DRE!A:A,0)</f>
        <v>DESPESAS OPERACIONAIS E ADMINISTRATIVAS</v>
      </c>
    </row>
    <row r="618" spans="1:16" x14ac:dyDescent="0.3">
      <c r="A618" t="s">
        <v>1849</v>
      </c>
      <c r="B618" t="s">
        <v>1850</v>
      </c>
      <c r="C618">
        <f t="shared" si="37"/>
        <v>3</v>
      </c>
      <c r="D618" t="str">
        <f t="shared" si="38"/>
        <v>A</v>
      </c>
      <c r="E618" s="115" t="s">
        <v>25</v>
      </c>
      <c r="F618" t="s">
        <v>14</v>
      </c>
      <c r="G618" s="16">
        <v>24775.599999999999</v>
      </c>
      <c r="H618" s="50">
        <v>0</v>
      </c>
      <c r="I618" s="50" t="s">
        <v>1851</v>
      </c>
      <c r="J618" s="50" t="s">
        <v>1851</v>
      </c>
      <c r="K618" s="50" t="str">
        <f t="shared" si="39"/>
        <v>D</v>
      </c>
      <c r="L618" s="50">
        <f t="shared" si="40"/>
        <v>24775.599999999999</v>
      </c>
      <c r="M618" s="124"/>
      <c r="O618" s="67">
        <f>_xlfn.XLOOKUP(B618,'BALANCETE 2022'!B:B,'BALANCETE 2022'!J:J,0)</f>
        <v>23</v>
      </c>
      <c r="P618" t="str">
        <f>_xlfn.XLOOKUP(O618,DRE!B:B,DRE!A:A,0)</f>
        <v>DESPESAS OPERACIONAIS E ADMINISTRATIVAS</v>
      </c>
    </row>
    <row r="619" spans="1:16" x14ac:dyDescent="0.3">
      <c r="A619" t="s">
        <v>1852</v>
      </c>
      <c r="B619" t="s">
        <v>1853</v>
      </c>
      <c r="C619">
        <f t="shared" si="37"/>
        <v>3</v>
      </c>
      <c r="D619" t="str">
        <f t="shared" si="38"/>
        <v>A</v>
      </c>
      <c r="E619" s="115" t="s">
        <v>25</v>
      </c>
      <c r="F619" t="s">
        <v>14</v>
      </c>
      <c r="G619" s="16">
        <v>3147.28</v>
      </c>
      <c r="H619" s="50">
        <v>0</v>
      </c>
      <c r="I619" s="50" t="s">
        <v>1854</v>
      </c>
      <c r="J619" s="50" t="s">
        <v>1854</v>
      </c>
      <c r="K619" s="50" t="str">
        <f t="shared" si="39"/>
        <v>D</v>
      </c>
      <c r="L619" s="50">
        <f t="shared" si="40"/>
        <v>3147.28</v>
      </c>
      <c r="M619" s="124"/>
      <c r="O619" s="67">
        <f>_xlfn.XLOOKUP(B619,'BALANCETE 2022'!B:B,'BALANCETE 2022'!J:J,0)</f>
        <v>23</v>
      </c>
      <c r="P619" t="str">
        <f>_xlfn.XLOOKUP(O619,DRE!B:B,DRE!A:A,0)</f>
        <v>DESPESAS OPERACIONAIS E ADMINISTRATIVAS</v>
      </c>
    </row>
    <row r="620" spans="1:16" x14ac:dyDescent="0.3">
      <c r="A620" t="s">
        <v>1855</v>
      </c>
      <c r="B620" t="s">
        <v>1856</v>
      </c>
      <c r="C620">
        <f t="shared" si="37"/>
        <v>3</v>
      </c>
      <c r="D620" t="str">
        <f t="shared" si="38"/>
        <v>A</v>
      </c>
      <c r="E620" s="115" t="s">
        <v>25</v>
      </c>
      <c r="F620" t="s">
        <v>14</v>
      </c>
      <c r="G620" s="16">
        <v>435868.82</v>
      </c>
      <c r="H620" s="50">
        <v>0</v>
      </c>
      <c r="I620" s="50" t="s">
        <v>1857</v>
      </c>
      <c r="J620" s="50" t="s">
        <v>1857</v>
      </c>
      <c r="K620" s="50" t="str">
        <f t="shared" si="39"/>
        <v>D</v>
      </c>
      <c r="L620" s="50">
        <f t="shared" si="40"/>
        <v>435868.82</v>
      </c>
      <c r="M620" s="124"/>
      <c r="O620" s="67">
        <v>23</v>
      </c>
      <c r="P620" t="str">
        <f>_xlfn.XLOOKUP(O620,DRE!B:B,DRE!A:A,0)</f>
        <v>DESPESAS OPERACIONAIS E ADMINISTRATIVAS</v>
      </c>
    </row>
    <row r="621" spans="1:16" x14ac:dyDescent="0.3">
      <c r="A621" s="1" t="s">
        <v>1858</v>
      </c>
      <c r="B621" s="1" t="s">
        <v>1859</v>
      </c>
      <c r="C621" s="1">
        <f t="shared" si="37"/>
        <v>3</v>
      </c>
      <c r="D621" s="1" t="str">
        <f t="shared" si="38"/>
        <v>s</v>
      </c>
      <c r="E621" s="122" t="s">
        <v>410</v>
      </c>
      <c r="F621" s="1" t="s">
        <v>14</v>
      </c>
      <c r="G621" s="123">
        <v>862189.17</v>
      </c>
      <c r="H621" s="121">
        <v>24185.77</v>
      </c>
      <c r="I621" s="121">
        <v>838003.4</v>
      </c>
      <c r="J621" s="121">
        <v>838003.4</v>
      </c>
      <c r="K621" s="121" t="str">
        <f t="shared" si="39"/>
        <v>4</v>
      </c>
      <c r="L621" s="121">
        <f>(SUBSTITUTE(SUBSTITUTE(J621,"D","",1),"C","",1)+0)*IF(K621=F621,1,-1)</f>
        <v>-838003.4</v>
      </c>
      <c r="M621" s="52" t="s">
        <v>1860</v>
      </c>
      <c r="N621" s="1"/>
      <c r="O621" s="1">
        <f>_xlfn.XLOOKUP(B621,'BALANCETE 2022'!B:B,'BALANCETE 2022'!J:J,0)</f>
        <v>0</v>
      </c>
      <c r="P621" s="1"/>
    </row>
    <row r="622" spans="1:16" x14ac:dyDescent="0.3">
      <c r="A622" t="s">
        <v>1861</v>
      </c>
      <c r="B622" t="s">
        <v>1862</v>
      </c>
      <c r="C622">
        <f t="shared" si="37"/>
        <v>3</v>
      </c>
      <c r="D622" t="str">
        <f t="shared" si="38"/>
        <v>A</v>
      </c>
      <c r="E622" s="115" t="s">
        <v>884</v>
      </c>
      <c r="F622" t="s">
        <v>416</v>
      </c>
      <c r="G622" s="16">
        <v>1187.97</v>
      </c>
      <c r="H622" s="50">
        <v>0</v>
      </c>
      <c r="I622" s="50" t="s">
        <v>1863</v>
      </c>
      <c r="J622" s="50" t="s">
        <v>1863</v>
      </c>
      <c r="K622" s="50" t="str">
        <f t="shared" si="39"/>
        <v>D</v>
      </c>
      <c r="L622" s="50">
        <f t="shared" ref="L622:L627" si="41">(SUBSTITUTE(SUBSTITUTE(J622,"D","",1),"C","",1)+0)</f>
        <v>1187.97</v>
      </c>
      <c r="M622" s="124"/>
      <c r="O622" s="67" t="s">
        <v>1864</v>
      </c>
      <c r="P622" t="str">
        <f>_xlfn.XLOOKUP(O622,DRE!B:B,DRE!A:A,0)</f>
        <v>(-) Despesas Financeiras</v>
      </c>
    </row>
    <row r="623" spans="1:16" x14ac:dyDescent="0.3">
      <c r="A623" t="s">
        <v>1865</v>
      </c>
      <c r="B623" t="s">
        <v>1866</v>
      </c>
      <c r="C623">
        <f t="shared" si="37"/>
        <v>3</v>
      </c>
      <c r="D623" t="str">
        <f t="shared" si="38"/>
        <v>A</v>
      </c>
      <c r="E623" s="115" t="s">
        <v>884</v>
      </c>
      <c r="F623" t="s">
        <v>416</v>
      </c>
      <c r="G623" s="16">
        <v>7268.36</v>
      </c>
      <c r="H623" s="50">
        <v>380.88</v>
      </c>
      <c r="I623" s="50" t="s">
        <v>1867</v>
      </c>
      <c r="J623" s="50" t="s">
        <v>1867</v>
      </c>
      <c r="K623" s="50" t="str">
        <f t="shared" si="39"/>
        <v>D</v>
      </c>
      <c r="L623" s="50">
        <f t="shared" si="41"/>
        <v>6887.48</v>
      </c>
      <c r="M623" s="124"/>
      <c r="O623" s="67" t="str">
        <f>_xlfn.XLOOKUP(B623,'BALANCETE 2022'!B:B,'BALANCETE 2022'!J:J,0)</f>
        <v>25.b</v>
      </c>
      <c r="P623" t="str">
        <f>_xlfn.XLOOKUP(O623,DRE!B:B,DRE!A:A,0)</f>
        <v>(-) Despesas Financeiras</v>
      </c>
    </row>
    <row r="624" spans="1:16" x14ac:dyDescent="0.3">
      <c r="A624" t="s">
        <v>1868</v>
      </c>
      <c r="B624" t="s">
        <v>1869</v>
      </c>
      <c r="C624">
        <f t="shared" si="37"/>
        <v>3</v>
      </c>
      <c r="D624" t="str">
        <f t="shared" si="38"/>
        <v>A</v>
      </c>
      <c r="E624" s="115" t="s">
        <v>25</v>
      </c>
      <c r="F624" t="s">
        <v>14</v>
      </c>
      <c r="G624" s="16">
        <v>454839.4</v>
      </c>
      <c r="H624" s="50">
        <v>0</v>
      </c>
      <c r="I624" s="50" t="s">
        <v>1870</v>
      </c>
      <c r="J624" s="50" t="s">
        <v>1870</v>
      </c>
      <c r="K624" s="50" t="str">
        <f t="shared" si="39"/>
        <v>D</v>
      </c>
      <c r="L624" s="50">
        <f t="shared" si="41"/>
        <v>454839.4</v>
      </c>
      <c r="M624" s="124"/>
      <c r="O624" s="67" t="str">
        <f>_xlfn.XLOOKUP(B624,'BALANCETE 2022'!B:B,'BALANCETE 2022'!J:J,0)</f>
        <v>25.b</v>
      </c>
      <c r="P624" t="str">
        <f>_xlfn.XLOOKUP(O624,DRE!B:B,DRE!A:A,0)</f>
        <v>(-) Despesas Financeiras</v>
      </c>
    </row>
    <row r="625" spans="1:16" x14ac:dyDescent="0.3">
      <c r="A625" t="s">
        <v>1871</v>
      </c>
      <c r="B625" t="s">
        <v>1872</v>
      </c>
      <c r="C625">
        <f t="shared" si="37"/>
        <v>3</v>
      </c>
      <c r="D625" t="str">
        <f t="shared" si="38"/>
        <v>A</v>
      </c>
      <c r="E625" s="115" t="s">
        <v>884</v>
      </c>
      <c r="F625" t="s">
        <v>416</v>
      </c>
      <c r="G625" s="16">
        <v>125790</v>
      </c>
      <c r="H625" s="50">
        <v>0</v>
      </c>
      <c r="I625" s="50" t="s">
        <v>1873</v>
      </c>
      <c r="J625" s="50" t="s">
        <v>1873</v>
      </c>
      <c r="K625" s="50" t="str">
        <f t="shared" si="39"/>
        <v>D</v>
      </c>
      <c r="L625" s="50">
        <f t="shared" si="41"/>
        <v>125790</v>
      </c>
      <c r="M625" s="124"/>
      <c r="O625" s="67" t="s">
        <v>1864</v>
      </c>
      <c r="P625" t="str">
        <f>_xlfn.XLOOKUP(O625,DRE!B:B,DRE!A:A,0)</f>
        <v>(-) Despesas Financeiras</v>
      </c>
    </row>
    <row r="626" spans="1:16" x14ac:dyDescent="0.3">
      <c r="A626" t="s">
        <v>1874</v>
      </c>
      <c r="B626" t="s">
        <v>1875</v>
      </c>
      <c r="C626">
        <f t="shared" si="37"/>
        <v>3</v>
      </c>
      <c r="D626" t="str">
        <f t="shared" si="38"/>
        <v>A</v>
      </c>
      <c r="E626" s="115" t="s">
        <v>884</v>
      </c>
      <c r="F626" t="s">
        <v>416</v>
      </c>
      <c r="G626" s="16">
        <v>401.52</v>
      </c>
      <c r="H626" s="50">
        <v>0.28000000000000003</v>
      </c>
      <c r="I626" s="50" t="s">
        <v>1876</v>
      </c>
      <c r="J626" s="50" t="s">
        <v>1876</v>
      </c>
      <c r="K626" s="50" t="str">
        <f t="shared" si="39"/>
        <v>D</v>
      </c>
      <c r="L626" s="50">
        <f t="shared" si="41"/>
        <v>401.24</v>
      </c>
      <c r="M626" s="124"/>
      <c r="O626" s="67" t="str">
        <f>_xlfn.XLOOKUP(B626,'BALANCETE 2022'!B:B,'BALANCETE 2022'!J:J,0)</f>
        <v>25.b</v>
      </c>
      <c r="P626" t="str">
        <f>_xlfn.XLOOKUP(O626,DRE!B:B,DRE!A:A,0)</f>
        <v>(-) Despesas Financeiras</v>
      </c>
    </row>
    <row r="627" spans="1:16" x14ac:dyDescent="0.3">
      <c r="A627" t="s">
        <v>1877</v>
      </c>
      <c r="B627" t="s">
        <v>1878</v>
      </c>
      <c r="C627">
        <f t="shared" si="37"/>
        <v>3</v>
      </c>
      <c r="D627" t="str">
        <f t="shared" si="38"/>
        <v>A</v>
      </c>
      <c r="E627" s="115" t="s">
        <v>884</v>
      </c>
      <c r="F627" t="s">
        <v>416</v>
      </c>
      <c r="G627" s="16">
        <v>272701.92</v>
      </c>
      <c r="H627" s="50">
        <v>23804.61</v>
      </c>
      <c r="I627" s="50" t="s">
        <v>1879</v>
      </c>
      <c r="J627" s="50" t="s">
        <v>1879</v>
      </c>
      <c r="K627" s="50" t="str">
        <f t="shared" si="39"/>
        <v>D</v>
      </c>
      <c r="L627" s="50">
        <f t="shared" si="41"/>
        <v>248897.31</v>
      </c>
      <c r="M627" s="124"/>
      <c r="O627" s="67" t="str">
        <f>_xlfn.XLOOKUP(B627,'BALANCETE 2022'!B:B,'BALANCETE 2022'!J:J,0)</f>
        <v>25.b</v>
      </c>
      <c r="P627" t="str">
        <f>_xlfn.XLOOKUP(O627,DRE!B:B,DRE!A:A,0)</f>
        <v>(-) Despesas Financeiras</v>
      </c>
    </row>
    <row r="628" spans="1:16" x14ac:dyDescent="0.3">
      <c r="A628" s="1" t="s">
        <v>1880</v>
      </c>
      <c r="B628" s="1" t="s">
        <v>1881</v>
      </c>
      <c r="C628" s="1">
        <f t="shared" si="37"/>
        <v>3</v>
      </c>
      <c r="D628" s="1" t="str">
        <f t="shared" si="38"/>
        <v>s</v>
      </c>
      <c r="E628" s="122" t="s">
        <v>410</v>
      </c>
      <c r="F628" s="1" t="s">
        <v>14</v>
      </c>
      <c r="G628" s="123">
        <v>326437.2</v>
      </c>
      <c r="H628" s="121">
        <v>0.3</v>
      </c>
      <c r="I628" s="121">
        <v>326436.90000000002</v>
      </c>
      <c r="J628" s="121">
        <v>326436.90000000002</v>
      </c>
      <c r="K628" s="121" t="str">
        <f t="shared" si="39"/>
        <v>9</v>
      </c>
      <c r="L628" s="121">
        <f>(SUBSTITUTE(SUBSTITUTE(J628,"D","",1),"C","",1)+0)*IF(K628=F628,1,-1)</f>
        <v>-326436.90000000002</v>
      </c>
      <c r="M628" s="52" t="s">
        <v>1882</v>
      </c>
      <c r="N628" s="1"/>
      <c r="O628" s="1">
        <f>_xlfn.XLOOKUP(B628,'BALANCETE 2022'!B:B,'BALANCETE 2022'!J:J,0)</f>
        <v>0</v>
      </c>
      <c r="P628" s="1"/>
    </row>
    <row r="629" spans="1:16" x14ac:dyDescent="0.3">
      <c r="A629" t="s">
        <v>1883</v>
      </c>
      <c r="B629" t="s">
        <v>1884</v>
      </c>
      <c r="C629">
        <f t="shared" si="37"/>
        <v>3</v>
      </c>
      <c r="D629" t="str">
        <f t="shared" si="38"/>
        <v>A</v>
      </c>
      <c r="E629" s="115" t="s">
        <v>25</v>
      </c>
      <c r="F629" t="s">
        <v>14</v>
      </c>
      <c r="G629" s="16">
        <v>2342.0100000000002</v>
      </c>
      <c r="H629" s="50">
        <v>0</v>
      </c>
      <c r="I629" s="50" t="s">
        <v>1885</v>
      </c>
      <c r="J629" s="50" t="s">
        <v>1885</v>
      </c>
      <c r="K629" s="50" t="str">
        <f t="shared" si="39"/>
        <v>D</v>
      </c>
      <c r="L629" s="50">
        <f t="shared" ref="L629:L634" si="42">(SUBSTITUTE(SUBSTITUTE(J629,"D","",1),"C","",1)+0)</f>
        <v>2342.0100000000002</v>
      </c>
      <c r="M629" s="124"/>
      <c r="O629" s="67">
        <f>_xlfn.XLOOKUP(B629,'BALANCETE 2022'!B:B,'BALANCETE 2022'!J:J,0)</f>
        <v>24</v>
      </c>
      <c r="P629" t="str">
        <f>_xlfn.XLOOKUP(O629,DRE!B:B,DRE!A:A,0)</f>
        <v>DESPESAS TRIBUTARIAS</v>
      </c>
    </row>
    <row r="630" spans="1:16" x14ac:dyDescent="0.3">
      <c r="A630" t="s">
        <v>1886</v>
      </c>
      <c r="B630" t="s">
        <v>1887</v>
      </c>
      <c r="C630">
        <f t="shared" si="37"/>
        <v>3</v>
      </c>
      <c r="D630" t="str">
        <f t="shared" si="38"/>
        <v>A</v>
      </c>
      <c r="E630" s="115" t="s">
        <v>25</v>
      </c>
      <c r="F630" t="s">
        <v>14</v>
      </c>
      <c r="G630" s="16">
        <v>380.58</v>
      </c>
      <c r="H630" s="50">
        <v>0</v>
      </c>
      <c r="I630" s="50" t="s">
        <v>1888</v>
      </c>
      <c r="J630" s="50" t="s">
        <v>1888</v>
      </c>
      <c r="K630" s="50" t="str">
        <f t="shared" si="39"/>
        <v>D</v>
      </c>
      <c r="L630" s="50">
        <f t="shared" si="42"/>
        <v>380.58</v>
      </c>
      <c r="M630" s="124"/>
      <c r="O630" s="67">
        <f>_xlfn.XLOOKUP(B630,'BALANCETE 2022'!B:B,'BALANCETE 2022'!J:J,0)</f>
        <v>24</v>
      </c>
      <c r="P630" t="str">
        <f>_xlfn.XLOOKUP(O630,DRE!B:B,DRE!A:A,0)</f>
        <v>DESPESAS TRIBUTARIAS</v>
      </c>
    </row>
    <row r="631" spans="1:16" x14ac:dyDescent="0.3">
      <c r="A631" t="s">
        <v>1889</v>
      </c>
      <c r="B631" t="s">
        <v>1890</v>
      </c>
      <c r="C631">
        <f t="shared" si="37"/>
        <v>3</v>
      </c>
      <c r="D631" t="str">
        <f t="shared" si="38"/>
        <v>A</v>
      </c>
      <c r="E631" s="115" t="s">
        <v>25</v>
      </c>
      <c r="F631" t="s">
        <v>14</v>
      </c>
      <c r="G631" s="16">
        <v>14443.91</v>
      </c>
      <c r="H631" s="50">
        <v>0</v>
      </c>
      <c r="I631" s="50" t="s">
        <v>1891</v>
      </c>
      <c r="J631" s="50" t="s">
        <v>1891</v>
      </c>
      <c r="K631" s="50" t="str">
        <f t="shared" si="39"/>
        <v>D</v>
      </c>
      <c r="L631" s="50">
        <f t="shared" si="42"/>
        <v>14443.91</v>
      </c>
      <c r="M631" s="124"/>
      <c r="O631" s="67">
        <f>_xlfn.XLOOKUP(B631,'BALANCETE 2022'!B:B,'BALANCETE 2022'!J:J,0)</f>
        <v>24</v>
      </c>
      <c r="P631" t="str">
        <f>_xlfn.XLOOKUP(O631,DRE!B:B,DRE!A:A,0)</f>
        <v>DESPESAS TRIBUTARIAS</v>
      </c>
    </row>
    <row r="632" spans="1:16" x14ac:dyDescent="0.3">
      <c r="A632" t="s">
        <v>1892</v>
      </c>
      <c r="B632" t="s">
        <v>1893</v>
      </c>
      <c r="C632">
        <f t="shared" si="37"/>
        <v>3</v>
      </c>
      <c r="D632" t="str">
        <f t="shared" si="38"/>
        <v>A</v>
      </c>
      <c r="E632" s="115" t="s">
        <v>25</v>
      </c>
      <c r="F632" t="s">
        <v>14</v>
      </c>
      <c r="G632" s="16">
        <v>117184.62</v>
      </c>
      <c r="H632" s="50">
        <v>0</v>
      </c>
      <c r="I632" s="50" t="s">
        <v>1894</v>
      </c>
      <c r="J632" s="50" t="s">
        <v>1894</v>
      </c>
      <c r="K632" s="50" t="str">
        <f t="shared" si="39"/>
        <v>D</v>
      </c>
      <c r="L632" s="50">
        <f t="shared" si="42"/>
        <v>117184.62</v>
      </c>
      <c r="M632" s="124"/>
      <c r="O632" s="67">
        <f>_xlfn.XLOOKUP(B632,'BALANCETE 2022'!B:B,'BALANCETE 2022'!J:J,0)</f>
        <v>24</v>
      </c>
      <c r="P632" t="str">
        <f>_xlfn.XLOOKUP(O632,DRE!B:B,DRE!A:A,0)</f>
        <v>DESPESAS TRIBUTARIAS</v>
      </c>
    </row>
    <row r="633" spans="1:16" x14ac:dyDescent="0.3">
      <c r="A633" t="s">
        <v>1895</v>
      </c>
      <c r="B633" t="s">
        <v>1896</v>
      </c>
      <c r="C633">
        <f t="shared" si="37"/>
        <v>3</v>
      </c>
      <c r="D633" t="str">
        <f t="shared" si="38"/>
        <v>A</v>
      </c>
      <c r="E633" s="115" t="s">
        <v>25</v>
      </c>
      <c r="F633" t="s">
        <v>14</v>
      </c>
      <c r="G633" s="16">
        <v>29552.080000000002</v>
      </c>
      <c r="H633" s="50">
        <v>0</v>
      </c>
      <c r="I633" s="50" t="s">
        <v>1897</v>
      </c>
      <c r="J633" s="50" t="s">
        <v>1897</v>
      </c>
      <c r="K633" s="50" t="str">
        <f t="shared" si="39"/>
        <v>D</v>
      </c>
      <c r="L633" s="50">
        <f t="shared" si="42"/>
        <v>29552.080000000002</v>
      </c>
      <c r="M633" s="124"/>
      <c r="O633" s="67">
        <f>_xlfn.XLOOKUP(B633,'BALANCETE 2022'!B:B,'BALANCETE 2022'!J:J,0)</f>
        <v>24</v>
      </c>
      <c r="P633" t="str">
        <f>_xlfn.XLOOKUP(O633,DRE!B:B,DRE!A:A,0)</f>
        <v>DESPESAS TRIBUTARIAS</v>
      </c>
    </row>
    <row r="634" spans="1:16" x14ac:dyDescent="0.3">
      <c r="A634" t="s">
        <v>1898</v>
      </c>
      <c r="B634" t="s">
        <v>1899</v>
      </c>
      <c r="C634">
        <f t="shared" si="37"/>
        <v>3</v>
      </c>
      <c r="D634" t="str">
        <f t="shared" si="38"/>
        <v>A</v>
      </c>
      <c r="E634" s="115" t="s">
        <v>25</v>
      </c>
      <c r="F634" t="s">
        <v>14</v>
      </c>
      <c r="G634" s="16">
        <v>162534</v>
      </c>
      <c r="H634" s="50">
        <v>0.3</v>
      </c>
      <c r="I634" s="50" t="s">
        <v>1900</v>
      </c>
      <c r="J634" s="50" t="s">
        <v>1900</v>
      </c>
      <c r="K634" s="50" t="str">
        <f t="shared" si="39"/>
        <v>D</v>
      </c>
      <c r="L634" s="50">
        <f t="shared" si="42"/>
        <v>162533.70000000001</v>
      </c>
      <c r="M634" s="124"/>
      <c r="O634" s="67">
        <f>_xlfn.XLOOKUP(B634,'BALANCETE 2022'!B:B,'BALANCETE 2022'!J:J,0)</f>
        <v>24</v>
      </c>
      <c r="P634" t="str">
        <f>_xlfn.XLOOKUP(O634,DRE!B:B,DRE!A:A,0)</f>
        <v>DESPESAS TRIBUTARIAS</v>
      </c>
    </row>
    <row r="635" spans="1:16" x14ac:dyDescent="0.3">
      <c r="A635" s="51" t="s">
        <v>1901</v>
      </c>
      <c r="B635" s="51" t="s">
        <v>1902</v>
      </c>
      <c r="C635" s="51">
        <f t="shared" si="37"/>
        <v>4</v>
      </c>
      <c r="D635" s="1" t="str">
        <f t="shared" si="38"/>
        <v>s</v>
      </c>
      <c r="E635" s="118" t="s">
        <v>1536</v>
      </c>
      <c r="F635" s="51" t="s">
        <v>416</v>
      </c>
      <c r="G635" s="119">
        <v>2541922.4500000002</v>
      </c>
      <c r="H635" s="120">
        <v>33257648.23</v>
      </c>
      <c r="I635" s="120">
        <v>30715725.780000001</v>
      </c>
      <c r="J635" s="120">
        <v>30715725.780000001</v>
      </c>
      <c r="K635" s="121" t="str">
        <f t="shared" si="39"/>
        <v>8</v>
      </c>
      <c r="L635" s="120">
        <f>(SUBSTITUTE(SUBSTITUTE(J635,"D","",1),"C","",1)+0)*IF(K635=F635,1,-1)</f>
        <v>-30715725.780000001</v>
      </c>
      <c r="N635" s="1"/>
      <c r="O635" s="1">
        <f>_xlfn.XLOOKUP(B635,'BALANCETE 2022'!B:B,'BALANCETE 2022'!J:J,0)</f>
        <v>0</v>
      </c>
      <c r="P635" s="1"/>
    </row>
    <row r="636" spans="1:16" x14ac:dyDescent="0.3">
      <c r="A636" s="1" t="s">
        <v>1903</v>
      </c>
      <c r="B636" s="1" t="s">
        <v>1904</v>
      </c>
      <c r="C636" s="1">
        <f t="shared" si="37"/>
        <v>4</v>
      </c>
      <c r="D636" s="1" t="str">
        <f t="shared" si="38"/>
        <v>s</v>
      </c>
      <c r="E636" s="122">
        <v>0</v>
      </c>
      <c r="F636" s="1" t="s">
        <v>416</v>
      </c>
      <c r="G636" s="123">
        <v>6850</v>
      </c>
      <c r="H636" s="121">
        <v>21938746.68</v>
      </c>
      <c r="I636" s="121">
        <v>21931896.68</v>
      </c>
      <c r="J636" s="121">
        <v>21931896.68</v>
      </c>
      <c r="K636" s="121" t="str">
        <f t="shared" si="39"/>
        <v>8</v>
      </c>
      <c r="L636" s="121">
        <f>(SUBSTITUTE(SUBSTITUTE(J636,"D","",1),"C","",1)+0)*IF(K636=F636,1,-1)</f>
        <v>-21931896.68</v>
      </c>
      <c r="M636" s="52" t="s">
        <v>1905</v>
      </c>
      <c r="N636" s="1"/>
      <c r="O636" s="1">
        <f>_xlfn.XLOOKUP(B636,'BALANCETE 2022'!B:B,'BALANCETE 2022'!J:J,0)</f>
        <v>0</v>
      </c>
      <c r="P636" s="1"/>
    </row>
    <row r="637" spans="1:16" x14ac:dyDescent="0.3">
      <c r="A637" s="1" t="s">
        <v>1906</v>
      </c>
      <c r="B637" s="1" t="s">
        <v>1907</v>
      </c>
      <c r="C637" s="1">
        <f t="shared" si="37"/>
        <v>4</v>
      </c>
      <c r="D637" s="1" t="str">
        <f t="shared" si="38"/>
        <v>s</v>
      </c>
      <c r="E637" s="122" t="s">
        <v>1536</v>
      </c>
      <c r="F637" s="1" t="s">
        <v>416</v>
      </c>
      <c r="G637" s="123">
        <v>6850</v>
      </c>
      <c r="H637" s="121">
        <v>21854856.949999999</v>
      </c>
      <c r="I637" s="121" t="s">
        <v>1908</v>
      </c>
      <c r="J637" s="121" t="s">
        <v>1908</v>
      </c>
      <c r="K637" s="121" t="str">
        <f t="shared" si="39"/>
        <v>C</v>
      </c>
      <c r="L637" s="121">
        <f>(SUBSTITUTE(SUBSTITUTE(J637,"D","",1),"C","",1)+0)*IF(K637=F637,1,-1)</f>
        <v>21848006.949999999</v>
      </c>
      <c r="N637" s="1"/>
      <c r="O637" s="1">
        <f>_xlfn.XLOOKUP(B637,'BALANCETE 2022'!B:B,'BALANCETE 2022'!J:J,0)</f>
        <v>0</v>
      </c>
      <c r="P637" s="1"/>
    </row>
    <row r="638" spans="1:16" x14ac:dyDescent="0.3">
      <c r="A638" s="1" t="s">
        <v>1909</v>
      </c>
      <c r="B638" s="1" t="s">
        <v>1910</v>
      </c>
      <c r="C638" s="1">
        <f t="shared" si="37"/>
        <v>4</v>
      </c>
      <c r="D638" s="1" t="str">
        <f t="shared" si="38"/>
        <v>s</v>
      </c>
      <c r="E638" s="122" t="s">
        <v>1536</v>
      </c>
      <c r="F638" s="1" t="s">
        <v>416</v>
      </c>
      <c r="G638" s="123">
        <v>6850</v>
      </c>
      <c r="H638" s="121">
        <v>21854856.949999999</v>
      </c>
      <c r="I638" s="121" t="s">
        <v>1908</v>
      </c>
      <c r="J638" s="121" t="s">
        <v>1908</v>
      </c>
      <c r="K638" s="121" t="str">
        <f t="shared" si="39"/>
        <v>C</v>
      </c>
      <c r="L638" s="121">
        <f>(SUBSTITUTE(SUBSTITUTE(J638,"D","",1),"C","",1)+0)*IF(K638=F638,1,-1)</f>
        <v>21848006.949999999</v>
      </c>
      <c r="N638" s="1"/>
      <c r="O638" s="1">
        <f>_xlfn.XLOOKUP(B638,'BALANCETE 2022'!B:B,'BALANCETE 2022'!J:J,0)</f>
        <v>0</v>
      </c>
      <c r="P638" s="1"/>
    </row>
    <row r="639" spans="1:16" x14ac:dyDescent="0.3">
      <c r="A639" t="s">
        <v>1911</v>
      </c>
      <c r="B639" t="s">
        <v>1912</v>
      </c>
      <c r="C639">
        <f t="shared" si="37"/>
        <v>4</v>
      </c>
      <c r="D639" t="str">
        <f t="shared" si="38"/>
        <v>A</v>
      </c>
      <c r="E639" s="115" t="s">
        <v>884</v>
      </c>
      <c r="F639" t="s">
        <v>416</v>
      </c>
      <c r="G639" s="16">
        <v>6850</v>
      </c>
      <c r="H639" s="50">
        <v>13173940.699999999</v>
      </c>
      <c r="I639" s="50" t="s">
        <v>1913</v>
      </c>
      <c r="J639" s="50" t="s">
        <v>1913</v>
      </c>
      <c r="K639" s="50" t="str">
        <f t="shared" si="39"/>
        <v>C</v>
      </c>
      <c r="L639" s="50">
        <f>(SUBSTITUTE(SUBSTITUTE(J639,"D","",1),"C","",1)+0)</f>
        <v>13167090.699999999</v>
      </c>
      <c r="M639" s="124"/>
      <c r="O639" s="67" t="str">
        <f>_xlfn.XLOOKUP(B639,'BALANCETE 2022'!B:B,'BALANCETE 2022'!J:J,0)</f>
        <v>21.a</v>
      </c>
      <c r="P639" t="str">
        <f>_xlfn.XLOOKUP(O639,DRE!B:B,DRE!A:A,0)</f>
        <v>RECEITAS OPERACIONAIS</v>
      </c>
    </row>
    <row r="640" spans="1:16" x14ac:dyDescent="0.3">
      <c r="A640" t="s">
        <v>1914</v>
      </c>
      <c r="B640" t="s">
        <v>1915</v>
      </c>
      <c r="C640">
        <f t="shared" si="37"/>
        <v>4</v>
      </c>
      <c r="D640" t="str">
        <f t="shared" si="38"/>
        <v>A</v>
      </c>
      <c r="E640" s="115" t="s">
        <v>884</v>
      </c>
      <c r="F640" t="s">
        <v>416</v>
      </c>
      <c r="G640" s="16">
        <v>0</v>
      </c>
      <c r="H640" s="50">
        <v>8680916.25</v>
      </c>
      <c r="I640" s="50" t="s">
        <v>1916</v>
      </c>
      <c r="J640" s="50" t="s">
        <v>1916</v>
      </c>
      <c r="K640" s="50" t="str">
        <f t="shared" si="39"/>
        <v>C</v>
      </c>
      <c r="L640" s="50">
        <f>(SUBSTITUTE(SUBSTITUTE(J640,"D","",1),"C","",1)+0)</f>
        <v>8680916.25</v>
      </c>
      <c r="M640" s="124"/>
      <c r="O640" s="67" t="str">
        <f>_xlfn.XLOOKUP(B640,'BALANCETE 2022'!B:B,'BALANCETE 2022'!J:J,0)</f>
        <v>21.a</v>
      </c>
      <c r="P640" t="str">
        <f>_xlfn.XLOOKUP(O640,DRE!B:B,DRE!A:A,0)</f>
        <v>RECEITAS OPERACIONAIS</v>
      </c>
    </row>
    <row r="641" spans="1:16" x14ac:dyDescent="0.3">
      <c r="A641" s="1" t="s">
        <v>1917</v>
      </c>
      <c r="B641" s="1" t="s">
        <v>1918</v>
      </c>
      <c r="C641" s="1">
        <f t="shared" si="37"/>
        <v>4</v>
      </c>
      <c r="D641" s="1" t="str">
        <f t="shared" si="38"/>
        <v>s</v>
      </c>
      <c r="E641" s="122" t="s">
        <v>1536</v>
      </c>
      <c r="F641" s="1" t="s">
        <v>416</v>
      </c>
      <c r="G641" s="123">
        <v>0</v>
      </c>
      <c r="H641" s="121">
        <v>83889.73</v>
      </c>
      <c r="I641" s="121" t="s">
        <v>1919</v>
      </c>
      <c r="J641" s="121" t="s">
        <v>1919</v>
      </c>
      <c r="K641" s="121" t="str">
        <f t="shared" si="39"/>
        <v>C</v>
      </c>
      <c r="L641" s="121">
        <f>(SUBSTITUTE(SUBSTITUTE(J641,"D","",1),"C","",1)+0)*IF(K641=F641,1,-1)</f>
        <v>83889.73</v>
      </c>
      <c r="N641" s="1"/>
      <c r="O641" s="1">
        <f>_xlfn.XLOOKUP(B641,'BALANCETE 2022'!B:B,'BALANCETE 2022'!J:J,0)</f>
        <v>0</v>
      </c>
      <c r="P641" s="1"/>
    </row>
    <row r="642" spans="1:16" x14ac:dyDescent="0.3">
      <c r="A642" s="1" t="s">
        <v>1920</v>
      </c>
      <c r="B642" s="1" t="s">
        <v>1921</v>
      </c>
      <c r="C642" s="1">
        <f t="shared" si="37"/>
        <v>4</v>
      </c>
      <c r="D642" s="1" t="str">
        <f t="shared" si="38"/>
        <v>s</v>
      </c>
      <c r="E642" s="122" t="s">
        <v>1536</v>
      </c>
      <c r="F642" s="1" t="s">
        <v>416</v>
      </c>
      <c r="G642" s="123">
        <v>0</v>
      </c>
      <c r="H642" s="121">
        <v>83889.73</v>
      </c>
      <c r="I642" s="121" t="s">
        <v>1919</v>
      </c>
      <c r="J642" s="121" t="s">
        <v>1919</v>
      </c>
      <c r="K642" s="121" t="str">
        <f t="shared" si="39"/>
        <v>C</v>
      </c>
      <c r="L642" s="121">
        <f>(SUBSTITUTE(SUBSTITUTE(J642,"D","",1),"C","",1)+0)*IF(K642=F642,1,-1)</f>
        <v>83889.73</v>
      </c>
      <c r="N642" s="1"/>
      <c r="O642" s="1">
        <f>_xlfn.XLOOKUP(B642,'BALANCETE 2022'!B:B,'BALANCETE 2022'!J:J,0)</f>
        <v>0</v>
      </c>
      <c r="P642" s="1"/>
    </row>
    <row r="643" spans="1:16" x14ac:dyDescent="0.3">
      <c r="A643" t="s">
        <v>1922</v>
      </c>
      <c r="B643" t="s">
        <v>1923</v>
      </c>
      <c r="C643">
        <f t="shared" si="37"/>
        <v>4</v>
      </c>
      <c r="D643" t="str">
        <f t="shared" si="38"/>
        <v>A</v>
      </c>
      <c r="E643" s="115" t="s">
        <v>884</v>
      </c>
      <c r="F643" t="s">
        <v>416</v>
      </c>
      <c r="G643" s="16">
        <v>0</v>
      </c>
      <c r="H643" s="50">
        <v>83889.73</v>
      </c>
      <c r="I643" s="50" t="s">
        <v>1919</v>
      </c>
      <c r="J643" s="50" t="s">
        <v>1919</v>
      </c>
      <c r="K643" s="50" t="str">
        <f t="shared" si="39"/>
        <v>C</v>
      </c>
      <c r="L643" s="50">
        <f>(SUBSTITUTE(SUBSTITUTE(J643,"D","",1),"C","",1)+0)</f>
        <v>83889.73</v>
      </c>
      <c r="M643" s="124"/>
      <c r="O643" s="67" t="s">
        <v>1924</v>
      </c>
      <c r="P643" t="str">
        <f>_xlfn.XLOOKUP(O643,DRE!B:B,DRE!A:A,0)</f>
        <v>RECEITAS OPERACIONAIS</v>
      </c>
    </row>
    <row r="644" spans="1:16" x14ac:dyDescent="0.3">
      <c r="A644" s="1" t="s">
        <v>1925</v>
      </c>
      <c r="B644" s="1" t="s">
        <v>1926</v>
      </c>
      <c r="C644" s="1">
        <f t="shared" si="37"/>
        <v>4</v>
      </c>
      <c r="D644" s="1" t="str">
        <f t="shared" si="38"/>
        <v>s</v>
      </c>
      <c r="E644" s="122">
        <v>0</v>
      </c>
      <c r="F644" s="1" t="s">
        <v>416</v>
      </c>
      <c r="G644" s="123">
        <v>373268.05</v>
      </c>
      <c r="H644" s="121">
        <v>11306648.09</v>
      </c>
      <c r="I644" s="121">
        <v>10933380.039999999</v>
      </c>
      <c r="J644" s="121">
        <v>10933380.039999999</v>
      </c>
      <c r="K644" s="121" t="str">
        <f t="shared" si="39"/>
        <v>4</v>
      </c>
      <c r="L644" s="121">
        <f>(SUBSTITUTE(SUBSTITUTE(J644,"D","",1),"C","",1)+0)*IF(K644=F644,1,-1)</f>
        <v>-10933380.039999999</v>
      </c>
      <c r="M644" s="52" t="s">
        <v>1927</v>
      </c>
      <c r="N644" s="1"/>
      <c r="O644" s="1">
        <f>_xlfn.XLOOKUP(B644,'BALANCETE 2022'!B:B,'BALANCETE 2022'!J:J,0)</f>
        <v>0</v>
      </c>
      <c r="P644" s="1"/>
    </row>
    <row r="645" spans="1:16" x14ac:dyDescent="0.3">
      <c r="A645" s="1" t="s">
        <v>1928</v>
      </c>
      <c r="B645" s="1" t="s">
        <v>1929</v>
      </c>
      <c r="C645" s="1">
        <f t="shared" si="37"/>
        <v>4</v>
      </c>
      <c r="D645" s="1" t="str">
        <f t="shared" si="38"/>
        <v>s</v>
      </c>
      <c r="E645" s="122" t="s">
        <v>1536</v>
      </c>
      <c r="F645" s="1" t="s">
        <v>416</v>
      </c>
      <c r="G645" s="123">
        <v>0</v>
      </c>
      <c r="H645" s="121">
        <v>481407.5</v>
      </c>
      <c r="I645" s="121" t="s">
        <v>1930</v>
      </c>
      <c r="J645" s="121" t="s">
        <v>1930</v>
      </c>
      <c r="K645" s="121" t="str">
        <f t="shared" si="39"/>
        <v>C</v>
      </c>
      <c r="L645" s="121">
        <f>(SUBSTITUTE(SUBSTITUTE(J645,"D","",1),"C","",1)+0)*IF(K645=F645,1,-1)</f>
        <v>481407.5</v>
      </c>
      <c r="N645" s="1"/>
      <c r="O645" s="1">
        <f>_xlfn.XLOOKUP(B645,'BALANCETE 2022'!B:B,'BALANCETE 2022'!J:J,0)</f>
        <v>0</v>
      </c>
      <c r="P645" s="1"/>
    </row>
    <row r="646" spans="1:16" x14ac:dyDescent="0.3">
      <c r="A646" s="1" t="s">
        <v>1931</v>
      </c>
      <c r="B646" s="1" t="s">
        <v>1932</v>
      </c>
      <c r="C646" s="1">
        <f t="shared" si="37"/>
        <v>4</v>
      </c>
      <c r="D646" s="1" t="str">
        <f t="shared" si="38"/>
        <v>s</v>
      </c>
      <c r="E646" s="122" t="s">
        <v>1536</v>
      </c>
      <c r="F646" s="1" t="s">
        <v>416</v>
      </c>
      <c r="G646" s="123">
        <v>0</v>
      </c>
      <c r="H646" s="121">
        <v>481407.5</v>
      </c>
      <c r="I646" s="121" t="s">
        <v>1930</v>
      </c>
      <c r="J646" s="121" t="s">
        <v>1930</v>
      </c>
      <c r="K646" s="121" t="str">
        <f t="shared" si="39"/>
        <v>C</v>
      </c>
      <c r="L646" s="121">
        <f>(SUBSTITUTE(SUBSTITUTE(J646,"D","",1),"C","",1)+0)*IF(K646=F646,1,-1)</f>
        <v>481407.5</v>
      </c>
      <c r="N646" s="1"/>
      <c r="O646" s="1">
        <f>_xlfn.XLOOKUP(B646,'BALANCETE 2022'!B:B,'BALANCETE 2022'!J:J,0)</f>
        <v>0</v>
      </c>
      <c r="P646" s="1"/>
    </row>
    <row r="647" spans="1:16" x14ac:dyDescent="0.3">
      <c r="A647" t="s">
        <v>1933</v>
      </c>
      <c r="B647" t="s">
        <v>1934</v>
      </c>
      <c r="C647">
        <f t="shared" si="37"/>
        <v>4</v>
      </c>
      <c r="D647" t="str">
        <f t="shared" si="38"/>
        <v>A</v>
      </c>
      <c r="E647" s="115" t="s">
        <v>884</v>
      </c>
      <c r="F647" t="s">
        <v>416</v>
      </c>
      <c r="G647" s="16">
        <v>0</v>
      </c>
      <c r="H647" s="50">
        <v>481407.5</v>
      </c>
      <c r="I647" s="50" t="s">
        <v>1930</v>
      </c>
      <c r="J647" s="50" t="s">
        <v>1930</v>
      </c>
      <c r="K647" s="50" t="str">
        <f t="shared" si="39"/>
        <v>C</v>
      </c>
      <c r="L647" s="50">
        <f>(SUBSTITUTE(SUBSTITUTE(J647,"D","",1),"C","",1)+0)</f>
        <v>481407.5</v>
      </c>
      <c r="M647" s="124"/>
      <c r="O647" s="67" t="str">
        <f>_xlfn.XLOOKUP(B647,'BALANCETE 2022'!B:B,'BALANCETE 2022'!J:J,0)</f>
        <v>21.b</v>
      </c>
      <c r="P647" t="str">
        <f>_xlfn.XLOOKUP(O647,DRE!B:B,DRE!A:A,0)</f>
        <v>Outras receitas</v>
      </c>
    </row>
    <row r="648" spans="1:16" x14ac:dyDescent="0.3">
      <c r="A648" s="1" t="s">
        <v>1935</v>
      </c>
      <c r="B648" s="1" t="s">
        <v>1936</v>
      </c>
      <c r="C648" s="1">
        <f t="shared" si="37"/>
        <v>4</v>
      </c>
      <c r="D648" s="1" t="str">
        <f t="shared" si="38"/>
        <v>s</v>
      </c>
      <c r="E648" s="122" t="s">
        <v>1536</v>
      </c>
      <c r="F648" s="1" t="s">
        <v>416</v>
      </c>
      <c r="G648" s="123">
        <v>9257.16</v>
      </c>
      <c r="H648" s="121">
        <v>9534.66</v>
      </c>
      <c r="I648" s="121" t="s">
        <v>1937</v>
      </c>
      <c r="J648" s="121" t="s">
        <v>1937</v>
      </c>
      <c r="K648" s="121" t="str">
        <f t="shared" si="39"/>
        <v>C</v>
      </c>
      <c r="L648" s="121">
        <f>(SUBSTITUTE(SUBSTITUTE(J648,"D","",1),"C","",1)+0)*IF(K648=F648,1,-1)</f>
        <v>277.5</v>
      </c>
      <c r="N648" s="1"/>
      <c r="O648" s="1">
        <f>_xlfn.XLOOKUP(B648,'BALANCETE 2022'!B:B,'BALANCETE 2022'!J:J,0)</f>
        <v>0</v>
      </c>
      <c r="P648" s="1"/>
    </row>
    <row r="649" spans="1:16" x14ac:dyDescent="0.3">
      <c r="A649" s="1" t="s">
        <v>1938</v>
      </c>
      <c r="B649" s="1" t="s">
        <v>1939</v>
      </c>
      <c r="C649" s="1">
        <f t="shared" si="37"/>
        <v>4</v>
      </c>
      <c r="D649" s="1" t="str">
        <f t="shared" si="38"/>
        <v>s</v>
      </c>
      <c r="E649" s="122">
        <v>0</v>
      </c>
      <c r="F649" s="1" t="s">
        <v>416</v>
      </c>
      <c r="G649" s="123">
        <v>9257.16</v>
      </c>
      <c r="H649" s="121">
        <v>9534.66</v>
      </c>
      <c r="I649" s="121" t="s">
        <v>1937</v>
      </c>
      <c r="J649" s="121" t="s">
        <v>1937</v>
      </c>
      <c r="K649" s="121" t="str">
        <f t="shared" si="39"/>
        <v>C</v>
      </c>
      <c r="L649" s="121">
        <f>(SUBSTITUTE(SUBSTITUTE(J649,"D","",1),"C","",1)+0)*IF(K649=F649,1,-1)</f>
        <v>277.5</v>
      </c>
      <c r="N649" s="1"/>
      <c r="O649" s="1">
        <f>_xlfn.XLOOKUP(B649,'BALANCETE 2022'!B:B,'BALANCETE 2022'!J:J,0)</f>
        <v>0</v>
      </c>
      <c r="P649" s="1"/>
    </row>
    <row r="650" spans="1:16" x14ac:dyDescent="0.3">
      <c r="A650" t="s">
        <v>1940</v>
      </c>
      <c r="B650" t="s">
        <v>1941</v>
      </c>
      <c r="C650">
        <f t="shared" ref="C650:C693" si="43">(LEFT(SUBSTITUTE(B650,"[",""),1))+0</f>
        <v>4</v>
      </c>
      <c r="D650" t="str">
        <f t="shared" ref="D650:D693" si="44">IF((LEN(B650)+0)&lt;15,"s","A")</f>
        <v>A</v>
      </c>
      <c r="E650" s="115">
        <v>0</v>
      </c>
      <c r="F650" t="s">
        <v>416</v>
      </c>
      <c r="G650" s="16">
        <v>9257.16</v>
      </c>
      <c r="H650" s="50">
        <v>9534.66</v>
      </c>
      <c r="I650" s="50" t="s">
        <v>1937</v>
      </c>
      <c r="J650" s="50" t="s">
        <v>1937</v>
      </c>
      <c r="K650" s="50" t="str">
        <f t="shared" ref="K650:K693" si="45">RIGHT(J650)</f>
        <v>C</v>
      </c>
      <c r="L650" s="50">
        <f>(SUBSTITUTE(SUBSTITUTE(J650,"D","",1),"C","",1)+0)</f>
        <v>277.5</v>
      </c>
      <c r="M650" s="124"/>
      <c r="O650" s="67" t="str">
        <f>_xlfn.XLOOKUP(B650,'BALANCETE 2022'!B:B,'BALANCETE 2022'!J:J,0)</f>
        <v>21.b</v>
      </c>
      <c r="P650" t="str">
        <f>_xlfn.XLOOKUP(O650,DRE!B:B,DRE!A:A,0)</f>
        <v>Outras receitas</v>
      </c>
    </row>
    <row r="651" spans="1:16" x14ac:dyDescent="0.3">
      <c r="A651" s="1" t="s">
        <v>1942</v>
      </c>
      <c r="B651" s="1" t="s">
        <v>1943</v>
      </c>
      <c r="C651" s="1">
        <f t="shared" si="43"/>
        <v>4</v>
      </c>
      <c r="D651" s="1" t="str">
        <f t="shared" si="44"/>
        <v>s</v>
      </c>
      <c r="E651" s="122" t="s">
        <v>1536</v>
      </c>
      <c r="F651" s="1" t="s">
        <v>416</v>
      </c>
      <c r="G651" s="123">
        <v>361288.29</v>
      </c>
      <c r="H651" s="121">
        <v>10752233.51</v>
      </c>
      <c r="I651" s="121" t="s">
        <v>1944</v>
      </c>
      <c r="J651" s="121" t="s">
        <v>1944</v>
      </c>
      <c r="K651" s="121" t="str">
        <f t="shared" si="45"/>
        <v>C</v>
      </c>
      <c r="L651" s="121">
        <f>(SUBSTITUTE(SUBSTITUTE(J651,"D","",1),"C","",1)+0)*IF(K651=F651,1,-1)</f>
        <v>10390945.220000001</v>
      </c>
      <c r="N651" s="1"/>
      <c r="O651" s="1">
        <f>_xlfn.XLOOKUP(B651,'BALANCETE 2022'!B:B,'BALANCETE 2022'!J:J,0)</f>
        <v>0</v>
      </c>
      <c r="P651" s="1"/>
    </row>
    <row r="652" spans="1:16" x14ac:dyDescent="0.3">
      <c r="A652" s="1" t="s">
        <v>1945</v>
      </c>
      <c r="B652" s="1" t="s">
        <v>1946</v>
      </c>
      <c r="C652" s="1">
        <f t="shared" si="43"/>
        <v>4</v>
      </c>
      <c r="D652" s="1" t="str">
        <f t="shared" si="44"/>
        <v>s</v>
      </c>
      <c r="E652" s="122" t="s">
        <v>1536</v>
      </c>
      <c r="F652" s="1" t="s">
        <v>416</v>
      </c>
      <c r="G652" s="123">
        <v>0</v>
      </c>
      <c r="H652" s="121">
        <v>2280</v>
      </c>
      <c r="I652" s="121" t="s">
        <v>1947</v>
      </c>
      <c r="J652" s="121" t="s">
        <v>1947</v>
      </c>
      <c r="K652" s="121" t="str">
        <f t="shared" si="45"/>
        <v>C</v>
      </c>
      <c r="L652" s="121">
        <f>(SUBSTITUTE(SUBSTITUTE(J652,"D","",1),"C","",1)+0)*IF(K652=F652,1,-1)</f>
        <v>2280</v>
      </c>
      <c r="N652" s="1"/>
      <c r="O652" s="1">
        <f>_xlfn.XLOOKUP(B652,'BALANCETE 2022'!B:B,'BALANCETE 2022'!J:J,0)</f>
        <v>0</v>
      </c>
      <c r="P652" s="1"/>
    </row>
    <row r="653" spans="1:16" x14ac:dyDescent="0.3">
      <c r="A653" t="s">
        <v>1948</v>
      </c>
      <c r="B653" t="s">
        <v>1949</v>
      </c>
      <c r="C653">
        <f t="shared" si="43"/>
        <v>4</v>
      </c>
      <c r="D653" t="str">
        <f t="shared" si="44"/>
        <v>A</v>
      </c>
      <c r="E653" s="115" t="s">
        <v>25</v>
      </c>
      <c r="F653" t="s">
        <v>416</v>
      </c>
      <c r="G653" s="16">
        <v>0</v>
      </c>
      <c r="H653" s="50">
        <v>2280</v>
      </c>
      <c r="I653" s="50" t="s">
        <v>1947</v>
      </c>
      <c r="J653" s="50" t="s">
        <v>1947</v>
      </c>
      <c r="K653" s="50" t="str">
        <f t="shared" si="45"/>
        <v>C</v>
      </c>
      <c r="L653" s="50">
        <f>(SUBSTITUTE(SUBSTITUTE(J653,"D","",1),"C","",1)+0)</f>
        <v>2280</v>
      </c>
      <c r="M653" s="124"/>
      <c r="O653" s="67" t="str">
        <f>_xlfn.XLOOKUP(B653,'BALANCETE 2022'!B:B,'BALANCETE 2022'!J:J,0)</f>
        <v>21.b</v>
      </c>
      <c r="P653" t="str">
        <f>_xlfn.XLOOKUP(O653,DRE!B:B,DRE!A:A,0)</f>
        <v>Outras receitas</v>
      </c>
    </row>
    <row r="654" spans="1:16" x14ac:dyDescent="0.3">
      <c r="A654" s="1" t="s">
        <v>1950</v>
      </c>
      <c r="B654" s="1" t="s">
        <v>1951</v>
      </c>
      <c r="C654" s="1">
        <f t="shared" si="43"/>
        <v>4</v>
      </c>
      <c r="D654" s="1" t="str">
        <f t="shared" si="44"/>
        <v>s</v>
      </c>
      <c r="E654" s="122" t="s">
        <v>410</v>
      </c>
      <c r="F654" s="1" t="s">
        <v>416</v>
      </c>
      <c r="G654" s="123">
        <v>361288.29</v>
      </c>
      <c r="H654" s="121">
        <v>10749953.51</v>
      </c>
      <c r="I654" s="121" t="s">
        <v>1952</v>
      </c>
      <c r="J654" s="121" t="s">
        <v>1952</v>
      </c>
      <c r="K654" s="121" t="str">
        <f t="shared" si="45"/>
        <v>C</v>
      </c>
      <c r="L654" s="121">
        <f>(SUBSTITUTE(SUBSTITUTE(J654,"D","",1),"C","",1)+0)*IF(K654=F654,1,-1)</f>
        <v>10388665.220000001</v>
      </c>
      <c r="N654" s="1"/>
      <c r="O654" s="1">
        <f>_xlfn.XLOOKUP(B654,'BALANCETE 2022'!B:B,'BALANCETE 2022'!J:J,0)</f>
        <v>0</v>
      </c>
      <c r="P654" s="1"/>
    </row>
    <row r="655" spans="1:16" x14ac:dyDescent="0.3">
      <c r="A655" t="s">
        <v>1953</v>
      </c>
      <c r="B655" t="s">
        <v>1954</v>
      </c>
      <c r="C655">
        <f t="shared" si="43"/>
        <v>4</v>
      </c>
      <c r="D655" t="str">
        <f t="shared" si="44"/>
        <v>A</v>
      </c>
      <c r="E655" s="115">
        <v>0</v>
      </c>
      <c r="F655" t="s">
        <v>416</v>
      </c>
      <c r="G655" s="16">
        <v>361288.29</v>
      </c>
      <c r="H655" s="50">
        <v>10749953.51</v>
      </c>
      <c r="I655" s="50" t="s">
        <v>1952</v>
      </c>
      <c r="J655" s="50" t="s">
        <v>1952</v>
      </c>
      <c r="K655" s="50" t="str">
        <f t="shared" si="45"/>
        <v>C</v>
      </c>
      <c r="L655" s="50">
        <f>(SUBSTITUTE(SUBSTITUTE(J655,"D","",1),"C","",1)+0)</f>
        <v>10388665.220000001</v>
      </c>
      <c r="M655" s="124"/>
      <c r="O655" s="67" t="str">
        <f>_xlfn.XLOOKUP(B655,'BALANCETE 2022'!B:B,'BALANCETE 2022'!J:J,0)</f>
        <v>21.b</v>
      </c>
      <c r="P655" t="str">
        <f>_xlfn.XLOOKUP(O655,DRE!B:B,DRE!A:A,0)</f>
        <v>Outras receitas</v>
      </c>
    </row>
    <row r="656" spans="1:16" x14ac:dyDescent="0.3">
      <c r="A656" s="1" t="s">
        <v>1955</v>
      </c>
      <c r="B656" s="1" t="s">
        <v>1956</v>
      </c>
      <c r="C656" s="1">
        <f t="shared" si="43"/>
        <v>4</v>
      </c>
      <c r="D656" s="1" t="str">
        <f t="shared" si="44"/>
        <v>s</v>
      </c>
      <c r="E656" s="122" t="s">
        <v>1536</v>
      </c>
      <c r="F656" s="1" t="s">
        <v>416</v>
      </c>
      <c r="G656" s="123">
        <v>2722.6</v>
      </c>
      <c r="H656" s="121">
        <v>63472.42</v>
      </c>
      <c r="I656" s="121" t="s">
        <v>1957</v>
      </c>
      <c r="J656" s="121" t="s">
        <v>1957</v>
      </c>
      <c r="K656" s="121" t="str">
        <f t="shared" si="45"/>
        <v>C</v>
      </c>
      <c r="L656" s="121">
        <f>(SUBSTITUTE(SUBSTITUTE(J656,"D","",1),"C","",1)+0)*IF(K656=F656,1,-1)</f>
        <v>60749.82</v>
      </c>
      <c r="N656" s="1"/>
      <c r="O656" s="1">
        <f>_xlfn.XLOOKUP(B656,'BALANCETE 2022'!B:B,'BALANCETE 2022'!J:J,0)</f>
        <v>0</v>
      </c>
      <c r="P656" s="1"/>
    </row>
    <row r="657" spans="1:16" x14ac:dyDescent="0.3">
      <c r="A657" s="1" t="s">
        <v>1958</v>
      </c>
      <c r="B657" s="1" t="s">
        <v>1959</v>
      </c>
      <c r="C657" s="1">
        <f t="shared" si="43"/>
        <v>4</v>
      </c>
      <c r="D657" s="1" t="str">
        <f t="shared" si="44"/>
        <v>s</v>
      </c>
      <c r="E657" s="122" t="s">
        <v>1536</v>
      </c>
      <c r="F657" s="1" t="s">
        <v>416</v>
      </c>
      <c r="G657" s="123">
        <v>0.01</v>
      </c>
      <c r="H657" s="121">
        <v>1781.5</v>
      </c>
      <c r="I657" s="121">
        <v>1781.49</v>
      </c>
      <c r="J657" s="121">
        <v>1781.49</v>
      </c>
      <c r="K657" s="121" t="str">
        <f t="shared" si="45"/>
        <v>9</v>
      </c>
      <c r="L657" s="121">
        <f>(SUBSTITUTE(SUBSTITUTE(J657,"D","",1),"C","",1)+0)*IF(K657=F657,1,-1)</f>
        <v>-1781.49</v>
      </c>
      <c r="M657" s="52" t="s">
        <v>1927</v>
      </c>
      <c r="N657" s="1" t="s">
        <v>1960</v>
      </c>
      <c r="O657" s="1">
        <f>_xlfn.XLOOKUP(B657,'BALANCETE 2022'!B:B,'BALANCETE 2022'!J:J,0)</f>
        <v>0</v>
      </c>
      <c r="P657" s="1"/>
    </row>
    <row r="658" spans="1:16" x14ac:dyDescent="0.3">
      <c r="A658" t="s">
        <v>1961</v>
      </c>
      <c r="B658" t="s">
        <v>1962</v>
      </c>
      <c r="C658">
        <f t="shared" si="43"/>
        <v>4</v>
      </c>
      <c r="D658" t="str">
        <f t="shared" si="44"/>
        <v>A</v>
      </c>
      <c r="E658" s="115" t="s">
        <v>884</v>
      </c>
      <c r="F658" t="s">
        <v>416</v>
      </c>
      <c r="G658" s="16">
        <v>0.01</v>
      </c>
      <c r="H658" s="50">
        <v>1781.5</v>
      </c>
      <c r="I658" s="50" t="s">
        <v>1963</v>
      </c>
      <c r="J658" s="50" t="s">
        <v>1963</v>
      </c>
      <c r="K658" s="50" t="str">
        <f t="shared" si="45"/>
        <v>C</v>
      </c>
      <c r="L658" s="50">
        <f>(SUBSTITUTE(SUBSTITUTE(J658,"D","",1),"C","",1)+0)</f>
        <v>1781.49</v>
      </c>
      <c r="M658" s="124"/>
      <c r="O658" s="67" t="str">
        <f>_xlfn.XLOOKUP(B658,'BALANCETE 2022'!B:B,'BALANCETE 2022'!J:J,0)</f>
        <v>25.a</v>
      </c>
      <c r="P658" t="str">
        <f>_xlfn.XLOOKUP(O658,DRE!B:B,DRE!A:A,0)</f>
        <v>Receitas Financeiras</v>
      </c>
    </row>
    <row r="659" spans="1:16" x14ac:dyDescent="0.3">
      <c r="A659" s="1" t="s">
        <v>1964</v>
      </c>
      <c r="B659" s="1" t="s">
        <v>1965</v>
      </c>
      <c r="C659" s="1">
        <f t="shared" si="43"/>
        <v>4</v>
      </c>
      <c r="D659" s="1" t="str">
        <f t="shared" si="44"/>
        <v>s</v>
      </c>
      <c r="E659" s="122" t="s">
        <v>1536</v>
      </c>
      <c r="F659" s="1" t="s">
        <v>416</v>
      </c>
      <c r="G659" s="123">
        <v>2722.59</v>
      </c>
      <c r="H659" s="121">
        <v>61690.92</v>
      </c>
      <c r="I659" s="121" t="s">
        <v>1966</v>
      </c>
      <c r="J659" s="121" t="s">
        <v>1966</v>
      </c>
      <c r="K659" s="121" t="str">
        <f t="shared" si="45"/>
        <v>C</v>
      </c>
      <c r="L659" s="121">
        <f>(SUBSTITUTE(SUBSTITUTE(J659,"D","",1),"C","",1)+0)*IF(K659=F659,1,-1)</f>
        <v>58968.33</v>
      </c>
      <c r="N659" s="1"/>
      <c r="O659" s="1">
        <f>_xlfn.XLOOKUP(B659,'BALANCETE 2022'!B:B,'BALANCETE 2022'!J:J,0)</f>
        <v>0</v>
      </c>
      <c r="P659" s="1"/>
    </row>
    <row r="660" spans="1:16" x14ac:dyDescent="0.3">
      <c r="A660" t="s">
        <v>1967</v>
      </c>
      <c r="B660" t="s">
        <v>1968</v>
      </c>
      <c r="C660">
        <f t="shared" si="43"/>
        <v>4</v>
      </c>
      <c r="D660" t="str">
        <f t="shared" si="44"/>
        <v>A</v>
      </c>
      <c r="E660" s="115" t="s">
        <v>884</v>
      </c>
      <c r="F660" t="s">
        <v>416</v>
      </c>
      <c r="G660" s="16">
        <v>0</v>
      </c>
      <c r="H660" s="50">
        <v>313.77</v>
      </c>
      <c r="I660" s="50" t="s">
        <v>1969</v>
      </c>
      <c r="J660" s="50" t="s">
        <v>1969</v>
      </c>
      <c r="K660" s="50" t="str">
        <f t="shared" si="45"/>
        <v>C</v>
      </c>
      <c r="L660" s="50">
        <f>(SUBSTITUTE(SUBSTITUTE(J660,"D","",1),"C","",1)+0)</f>
        <v>313.77</v>
      </c>
      <c r="M660" s="124"/>
      <c r="O660" s="67" t="s">
        <v>1970</v>
      </c>
      <c r="P660" t="str">
        <f>_xlfn.XLOOKUP(O660,DRE!B:B,DRE!A:A,0)</f>
        <v>Receitas Financeiras</v>
      </c>
    </row>
    <row r="661" spans="1:16" x14ac:dyDescent="0.3">
      <c r="A661" t="s">
        <v>1971</v>
      </c>
      <c r="B661" t="s">
        <v>1972</v>
      </c>
      <c r="C661">
        <f t="shared" si="43"/>
        <v>4</v>
      </c>
      <c r="D661" t="str">
        <f t="shared" si="44"/>
        <v>A</v>
      </c>
      <c r="E661" s="115" t="s">
        <v>884</v>
      </c>
      <c r="F661" t="s">
        <v>416</v>
      </c>
      <c r="G661" s="16">
        <v>0</v>
      </c>
      <c r="H661" s="50">
        <v>58550.47</v>
      </c>
      <c r="I661" s="50" t="s">
        <v>1973</v>
      </c>
      <c r="J661" s="50" t="s">
        <v>1973</v>
      </c>
      <c r="K661" s="50" t="str">
        <f t="shared" si="45"/>
        <v>C</v>
      </c>
      <c r="L661" s="50">
        <f>(SUBSTITUTE(SUBSTITUTE(J661,"D","",1),"C","",1)+0)</f>
        <v>58550.47</v>
      </c>
      <c r="M661" s="124"/>
      <c r="O661" s="67" t="str">
        <f>_xlfn.XLOOKUP(B661,'BALANCETE 2022'!B:B,'BALANCETE 2022'!J:J,0)</f>
        <v>25.a</v>
      </c>
      <c r="P661" t="str">
        <f>_xlfn.XLOOKUP(O661,DRE!B:B,DRE!A:A,0)</f>
        <v>Receitas Financeiras</v>
      </c>
    </row>
    <row r="662" spans="1:16" x14ac:dyDescent="0.3">
      <c r="A662" t="s">
        <v>1974</v>
      </c>
      <c r="B662" t="s">
        <v>1975</v>
      </c>
      <c r="C662">
        <f t="shared" si="43"/>
        <v>4</v>
      </c>
      <c r="D662" t="str">
        <f t="shared" si="44"/>
        <v>A</v>
      </c>
      <c r="E662" s="115" t="s">
        <v>884</v>
      </c>
      <c r="F662" t="s">
        <v>416</v>
      </c>
      <c r="G662" s="16">
        <v>0</v>
      </c>
      <c r="H662" s="50">
        <v>104.09</v>
      </c>
      <c r="I662" s="50" t="s">
        <v>1976</v>
      </c>
      <c r="J662" s="50" t="s">
        <v>1976</v>
      </c>
      <c r="K662" s="50" t="str">
        <f t="shared" si="45"/>
        <v>C</v>
      </c>
      <c r="L662" s="50">
        <f>(SUBSTITUTE(SUBSTITUTE(J662,"D","",1),"C","",1)+0)</f>
        <v>104.09</v>
      </c>
      <c r="M662" s="124"/>
      <c r="O662" s="67" t="str">
        <f>_xlfn.XLOOKUP(B662,'BALANCETE 2022'!B:B,'BALANCETE 2022'!J:J,0)</f>
        <v>25.a</v>
      </c>
      <c r="P662" t="str">
        <f>_xlfn.XLOOKUP(O662,DRE!B:B,DRE!A:A,0)</f>
        <v>Receitas Financeiras</v>
      </c>
    </row>
    <row r="663" spans="1:16" x14ac:dyDescent="0.3">
      <c r="A663" t="s">
        <v>1977</v>
      </c>
      <c r="B663" t="s">
        <v>1978</v>
      </c>
      <c r="C663">
        <f t="shared" si="43"/>
        <v>4</v>
      </c>
      <c r="D663" t="str">
        <f t="shared" si="44"/>
        <v>A</v>
      </c>
      <c r="E663" s="115" t="s">
        <v>884</v>
      </c>
      <c r="F663" t="s">
        <v>416</v>
      </c>
      <c r="G663" s="16">
        <v>380.58</v>
      </c>
      <c r="H663" s="50">
        <v>380.58</v>
      </c>
      <c r="I663" s="50" t="s">
        <v>884</v>
      </c>
      <c r="J663" s="50" t="s">
        <v>884</v>
      </c>
      <c r="K663" s="50" t="str">
        <f t="shared" si="45"/>
        <v>C</v>
      </c>
      <c r="L663" s="50">
        <f>(SUBSTITUTE(SUBSTITUTE(J663,"D","",1),"C","",1)+0)</f>
        <v>0</v>
      </c>
      <c r="M663" s="124"/>
      <c r="O663" s="67" t="str">
        <f>_xlfn.XLOOKUP(B663,'BALANCETE 2022'!B:B,'BALANCETE 2022'!J:J,0)</f>
        <v>25.a</v>
      </c>
      <c r="P663" t="str">
        <f>_xlfn.XLOOKUP(O663,DRE!B:B,DRE!A:A,0)</f>
        <v>Receitas Financeiras</v>
      </c>
    </row>
    <row r="664" spans="1:16" x14ac:dyDescent="0.3">
      <c r="A664" t="s">
        <v>1979</v>
      </c>
      <c r="B664" t="s">
        <v>1980</v>
      </c>
      <c r="C664">
        <f t="shared" si="43"/>
        <v>4</v>
      </c>
      <c r="D664" t="str">
        <f t="shared" si="44"/>
        <v>A</v>
      </c>
      <c r="E664" s="115" t="s">
        <v>884</v>
      </c>
      <c r="F664" t="s">
        <v>416</v>
      </c>
      <c r="G664" s="16">
        <v>2342.0100000000002</v>
      </c>
      <c r="H664" s="50">
        <v>2342.0100000000002</v>
      </c>
      <c r="I664" s="50" t="s">
        <v>884</v>
      </c>
      <c r="J664" s="50" t="s">
        <v>884</v>
      </c>
      <c r="K664" s="50" t="str">
        <f t="shared" si="45"/>
        <v>C</v>
      </c>
      <c r="L664" s="50">
        <f>(SUBSTITUTE(SUBSTITUTE(J664,"D","",1),"C","",1)+0)</f>
        <v>0</v>
      </c>
      <c r="M664" s="124"/>
      <c r="O664" s="67" t="str">
        <f>_xlfn.XLOOKUP(B664,'BALANCETE 2022'!B:B,'BALANCETE 2022'!J:J,0)</f>
        <v>25.a</v>
      </c>
      <c r="P664" t="str">
        <f>_xlfn.XLOOKUP(O664,DRE!B:B,DRE!A:A,0)</f>
        <v>Receitas Financeiras</v>
      </c>
    </row>
    <row r="665" spans="1:16" x14ac:dyDescent="0.3">
      <c r="A665" s="1" t="s">
        <v>1981</v>
      </c>
      <c r="B665" s="1" t="s">
        <v>1982</v>
      </c>
      <c r="C665" s="1">
        <f t="shared" si="43"/>
        <v>4</v>
      </c>
      <c r="D665" s="1" t="str">
        <f t="shared" si="44"/>
        <v>s</v>
      </c>
      <c r="E665" s="122">
        <v>0</v>
      </c>
      <c r="F665" s="1" t="s">
        <v>14</v>
      </c>
      <c r="G665" s="123">
        <v>2161804.4</v>
      </c>
      <c r="H665" s="121">
        <v>12253.46</v>
      </c>
      <c r="I665" s="121">
        <v>2149550.94</v>
      </c>
      <c r="J665" s="121">
        <v>2149550.94</v>
      </c>
      <c r="K665" s="121" t="str">
        <f t="shared" si="45"/>
        <v>4</v>
      </c>
      <c r="L665" s="121">
        <f>(SUBSTITUTE(SUBSTITUTE(J665,"D","",1),"C","",1)+0)*IF(K665=F665,1,-1)</f>
        <v>-2149550.94</v>
      </c>
      <c r="M665" s="52" t="s">
        <v>1983</v>
      </c>
      <c r="N665" s="1"/>
      <c r="O665" s="1">
        <f>_xlfn.XLOOKUP(B665,'BALANCETE 2022'!B:B,'BALANCETE 2022'!J:J,0)</f>
        <v>0</v>
      </c>
      <c r="P665" s="1"/>
    </row>
    <row r="666" spans="1:16" x14ac:dyDescent="0.3">
      <c r="A666" s="1" t="s">
        <v>1984</v>
      </c>
      <c r="B666" s="1" t="s">
        <v>1985</v>
      </c>
      <c r="C666" s="1">
        <f t="shared" si="43"/>
        <v>4</v>
      </c>
      <c r="D666" s="1" t="str">
        <f t="shared" si="44"/>
        <v>s</v>
      </c>
      <c r="E666" s="122">
        <v>0</v>
      </c>
      <c r="F666" s="1" t="s">
        <v>14</v>
      </c>
      <c r="G666" s="123">
        <v>2161804.4</v>
      </c>
      <c r="H666" s="121">
        <v>12253.46</v>
      </c>
      <c r="I666" s="121" t="s">
        <v>1986</v>
      </c>
      <c r="J666" s="121" t="s">
        <v>1986</v>
      </c>
      <c r="K666" s="121" t="str">
        <f t="shared" si="45"/>
        <v>D</v>
      </c>
      <c r="L666" s="121">
        <f>(SUBSTITUTE(SUBSTITUTE(J666,"D","",1),"C","",1)+0)*IF(K666=F666,1,-1)</f>
        <v>2149550.94</v>
      </c>
      <c r="N666" s="1"/>
      <c r="O666" s="1">
        <f>_xlfn.XLOOKUP(B666,'BALANCETE 2022'!B:B,'BALANCETE 2022'!J:J,0)</f>
        <v>0</v>
      </c>
      <c r="P666" s="1"/>
    </row>
    <row r="667" spans="1:16" x14ac:dyDescent="0.3">
      <c r="A667" s="1" t="s">
        <v>1987</v>
      </c>
      <c r="B667" s="1" t="s">
        <v>1988</v>
      </c>
      <c r="C667" s="1">
        <f t="shared" si="43"/>
        <v>4</v>
      </c>
      <c r="D667" s="1" t="str">
        <f t="shared" si="44"/>
        <v>s</v>
      </c>
      <c r="E667" s="122">
        <v>0</v>
      </c>
      <c r="F667" s="1" t="s">
        <v>14</v>
      </c>
      <c r="G667" s="123">
        <v>132469.85999999999</v>
      </c>
      <c r="H667" s="121">
        <v>0</v>
      </c>
      <c r="I667" s="121" t="s">
        <v>1989</v>
      </c>
      <c r="J667" s="121" t="s">
        <v>1989</v>
      </c>
      <c r="K667" s="121" t="str">
        <f t="shared" si="45"/>
        <v>D</v>
      </c>
      <c r="L667" s="121">
        <f>(SUBSTITUTE(SUBSTITUTE(J667,"D","",1),"C","",1)+0)*IF(K667=F667,1,-1)</f>
        <v>132469.85999999999</v>
      </c>
      <c r="N667" s="1"/>
      <c r="O667" s="1">
        <f>_xlfn.XLOOKUP(B667,'BALANCETE 2022'!B:B,'BALANCETE 2022'!J:J,0)</f>
        <v>0</v>
      </c>
      <c r="P667" s="1"/>
    </row>
    <row r="668" spans="1:16" x14ac:dyDescent="0.3">
      <c r="A668" t="s">
        <v>1990</v>
      </c>
      <c r="B668" t="s">
        <v>1991</v>
      </c>
      <c r="C668">
        <f t="shared" si="43"/>
        <v>4</v>
      </c>
      <c r="D668" t="str">
        <f t="shared" si="44"/>
        <v>A</v>
      </c>
      <c r="E668" s="115">
        <v>0</v>
      </c>
      <c r="F668" t="s">
        <v>14</v>
      </c>
      <c r="G668" s="16">
        <v>132469.85999999999</v>
      </c>
      <c r="H668" s="50">
        <v>0</v>
      </c>
      <c r="I668" s="50" t="s">
        <v>1989</v>
      </c>
      <c r="J668" s="50" t="s">
        <v>1989</v>
      </c>
      <c r="K668" s="50" t="str">
        <f t="shared" si="45"/>
        <v>D</v>
      </c>
      <c r="L668" s="50">
        <f>(SUBSTITUTE(SUBSTITUTE(J668,"D","",1),"C","",1)+0)</f>
        <v>132469.85999999999</v>
      </c>
      <c r="M668" s="124"/>
      <c r="O668" s="67" t="str">
        <f>_xlfn.XLOOKUP(B668,'BALANCETE 2022'!B:B,'BALANCETE 2022'!J:J,0)</f>
        <v>21.c</v>
      </c>
      <c r="P668" t="str">
        <f>_xlfn.XLOOKUP(O668,DRE!B:B,DRE!A:A,0)</f>
        <v>Dedução Receita (-)</v>
      </c>
    </row>
    <row r="669" spans="1:16" x14ac:dyDescent="0.3">
      <c r="A669" s="1" t="s">
        <v>1992</v>
      </c>
      <c r="B669" s="1" t="s">
        <v>1993</v>
      </c>
      <c r="C669" s="1">
        <f t="shared" si="43"/>
        <v>4</v>
      </c>
      <c r="D669" s="1" t="str">
        <f t="shared" si="44"/>
        <v>s</v>
      </c>
      <c r="E669" s="122">
        <v>0</v>
      </c>
      <c r="F669" s="1" t="s">
        <v>14</v>
      </c>
      <c r="G669" s="123">
        <v>2029334.54</v>
      </c>
      <c r="H669" s="121">
        <v>12253.46</v>
      </c>
      <c r="I669" s="121" t="s">
        <v>1994</v>
      </c>
      <c r="J669" s="121" t="s">
        <v>1994</v>
      </c>
      <c r="K669" s="121" t="str">
        <f t="shared" si="45"/>
        <v>D</v>
      </c>
      <c r="L669" s="121">
        <f>(SUBSTITUTE(SUBSTITUTE(J669,"D","",1),"C","",1)+0)*IF(K669=F669,1,-1)</f>
        <v>2017081.08</v>
      </c>
      <c r="N669" s="1"/>
      <c r="O669" s="1">
        <f>_xlfn.XLOOKUP(B669,'BALANCETE 2022'!B:B,'BALANCETE 2022'!J:J,0)</f>
        <v>0</v>
      </c>
      <c r="P669" s="1"/>
    </row>
    <row r="670" spans="1:16" x14ac:dyDescent="0.3">
      <c r="A670" t="s">
        <v>1995</v>
      </c>
      <c r="B670" t="s">
        <v>1996</v>
      </c>
      <c r="C670">
        <f t="shared" si="43"/>
        <v>4</v>
      </c>
      <c r="D670" t="str">
        <f t="shared" si="44"/>
        <v>A</v>
      </c>
      <c r="E670" s="115">
        <v>0</v>
      </c>
      <c r="F670" t="s">
        <v>14</v>
      </c>
      <c r="G670" s="16">
        <v>1667345.19</v>
      </c>
      <c r="H670" s="50">
        <v>10067.709999999999</v>
      </c>
      <c r="I670" s="50" t="s">
        <v>1997</v>
      </c>
      <c r="J670" s="50" t="s">
        <v>1997</v>
      </c>
      <c r="K670" s="50" t="str">
        <f t="shared" si="45"/>
        <v>D</v>
      </c>
      <c r="L670" s="50">
        <f>(SUBSTITUTE(SUBSTITUTE(J670,"D","",1),"C","",1)+0)</f>
        <v>1657277.48</v>
      </c>
      <c r="M670" s="124"/>
      <c r="O670" s="67" t="str">
        <f>_xlfn.XLOOKUP(B670,'BALANCETE 2022'!B:B,'BALANCETE 2022'!J:J,0)</f>
        <v>21.c</v>
      </c>
      <c r="P670" t="str">
        <f>_xlfn.XLOOKUP(O670,DRE!B:B,DRE!A:A,0)</f>
        <v>Dedução Receita (-)</v>
      </c>
    </row>
    <row r="671" spans="1:16" x14ac:dyDescent="0.3">
      <c r="A671" t="s">
        <v>1998</v>
      </c>
      <c r="B671" t="s">
        <v>1999</v>
      </c>
      <c r="C671">
        <f t="shared" si="43"/>
        <v>4</v>
      </c>
      <c r="D671" t="str">
        <f t="shared" si="44"/>
        <v>A</v>
      </c>
      <c r="E671" s="115">
        <v>0</v>
      </c>
      <c r="F671" t="s">
        <v>14</v>
      </c>
      <c r="G671" s="16">
        <v>361989.35</v>
      </c>
      <c r="H671" s="50">
        <v>2185.75</v>
      </c>
      <c r="I671" s="50" t="s">
        <v>2000</v>
      </c>
      <c r="J671" s="50" t="s">
        <v>2000</v>
      </c>
      <c r="K671" s="50" t="str">
        <f t="shared" si="45"/>
        <v>D</v>
      </c>
      <c r="L671" s="50">
        <f>(SUBSTITUTE(SUBSTITUTE(J671,"D","",1),"C","",1)+0)</f>
        <v>359803.6</v>
      </c>
      <c r="M671" s="124"/>
      <c r="O671" s="67" t="str">
        <f>_xlfn.XLOOKUP(B671,'BALANCETE 2022'!B:B,'BALANCETE 2022'!J:J,0)</f>
        <v>21.c</v>
      </c>
      <c r="P671" t="str">
        <f>_xlfn.XLOOKUP(O671,DRE!B:B,DRE!A:A,0)</f>
        <v>Dedução Receita (-)</v>
      </c>
    </row>
    <row r="672" spans="1:16" x14ac:dyDescent="0.3">
      <c r="A672" s="51" t="s">
        <v>2001</v>
      </c>
      <c r="B672" s="51" t="s">
        <v>2002</v>
      </c>
      <c r="C672" s="51">
        <f t="shared" si="43"/>
        <v>5</v>
      </c>
      <c r="D672" s="1" t="str">
        <f t="shared" si="44"/>
        <v>s</v>
      </c>
      <c r="E672" s="118" t="s">
        <v>1536</v>
      </c>
      <c r="F672" s="51" t="s">
        <v>14</v>
      </c>
      <c r="G672" s="119">
        <v>40109589.640000001</v>
      </c>
      <c r="H672" s="120">
        <v>0</v>
      </c>
      <c r="I672" s="120" t="s">
        <v>2003</v>
      </c>
      <c r="J672" s="120" t="s">
        <v>2003</v>
      </c>
      <c r="K672" s="121" t="str">
        <f t="shared" si="45"/>
        <v>D</v>
      </c>
      <c r="L672" s="120">
        <f t="shared" ref="L672:L693" si="46">(SUBSTITUTE(SUBSTITUTE(J672,"D","",1),"C","",1)+0)*IF(K672=F672,1,-1)</f>
        <v>40109589.640000001</v>
      </c>
      <c r="N672" s="1"/>
      <c r="O672" s="1">
        <f>_xlfn.XLOOKUP(B672,'BALANCETE 2022'!B:B,'BALANCETE 2022'!J:J,0)</f>
        <v>0</v>
      </c>
      <c r="P672" s="1"/>
    </row>
    <row r="673" spans="1:16" x14ac:dyDescent="0.3">
      <c r="A673" s="1" t="s">
        <v>2004</v>
      </c>
      <c r="B673" s="1" t="s">
        <v>2005</v>
      </c>
      <c r="C673" s="1">
        <f t="shared" si="43"/>
        <v>5</v>
      </c>
      <c r="D673" s="1" t="str">
        <f t="shared" si="44"/>
        <v>s</v>
      </c>
      <c r="E673" s="122">
        <v>0</v>
      </c>
      <c r="F673" s="1" t="s">
        <v>14</v>
      </c>
      <c r="G673" s="123">
        <v>40109589.640000001</v>
      </c>
      <c r="H673" s="121">
        <v>0</v>
      </c>
      <c r="I673" s="121" t="s">
        <v>2003</v>
      </c>
      <c r="J673" s="121" t="s">
        <v>2003</v>
      </c>
      <c r="K673" s="121" t="str">
        <f t="shared" si="45"/>
        <v>D</v>
      </c>
      <c r="L673" s="121">
        <f t="shared" si="46"/>
        <v>40109589.640000001</v>
      </c>
      <c r="N673" s="1"/>
      <c r="O673" s="1">
        <f>_xlfn.XLOOKUP(B673,'BALANCETE 2022'!B:B,'BALANCETE 2022'!J:J,0)</f>
        <v>0</v>
      </c>
      <c r="P673" s="1"/>
    </row>
    <row r="674" spans="1:16" x14ac:dyDescent="0.3">
      <c r="A674" s="1" t="s">
        <v>2006</v>
      </c>
      <c r="B674" s="1" t="s">
        <v>2007</v>
      </c>
      <c r="C674" s="1">
        <f t="shared" si="43"/>
        <v>5</v>
      </c>
      <c r="D674" s="1" t="str">
        <f t="shared" si="44"/>
        <v>s</v>
      </c>
      <c r="E674" s="122" t="s">
        <v>1536</v>
      </c>
      <c r="F674" s="1" t="s">
        <v>14</v>
      </c>
      <c r="G674" s="123">
        <v>39209209.810000002</v>
      </c>
      <c r="H674" s="121">
        <v>0</v>
      </c>
      <c r="I674" s="121" t="s">
        <v>2008</v>
      </c>
      <c r="J674" s="121" t="s">
        <v>2008</v>
      </c>
      <c r="K674" s="121" t="str">
        <f t="shared" si="45"/>
        <v>D</v>
      </c>
      <c r="L674" s="121">
        <f t="shared" si="46"/>
        <v>39209209.810000002</v>
      </c>
      <c r="N674" s="1"/>
      <c r="O674" s="1">
        <f>_xlfn.XLOOKUP(B674,'BALANCETE 2022'!B:B,'BALANCETE 2022'!J:J,0)</f>
        <v>0</v>
      </c>
      <c r="P674" s="1"/>
    </row>
    <row r="675" spans="1:16" x14ac:dyDescent="0.3">
      <c r="A675" s="1" t="s">
        <v>2009</v>
      </c>
      <c r="B675" s="1" t="s">
        <v>2010</v>
      </c>
      <c r="C675" s="1">
        <f t="shared" si="43"/>
        <v>5</v>
      </c>
      <c r="D675" s="1" t="str">
        <f t="shared" si="44"/>
        <v>s</v>
      </c>
      <c r="E675" s="122" t="s">
        <v>1536</v>
      </c>
      <c r="F675" s="1" t="s">
        <v>14</v>
      </c>
      <c r="G675" s="123">
        <v>39209209.810000002</v>
      </c>
      <c r="H675" s="121">
        <v>0</v>
      </c>
      <c r="I675" s="121" t="s">
        <v>2008</v>
      </c>
      <c r="J675" s="121" t="s">
        <v>2008</v>
      </c>
      <c r="K675" s="121" t="str">
        <f t="shared" si="45"/>
        <v>D</v>
      </c>
      <c r="L675" s="121">
        <f t="shared" si="46"/>
        <v>39209209.810000002</v>
      </c>
      <c r="N675" s="1"/>
      <c r="O675" s="1">
        <f>_xlfn.XLOOKUP(B675,'BALANCETE 2022'!B:B,'BALANCETE 2022'!J:J,0)</f>
        <v>0</v>
      </c>
      <c r="P675" s="1"/>
    </row>
    <row r="676" spans="1:16" x14ac:dyDescent="0.3">
      <c r="A676" t="s">
        <v>2011</v>
      </c>
      <c r="B676" t="s">
        <v>2012</v>
      </c>
      <c r="C676">
        <f t="shared" si="43"/>
        <v>5</v>
      </c>
      <c r="D676" t="str">
        <f t="shared" si="44"/>
        <v>A</v>
      </c>
      <c r="E676" s="115" t="s">
        <v>884</v>
      </c>
      <c r="F676" t="s">
        <v>14</v>
      </c>
      <c r="G676" s="16">
        <v>39209209.810000002</v>
      </c>
      <c r="H676" s="50">
        <v>0</v>
      </c>
      <c r="I676" s="50" t="s">
        <v>2008</v>
      </c>
      <c r="J676" s="50" t="s">
        <v>2008</v>
      </c>
      <c r="K676" s="50" t="str">
        <f t="shared" si="45"/>
        <v>D</v>
      </c>
      <c r="L676" s="50">
        <f t="shared" si="46"/>
        <v>39209209.810000002</v>
      </c>
      <c r="M676" s="124"/>
      <c r="O676">
        <f>_xlfn.XLOOKUP(B676,'BALANCETE 2022'!B:B,'BALANCETE 2022'!J:J,0)</f>
        <v>0</v>
      </c>
    </row>
    <row r="677" spans="1:16" x14ac:dyDescent="0.3">
      <c r="A677" s="1" t="s">
        <v>2013</v>
      </c>
      <c r="B677" s="1" t="s">
        <v>2014</v>
      </c>
      <c r="C677" s="1">
        <f t="shared" si="43"/>
        <v>5</v>
      </c>
      <c r="D677" s="1" t="str">
        <f t="shared" si="44"/>
        <v>s</v>
      </c>
      <c r="E677" s="122" t="s">
        <v>1536</v>
      </c>
      <c r="F677" s="1" t="s">
        <v>14</v>
      </c>
      <c r="G677" s="123">
        <v>900379.83</v>
      </c>
      <c r="H677" s="121">
        <v>0</v>
      </c>
      <c r="I677" s="121" t="s">
        <v>2015</v>
      </c>
      <c r="J677" s="121" t="s">
        <v>2015</v>
      </c>
      <c r="K677" s="121" t="str">
        <f t="shared" si="45"/>
        <v>D</v>
      </c>
      <c r="L677" s="121">
        <f t="shared" si="46"/>
        <v>900379.83</v>
      </c>
      <c r="N677" s="1"/>
      <c r="O677" s="1">
        <f>_xlfn.XLOOKUP(B677,'BALANCETE 2022'!B:B,'BALANCETE 2022'!J:J,0)</f>
        <v>0</v>
      </c>
      <c r="P677" s="1"/>
    </row>
    <row r="678" spans="1:16" x14ac:dyDescent="0.3">
      <c r="A678" s="1" t="s">
        <v>2016</v>
      </c>
      <c r="B678" s="1" t="s">
        <v>2017</v>
      </c>
      <c r="C678" s="1">
        <f t="shared" si="43"/>
        <v>5</v>
      </c>
      <c r="D678" s="1" t="str">
        <f t="shared" si="44"/>
        <v>s</v>
      </c>
      <c r="E678" s="122" t="s">
        <v>1536</v>
      </c>
      <c r="F678" s="1" t="s">
        <v>14</v>
      </c>
      <c r="G678" s="123">
        <v>900379.83</v>
      </c>
      <c r="H678" s="121">
        <v>0</v>
      </c>
      <c r="I678" s="121" t="s">
        <v>2015</v>
      </c>
      <c r="J678" s="121" t="s">
        <v>2015</v>
      </c>
      <c r="K678" s="121" t="str">
        <f t="shared" si="45"/>
        <v>D</v>
      </c>
      <c r="L678" s="121">
        <f t="shared" si="46"/>
        <v>900379.83</v>
      </c>
      <c r="N678" s="1"/>
      <c r="O678" s="1">
        <f>_xlfn.XLOOKUP(B678,'BALANCETE 2022'!B:B,'BALANCETE 2022'!J:J,0)</f>
        <v>0</v>
      </c>
      <c r="P678" s="1"/>
    </row>
    <row r="679" spans="1:16" x14ac:dyDescent="0.3">
      <c r="A679" t="s">
        <v>2018</v>
      </c>
      <c r="B679" t="s">
        <v>2019</v>
      </c>
      <c r="C679">
        <f t="shared" si="43"/>
        <v>5</v>
      </c>
      <c r="D679" t="str">
        <f t="shared" si="44"/>
        <v>A</v>
      </c>
      <c r="E679" s="115">
        <v>0</v>
      </c>
      <c r="F679" t="s">
        <v>14</v>
      </c>
      <c r="G679" s="16">
        <v>895912.78</v>
      </c>
      <c r="H679" s="50">
        <v>0</v>
      </c>
      <c r="I679" s="50" t="s">
        <v>2020</v>
      </c>
      <c r="J679" s="50" t="s">
        <v>2020</v>
      </c>
      <c r="K679" s="50" t="str">
        <f t="shared" si="45"/>
        <v>D</v>
      </c>
      <c r="L679" s="50">
        <f t="shared" si="46"/>
        <v>895912.78</v>
      </c>
      <c r="M679" s="124"/>
      <c r="O679">
        <f>_xlfn.XLOOKUP(B679,'BALANCETE 2022'!B:B,'BALANCETE 2022'!J:J,0)</f>
        <v>0</v>
      </c>
    </row>
    <row r="680" spans="1:16" x14ac:dyDescent="0.3">
      <c r="A680" t="s">
        <v>2021</v>
      </c>
      <c r="B680" t="s">
        <v>2022</v>
      </c>
      <c r="C680">
        <f t="shared" si="43"/>
        <v>5</v>
      </c>
      <c r="D680" t="str">
        <f t="shared" si="44"/>
        <v>A</v>
      </c>
      <c r="E680" s="115">
        <v>0</v>
      </c>
      <c r="F680" t="s">
        <v>14</v>
      </c>
      <c r="G680" s="16">
        <v>3631.75</v>
      </c>
      <c r="H680" s="50">
        <v>0</v>
      </c>
      <c r="I680" s="50" t="s">
        <v>2023</v>
      </c>
      <c r="J680" s="50" t="s">
        <v>2023</v>
      </c>
      <c r="K680" s="50" t="str">
        <f t="shared" si="45"/>
        <v>D</v>
      </c>
      <c r="L680" s="50">
        <f t="shared" si="46"/>
        <v>3631.75</v>
      </c>
      <c r="M680" s="124"/>
      <c r="O680">
        <f>_xlfn.XLOOKUP(B680,'BALANCETE 2022'!B:B,'BALANCETE 2022'!J:J,0)</f>
        <v>0</v>
      </c>
    </row>
    <row r="681" spans="1:16" x14ac:dyDescent="0.3">
      <c r="A681" t="s">
        <v>2024</v>
      </c>
      <c r="B681" t="s">
        <v>2025</v>
      </c>
      <c r="C681">
        <f t="shared" si="43"/>
        <v>5</v>
      </c>
      <c r="D681" t="str">
        <f t="shared" si="44"/>
        <v>A</v>
      </c>
      <c r="E681" s="115">
        <v>0</v>
      </c>
      <c r="F681" t="s">
        <v>14</v>
      </c>
      <c r="G681" s="16">
        <v>108.95</v>
      </c>
      <c r="H681" s="50">
        <v>0</v>
      </c>
      <c r="I681" s="50" t="s">
        <v>2026</v>
      </c>
      <c r="J681" s="50" t="s">
        <v>2026</v>
      </c>
      <c r="K681" s="50" t="str">
        <f t="shared" si="45"/>
        <v>D</v>
      </c>
      <c r="L681" s="50">
        <f t="shared" si="46"/>
        <v>108.95</v>
      </c>
      <c r="M681" s="124"/>
      <c r="O681">
        <f>_xlfn.XLOOKUP(B681,'BALANCETE 2022'!B:B,'BALANCETE 2022'!J:J,0)</f>
        <v>0</v>
      </c>
    </row>
    <row r="682" spans="1:16" x14ac:dyDescent="0.3">
      <c r="A682" t="s">
        <v>2027</v>
      </c>
      <c r="B682" t="s">
        <v>2028</v>
      </c>
      <c r="C682">
        <f t="shared" si="43"/>
        <v>5</v>
      </c>
      <c r="D682" t="str">
        <f t="shared" si="44"/>
        <v>A</v>
      </c>
      <c r="E682" s="115">
        <v>0</v>
      </c>
      <c r="F682" t="s">
        <v>14</v>
      </c>
      <c r="G682" s="16">
        <v>726.35</v>
      </c>
      <c r="H682" s="50">
        <v>0</v>
      </c>
      <c r="I682" s="50" t="s">
        <v>2029</v>
      </c>
      <c r="J682" s="50" t="s">
        <v>2029</v>
      </c>
      <c r="K682" s="50" t="str">
        <f t="shared" si="45"/>
        <v>D</v>
      </c>
      <c r="L682" s="50">
        <f t="shared" si="46"/>
        <v>726.35</v>
      </c>
      <c r="M682" s="124"/>
      <c r="O682">
        <f>_xlfn.XLOOKUP(B682,'BALANCETE 2022'!B:B,'BALANCETE 2022'!J:J,0)</f>
        <v>0</v>
      </c>
    </row>
    <row r="683" spans="1:16" x14ac:dyDescent="0.3">
      <c r="A683" s="51" t="s">
        <v>2030</v>
      </c>
      <c r="B683" s="51" t="s">
        <v>2031</v>
      </c>
      <c r="C683" s="51">
        <f t="shared" si="43"/>
        <v>6</v>
      </c>
      <c r="D683" s="1" t="str">
        <f t="shared" si="44"/>
        <v>s</v>
      </c>
      <c r="E683" s="118" t="s">
        <v>1536</v>
      </c>
      <c r="F683" s="51" t="s">
        <v>416</v>
      </c>
      <c r="G683" s="119">
        <v>0</v>
      </c>
      <c r="H683" s="120">
        <v>40109589.640000001</v>
      </c>
      <c r="I683" s="120" t="s">
        <v>2032</v>
      </c>
      <c r="J683" s="120" t="s">
        <v>2032</v>
      </c>
      <c r="K683" s="121" t="str">
        <f t="shared" si="45"/>
        <v>C</v>
      </c>
      <c r="L683" s="120">
        <f t="shared" si="46"/>
        <v>40109589.640000001</v>
      </c>
      <c r="N683" s="1"/>
      <c r="O683" s="1">
        <f>_xlfn.XLOOKUP(B683,'BALANCETE 2022'!B:B,'BALANCETE 2022'!J:J,0)</f>
        <v>0</v>
      </c>
      <c r="P683" s="1"/>
    </row>
    <row r="684" spans="1:16" x14ac:dyDescent="0.3">
      <c r="A684" s="1" t="s">
        <v>2033</v>
      </c>
      <c r="B684" s="1" t="s">
        <v>2034</v>
      </c>
      <c r="C684" s="1">
        <f t="shared" si="43"/>
        <v>6</v>
      </c>
      <c r="D684" s="1" t="str">
        <f t="shared" si="44"/>
        <v>s</v>
      </c>
      <c r="E684" s="122">
        <v>0</v>
      </c>
      <c r="F684" s="1" t="s">
        <v>416</v>
      </c>
      <c r="G684" s="123">
        <v>0</v>
      </c>
      <c r="H684" s="121">
        <v>40109589.640000001</v>
      </c>
      <c r="I684" s="121" t="s">
        <v>2032</v>
      </c>
      <c r="J684" s="121" t="s">
        <v>2032</v>
      </c>
      <c r="K684" s="121" t="str">
        <f t="shared" si="45"/>
        <v>C</v>
      </c>
      <c r="L684" s="121">
        <f t="shared" si="46"/>
        <v>40109589.640000001</v>
      </c>
      <c r="N684" s="1"/>
      <c r="O684" s="1">
        <f>_xlfn.XLOOKUP(B684,'BALANCETE 2022'!B:B,'BALANCETE 2022'!J:J,0)</f>
        <v>0</v>
      </c>
      <c r="P684" s="1"/>
    </row>
    <row r="685" spans="1:16" x14ac:dyDescent="0.3">
      <c r="A685" s="1" t="s">
        <v>2035</v>
      </c>
      <c r="B685" s="1" t="s">
        <v>2036</v>
      </c>
      <c r="C685" s="1">
        <f t="shared" si="43"/>
        <v>6</v>
      </c>
      <c r="D685" s="1" t="str">
        <f t="shared" si="44"/>
        <v>s</v>
      </c>
      <c r="E685" s="122" t="s">
        <v>1536</v>
      </c>
      <c r="F685" s="1" t="s">
        <v>416</v>
      </c>
      <c r="G685" s="123">
        <v>0</v>
      </c>
      <c r="H685" s="121">
        <v>39209209.810000002</v>
      </c>
      <c r="I685" s="121" t="s">
        <v>2037</v>
      </c>
      <c r="J685" s="121" t="s">
        <v>2037</v>
      </c>
      <c r="K685" s="121" t="str">
        <f t="shared" si="45"/>
        <v>C</v>
      </c>
      <c r="L685" s="121">
        <f t="shared" si="46"/>
        <v>39209209.810000002</v>
      </c>
      <c r="N685" s="1"/>
      <c r="O685" s="1">
        <f>_xlfn.XLOOKUP(B685,'BALANCETE 2022'!B:B,'BALANCETE 2022'!J:J,0)</f>
        <v>0</v>
      </c>
      <c r="P685" s="1"/>
    </row>
    <row r="686" spans="1:16" x14ac:dyDescent="0.3">
      <c r="A686" s="1" t="s">
        <v>2038</v>
      </c>
      <c r="B686" s="1" t="s">
        <v>2039</v>
      </c>
      <c r="C686" s="1">
        <f t="shared" si="43"/>
        <v>6</v>
      </c>
      <c r="D686" s="1" t="str">
        <f t="shared" si="44"/>
        <v>s</v>
      </c>
      <c r="E686" s="122" t="s">
        <v>1536</v>
      </c>
      <c r="F686" s="1" t="s">
        <v>416</v>
      </c>
      <c r="G686" s="123">
        <v>0</v>
      </c>
      <c r="H686" s="121">
        <v>39209209.810000002</v>
      </c>
      <c r="I686" s="121" t="s">
        <v>2037</v>
      </c>
      <c r="J686" s="121" t="s">
        <v>2037</v>
      </c>
      <c r="K686" s="121" t="str">
        <f t="shared" si="45"/>
        <v>C</v>
      </c>
      <c r="L686" s="121">
        <f t="shared" si="46"/>
        <v>39209209.810000002</v>
      </c>
      <c r="N686" s="1"/>
      <c r="O686" s="1">
        <f>_xlfn.XLOOKUP(B686,'BALANCETE 2022'!B:B,'BALANCETE 2022'!J:J,0)</f>
        <v>0</v>
      </c>
      <c r="P686" s="1"/>
    </row>
    <row r="687" spans="1:16" x14ac:dyDescent="0.3">
      <c r="A687" t="s">
        <v>2040</v>
      </c>
      <c r="B687" t="s">
        <v>2041</v>
      </c>
      <c r="C687">
        <f t="shared" si="43"/>
        <v>6</v>
      </c>
      <c r="D687" t="str">
        <f t="shared" si="44"/>
        <v>A</v>
      </c>
      <c r="E687" s="115" t="s">
        <v>884</v>
      </c>
      <c r="F687" t="s">
        <v>416</v>
      </c>
      <c r="G687" s="16">
        <v>0</v>
      </c>
      <c r="H687" s="50">
        <v>39209209.810000002</v>
      </c>
      <c r="I687" s="50" t="s">
        <v>2037</v>
      </c>
      <c r="J687" s="50" t="s">
        <v>2037</v>
      </c>
      <c r="K687" s="50" t="str">
        <f t="shared" si="45"/>
        <v>C</v>
      </c>
      <c r="L687" s="50">
        <f t="shared" si="46"/>
        <v>39209209.810000002</v>
      </c>
      <c r="M687" s="124"/>
      <c r="O687">
        <f>_xlfn.XLOOKUP(B687,'BALANCETE 2022'!B:B,'BALANCETE 2022'!J:J,0)</f>
        <v>0</v>
      </c>
    </row>
    <row r="688" spans="1:16" x14ac:dyDescent="0.3">
      <c r="A688" s="1" t="s">
        <v>2042</v>
      </c>
      <c r="B688" s="1" t="s">
        <v>2043</v>
      </c>
      <c r="C688" s="1">
        <f t="shared" si="43"/>
        <v>6</v>
      </c>
      <c r="D688" s="1" t="str">
        <f t="shared" si="44"/>
        <v>s</v>
      </c>
      <c r="E688" s="122" t="s">
        <v>1536</v>
      </c>
      <c r="F688" s="1" t="s">
        <v>416</v>
      </c>
      <c r="G688" s="123">
        <v>0</v>
      </c>
      <c r="H688" s="121">
        <v>900379.83</v>
      </c>
      <c r="I688" s="121" t="s">
        <v>2044</v>
      </c>
      <c r="J688" s="121" t="s">
        <v>2044</v>
      </c>
      <c r="K688" s="121" t="str">
        <f t="shared" si="45"/>
        <v>C</v>
      </c>
      <c r="L688" s="121">
        <f t="shared" si="46"/>
        <v>900379.83</v>
      </c>
      <c r="N688" s="1"/>
      <c r="O688" s="1">
        <f>_xlfn.XLOOKUP(B688,'BALANCETE 2022'!B:B,'BALANCETE 2022'!J:J,0)</f>
        <v>0</v>
      </c>
      <c r="P688" s="1"/>
    </row>
    <row r="689" spans="1:16" x14ac:dyDescent="0.3">
      <c r="A689" s="1" t="s">
        <v>2045</v>
      </c>
      <c r="B689" s="1" t="s">
        <v>2046</v>
      </c>
      <c r="C689" s="1">
        <f t="shared" si="43"/>
        <v>6</v>
      </c>
      <c r="D689" s="1" t="str">
        <f t="shared" si="44"/>
        <v>s</v>
      </c>
      <c r="E689" s="122" t="s">
        <v>1536</v>
      </c>
      <c r="F689" s="1" t="s">
        <v>416</v>
      </c>
      <c r="G689" s="123">
        <v>0</v>
      </c>
      <c r="H689" s="121">
        <v>900379.83</v>
      </c>
      <c r="I689" s="121" t="s">
        <v>2044</v>
      </c>
      <c r="J689" s="121" t="s">
        <v>2044</v>
      </c>
      <c r="K689" s="121" t="str">
        <f t="shared" si="45"/>
        <v>C</v>
      </c>
      <c r="L689" s="121">
        <f t="shared" si="46"/>
        <v>900379.83</v>
      </c>
      <c r="N689" s="1"/>
      <c r="O689" s="1">
        <f>_xlfn.XLOOKUP(B689,'BALANCETE 2022'!B:B,'BALANCETE 2022'!J:J,0)</f>
        <v>0</v>
      </c>
      <c r="P689" s="1"/>
    </row>
    <row r="690" spans="1:16" x14ac:dyDescent="0.3">
      <c r="A690" t="s">
        <v>2047</v>
      </c>
      <c r="B690" t="s">
        <v>2048</v>
      </c>
      <c r="C690">
        <f t="shared" si="43"/>
        <v>6</v>
      </c>
      <c r="D690" t="str">
        <f t="shared" si="44"/>
        <v>A</v>
      </c>
      <c r="E690" s="115">
        <v>0</v>
      </c>
      <c r="F690" t="s">
        <v>416</v>
      </c>
      <c r="G690" s="16">
        <v>0</v>
      </c>
      <c r="H690" s="50">
        <v>895912.78</v>
      </c>
      <c r="I690" s="50" t="s">
        <v>2049</v>
      </c>
      <c r="J690" s="50" t="s">
        <v>2049</v>
      </c>
      <c r="K690" s="50" t="str">
        <f t="shared" si="45"/>
        <v>C</v>
      </c>
      <c r="L690" s="50">
        <f t="shared" si="46"/>
        <v>895912.78</v>
      </c>
      <c r="M690" s="124"/>
      <c r="O690">
        <f>_xlfn.XLOOKUP(B690,'BALANCETE 2022'!B:B,'BALANCETE 2022'!J:J,0)</f>
        <v>0</v>
      </c>
    </row>
    <row r="691" spans="1:16" x14ac:dyDescent="0.3">
      <c r="A691" t="s">
        <v>2050</v>
      </c>
      <c r="B691" t="s">
        <v>2051</v>
      </c>
      <c r="C691">
        <f t="shared" si="43"/>
        <v>6</v>
      </c>
      <c r="D691" t="str">
        <f t="shared" si="44"/>
        <v>A</v>
      </c>
      <c r="E691" s="115">
        <v>0</v>
      </c>
      <c r="F691" t="s">
        <v>416</v>
      </c>
      <c r="G691" s="16">
        <v>0</v>
      </c>
      <c r="H691" s="50">
        <v>3631.75</v>
      </c>
      <c r="I691" s="50" t="s">
        <v>2052</v>
      </c>
      <c r="J691" s="50" t="s">
        <v>2052</v>
      </c>
      <c r="K691" s="50" t="str">
        <f t="shared" si="45"/>
        <v>C</v>
      </c>
      <c r="L691" s="50">
        <f t="shared" si="46"/>
        <v>3631.75</v>
      </c>
      <c r="M691" s="124"/>
      <c r="O691">
        <f>_xlfn.XLOOKUP(B691,'BALANCETE 2022'!B:B,'BALANCETE 2022'!J:J,0)</f>
        <v>0</v>
      </c>
    </row>
    <row r="692" spans="1:16" x14ac:dyDescent="0.3">
      <c r="A692" t="s">
        <v>2053</v>
      </c>
      <c r="B692" t="s">
        <v>2054</v>
      </c>
      <c r="C692">
        <f t="shared" si="43"/>
        <v>6</v>
      </c>
      <c r="D692" t="str">
        <f t="shared" si="44"/>
        <v>A</v>
      </c>
      <c r="E692" s="115">
        <v>0</v>
      </c>
      <c r="F692" t="s">
        <v>416</v>
      </c>
      <c r="G692" s="16">
        <v>0</v>
      </c>
      <c r="H692" s="50">
        <v>108.95</v>
      </c>
      <c r="I692" s="50" t="s">
        <v>2055</v>
      </c>
      <c r="J692" s="50" t="s">
        <v>2055</v>
      </c>
      <c r="K692" s="50" t="str">
        <f t="shared" si="45"/>
        <v>C</v>
      </c>
      <c r="L692" s="50">
        <f t="shared" si="46"/>
        <v>108.95</v>
      </c>
      <c r="M692" s="124"/>
      <c r="O692">
        <f>_xlfn.XLOOKUP(B692,'BALANCETE 2022'!B:B,'BALANCETE 2022'!J:J,0)</f>
        <v>0</v>
      </c>
    </row>
    <row r="693" spans="1:16" x14ac:dyDescent="0.3">
      <c r="A693" t="s">
        <v>2056</v>
      </c>
      <c r="B693" t="s">
        <v>2057</v>
      </c>
      <c r="C693">
        <f t="shared" si="43"/>
        <v>6</v>
      </c>
      <c r="D693" t="str">
        <f t="shared" si="44"/>
        <v>A</v>
      </c>
      <c r="E693" s="115">
        <v>0</v>
      </c>
      <c r="F693" t="s">
        <v>416</v>
      </c>
      <c r="G693" s="16">
        <v>0</v>
      </c>
      <c r="H693" s="50">
        <v>726.35</v>
      </c>
      <c r="I693" s="50" t="s">
        <v>2058</v>
      </c>
      <c r="J693" s="50" t="s">
        <v>2058</v>
      </c>
      <c r="K693" s="50" t="str">
        <f t="shared" si="45"/>
        <v>C</v>
      </c>
      <c r="L693" s="50">
        <f t="shared" si="46"/>
        <v>726.35</v>
      </c>
      <c r="M693" s="124"/>
      <c r="O693">
        <f>_xlfn.XLOOKUP(B693,'BALANCETE 2022'!B:B,'BALANCETE 2022'!J:J,0)</f>
        <v>0</v>
      </c>
    </row>
  </sheetData>
  <autoFilter ref="A9:O693" xr:uid="{00000000-0001-0000-0500-000000000000}"/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8:N714"/>
  <sheetViews>
    <sheetView topLeftCell="A7" zoomScale="85" zoomScaleNormal="85" workbookViewId="0">
      <pane ySplit="5" topLeftCell="A523" activePane="bottomLeft" state="frozen"/>
      <selection activeCell="E22" sqref="E22"/>
      <selection pane="bottomLeft" activeCell="E22" sqref="E22"/>
    </sheetView>
  </sheetViews>
  <sheetFormatPr defaultRowHeight="14.4" x14ac:dyDescent="0.3"/>
  <cols>
    <col min="1" max="1" width="57.44140625" customWidth="1"/>
    <col min="2" max="2" width="19.88671875" customWidth="1"/>
    <col min="3" max="3" width="19.88671875" style="54" customWidth="1"/>
    <col min="4" max="4" width="19" style="20" customWidth="1"/>
    <col min="5" max="5" width="18" style="20" customWidth="1"/>
    <col min="6" max="6" width="16.6640625" style="54" bestFit="1" customWidth="1"/>
    <col min="7" max="7" width="13.6640625" bestFit="1" customWidth="1"/>
    <col min="8" max="8" width="7.6640625" bestFit="1" customWidth="1"/>
    <col min="9" max="9" width="9.109375" customWidth="1"/>
    <col min="10" max="10" width="13.6640625" style="67" bestFit="1" customWidth="1"/>
    <col min="11" max="11" width="45.5546875" bestFit="1" customWidth="1"/>
    <col min="12" max="12" width="10.5546875" bestFit="1" customWidth="1"/>
    <col min="13" max="13" width="16.33203125" bestFit="1" customWidth="1"/>
    <col min="14" max="14" width="47.109375" bestFit="1" customWidth="1"/>
  </cols>
  <sheetData>
    <row r="8" spans="1:14" x14ac:dyDescent="0.3">
      <c r="A8" s="1" t="s">
        <v>2111</v>
      </c>
    </row>
    <row r="9" spans="1:14" x14ac:dyDescent="0.3">
      <c r="F9" s="55"/>
    </row>
    <row r="10" spans="1:14" x14ac:dyDescent="0.3">
      <c r="A10" s="1" t="s">
        <v>2112</v>
      </c>
    </row>
    <row r="11" spans="1:14" x14ac:dyDescent="0.3">
      <c r="A11" s="56" t="s">
        <v>2</v>
      </c>
      <c r="B11" s="56" t="s">
        <v>3</v>
      </c>
      <c r="C11" s="55" t="s">
        <v>6</v>
      </c>
      <c r="D11" s="55" t="s">
        <v>2117</v>
      </c>
      <c r="E11" s="55" t="s">
        <v>8</v>
      </c>
      <c r="F11" s="203" t="s">
        <v>2118</v>
      </c>
      <c r="G11" s="55" t="s">
        <v>2119</v>
      </c>
      <c r="H11" s="55"/>
      <c r="I11" s="55"/>
      <c r="J11" s="68" t="s">
        <v>2120</v>
      </c>
      <c r="K11" t="s">
        <v>2121</v>
      </c>
      <c r="L11" s="55" t="s">
        <v>3332</v>
      </c>
      <c r="M11" s="55" t="s">
        <v>2122</v>
      </c>
      <c r="N11" s="55" t="s">
        <v>2123</v>
      </c>
    </row>
    <row r="12" spans="1:14" x14ac:dyDescent="0.3">
      <c r="A12" s="51" t="s">
        <v>2533</v>
      </c>
      <c r="B12" s="51" t="s">
        <v>12</v>
      </c>
      <c r="C12" s="57">
        <v>91091292.629999995</v>
      </c>
      <c r="D12" s="58">
        <v>202773973.36000001</v>
      </c>
      <c r="E12" s="58">
        <v>235377045.31</v>
      </c>
      <c r="F12" s="57">
        <v>58488220.68</v>
      </c>
      <c r="J12" s="67">
        <v>0</v>
      </c>
      <c r="N12">
        <f>_xlfn.XLOOKUP(M12,'QUADROS QUE FALTARAM'!F:F,'QUADROS QUE FALTARAM'!B:B,0)</f>
        <v>0</v>
      </c>
    </row>
    <row r="13" spans="1:14" x14ac:dyDescent="0.3">
      <c r="A13" s="1" t="s">
        <v>2535</v>
      </c>
      <c r="B13" s="1" t="s">
        <v>17</v>
      </c>
      <c r="C13" s="59">
        <v>23522890.949999999</v>
      </c>
      <c r="D13" s="62">
        <v>171482511.88999999</v>
      </c>
      <c r="E13" s="62">
        <v>172403509.65000001</v>
      </c>
      <c r="F13" s="59">
        <v>22601893.190000001</v>
      </c>
      <c r="J13" s="67">
        <v>0</v>
      </c>
      <c r="N13">
        <f>_xlfn.XLOOKUP(M13,'QUADROS QUE FALTARAM'!F:F,'QUADROS QUE FALTARAM'!B:B,0)</f>
        <v>0</v>
      </c>
    </row>
    <row r="14" spans="1:14" x14ac:dyDescent="0.3">
      <c r="A14" s="1" t="s">
        <v>2537</v>
      </c>
      <c r="B14" s="1" t="s">
        <v>21</v>
      </c>
      <c r="C14" s="59">
        <v>6903819.0899999999</v>
      </c>
      <c r="D14" s="62">
        <v>106942045.78</v>
      </c>
      <c r="E14" s="62">
        <v>110984666.5</v>
      </c>
      <c r="F14" s="59">
        <v>2861198.37</v>
      </c>
      <c r="J14" s="67">
        <v>0</v>
      </c>
      <c r="N14">
        <f>_xlfn.XLOOKUP(M14,'QUADROS QUE FALTARAM'!F:F,'QUADROS QUE FALTARAM'!B:B,0)</f>
        <v>0</v>
      </c>
    </row>
    <row r="15" spans="1:14" x14ac:dyDescent="0.3">
      <c r="A15" s="1" t="s">
        <v>2540</v>
      </c>
      <c r="B15" s="1" t="s">
        <v>30</v>
      </c>
      <c r="C15" s="59">
        <v>161619.26</v>
      </c>
      <c r="D15" s="62">
        <v>102216830.18000001</v>
      </c>
      <c r="E15" s="62">
        <v>101868718.08</v>
      </c>
      <c r="F15" s="59">
        <v>509731.36</v>
      </c>
      <c r="J15" s="67">
        <v>0</v>
      </c>
      <c r="N15">
        <f>_xlfn.XLOOKUP(M15,'QUADROS QUE FALTARAM'!F:F,'QUADROS QUE FALTARAM'!B:B,0)</f>
        <v>0</v>
      </c>
    </row>
    <row r="16" spans="1:14" x14ac:dyDescent="0.3">
      <c r="A16" t="s">
        <v>2542</v>
      </c>
      <c r="B16" t="s">
        <v>34</v>
      </c>
      <c r="C16" s="54">
        <v>0</v>
      </c>
      <c r="D16" s="20">
        <v>34090.94</v>
      </c>
      <c r="E16" s="20">
        <v>20868.22</v>
      </c>
      <c r="F16" s="54">
        <v>13222.72</v>
      </c>
      <c r="J16" s="67">
        <v>0</v>
      </c>
      <c r="N16">
        <f>_xlfn.XLOOKUP(M16,'QUADROS QUE FALTARAM'!F:F,'QUADROS QUE FALTARAM'!B:B,0)</f>
        <v>0</v>
      </c>
    </row>
    <row r="17" spans="1:14" x14ac:dyDescent="0.3">
      <c r="A17" t="s">
        <v>2543</v>
      </c>
      <c r="B17" t="s">
        <v>36</v>
      </c>
      <c r="C17" s="54">
        <v>10</v>
      </c>
      <c r="D17" s="20">
        <v>2780003.27</v>
      </c>
      <c r="E17" s="20">
        <v>2780010.57</v>
      </c>
      <c r="F17" s="54">
        <v>2.7</v>
      </c>
      <c r="J17" s="67">
        <v>0</v>
      </c>
      <c r="N17">
        <f>_xlfn.XLOOKUP(M17,'QUADROS QUE FALTARAM'!F:F,'QUADROS QUE FALTARAM'!B:B,0)</f>
        <v>0</v>
      </c>
    </row>
    <row r="18" spans="1:14" x14ac:dyDescent="0.3">
      <c r="A18" t="s">
        <v>2544</v>
      </c>
      <c r="B18" t="s">
        <v>39</v>
      </c>
      <c r="C18" s="54">
        <v>11601.75</v>
      </c>
      <c r="D18" s="20">
        <v>0</v>
      </c>
      <c r="E18" s="20">
        <v>11601.75</v>
      </c>
      <c r="F18" s="54">
        <v>0</v>
      </c>
      <c r="J18" s="67">
        <v>0</v>
      </c>
      <c r="N18">
        <f>_xlfn.XLOOKUP(M18,'QUADROS QUE FALTARAM'!F:F,'QUADROS QUE FALTARAM'!B:B,0)</f>
        <v>0</v>
      </c>
    </row>
    <row r="19" spans="1:14" x14ac:dyDescent="0.3">
      <c r="A19" t="s">
        <v>2545</v>
      </c>
      <c r="B19" t="s">
        <v>43</v>
      </c>
      <c r="C19" s="54">
        <v>149894.91</v>
      </c>
      <c r="D19" s="20">
        <v>7408411.5700000003</v>
      </c>
      <c r="E19" s="20">
        <v>7558306.4800000004</v>
      </c>
      <c r="F19" s="54">
        <v>0</v>
      </c>
      <c r="J19" s="67">
        <v>0</v>
      </c>
      <c r="N19">
        <f>_xlfn.XLOOKUP(M19,'QUADROS QUE FALTARAM'!F:F,'QUADROS QUE FALTARAM'!B:B,0)</f>
        <v>0</v>
      </c>
    </row>
    <row r="20" spans="1:14" x14ac:dyDescent="0.3">
      <c r="A20" t="s">
        <v>2546</v>
      </c>
      <c r="B20" t="s">
        <v>47</v>
      </c>
      <c r="C20" s="54">
        <v>102.6</v>
      </c>
      <c r="D20" s="20">
        <v>14038774.65</v>
      </c>
      <c r="E20" s="20">
        <v>14018033.25</v>
      </c>
      <c r="F20" s="54">
        <v>20844</v>
      </c>
      <c r="J20" s="67">
        <v>0</v>
      </c>
      <c r="N20">
        <f>_xlfn.XLOOKUP(M20,'QUADROS QUE FALTARAM'!F:F,'QUADROS QUE FALTARAM'!B:B,0)</f>
        <v>0</v>
      </c>
    </row>
    <row r="21" spans="1:14" x14ac:dyDescent="0.3">
      <c r="A21" t="s">
        <v>2547</v>
      </c>
      <c r="B21" t="s">
        <v>2128</v>
      </c>
      <c r="C21" s="54">
        <v>0</v>
      </c>
      <c r="D21" s="20">
        <v>2561483.81</v>
      </c>
      <c r="E21" s="20">
        <v>2561483.81</v>
      </c>
      <c r="F21" s="54">
        <v>0</v>
      </c>
      <c r="J21" s="67" t="s">
        <v>2129</v>
      </c>
      <c r="N21">
        <f>_xlfn.XLOOKUP(M21,'QUADROS QUE FALTARAM'!F:F,'QUADROS QUE FALTARAM'!B:B,0)</f>
        <v>0</v>
      </c>
    </row>
    <row r="22" spans="1:14" x14ac:dyDescent="0.3">
      <c r="A22" t="s">
        <v>2548</v>
      </c>
      <c r="B22" t="s">
        <v>51</v>
      </c>
      <c r="C22" s="54">
        <v>0</v>
      </c>
      <c r="D22" s="20">
        <v>12522170</v>
      </c>
      <c r="E22" s="20">
        <v>12522170</v>
      </c>
      <c r="F22" s="54">
        <v>0</v>
      </c>
      <c r="J22" s="67">
        <v>0</v>
      </c>
      <c r="N22">
        <f>_xlfn.XLOOKUP(M22,'QUADROS QUE FALTARAM'!F:F,'QUADROS QUE FALTARAM'!B:B,0)</f>
        <v>0</v>
      </c>
    </row>
    <row r="23" spans="1:14" x14ac:dyDescent="0.3">
      <c r="A23" t="s">
        <v>2549</v>
      </c>
      <c r="B23" t="s">
        <v>54</v>
      </c>
      <c r="C23" s="54">
        <v>10</v>
      </c>
      <c r="D23" s="20">
        <v>27555326.989999998</v>
      </c>
      <c r="E23" s="20">
        <v>27555336.989999998</v>
      </c>
      <c r="F23" s="54">
        <v>0</v>
      </c>
      <c r="J23" s="67">
        <v>0</v>
      </c>
      <c r="N23">
        <f>_xlfn.XLOOKUP(M23,'QUADROS QUE FALTARAM'!F:F,'QUADROS QUE FALTARAM'!B:B,0)</f>
        <v>0</v>
      </c>
    </row>
    <row r="24" spans="1:14" x14ac:dyDescent="0.3">
      <c r="A24" t="s">
        <v>2550</v>
      </c>
      <c r="B24" t="s">
        <v>2130</v>
      </c>
      <c r="C24" s="54">
        <v>0</v>
      </c>
      <c r="D24" s="20">
        <v>19300572.620000001</v>
      </c>
      <c r="E24" s="20">
        <v>19081687.870000001</v>
      </c>
      <c r="F24" s="54">
        <v>218884.75</v>
      </c>
      <c r="J24" s="67" t="s">
        <v>2129</v>
      </c>
      <c r="N24">
        <f>_xlfn.XLOOKUP(M24,'QUADROS QUE FALTARAM'!F:F,'QUADROS QUE FALTARAM'!B:B,0)</f>
        <v>0</v>
      </c>
    </row>
    <row r="25" spans="1:14" x14ac:dyDescent="0.3">
      <c r="A25" s="174" t="s">
        <v>2551</v>
      </c>
      <c r="B25" s="174" t="s">
        <v>2132</v>
      </c>
      <c r="C25" s="176">
        <v>0</v>
      </c>
      <c r="D25" s="178">
        <v>16015996.33</v>
      </c>
      <c r="E25" s="178">
        <v>15759219.140000001</v>
      </c>
      <c r="F25" s="176">
        <v>256777.19</v>
      </c>
      <c r="J25" s="67" t="s">
        <v>2124</v>
      </c>
      <c r="N25">
        <f>_xlfn.XLOOKUP(M25,'QUADROS QUE FALTARAM'!F:F,'QUADROS QUE FALTARAM'!B:B,0)</f>
        <v>0</v>
      </c>
    </row>
    <row r="26" spans="1:14" x14ac:dyDescent="0.3">
      <c r="A26" s="1" t="s">
        <v>2553</v>
      </c>
      <c r="B26" s="1" t="s">
        <v>56</v>
      </c>
      <c r="C26" s="59">
        <v>4526808.2</v>
      </c>
      <c r="D26" s="62">
        <v>4556696.66</v>
      </c>
      <c r="E26" s="62">
        <v>9078031.6899999995</v>
      </c>
      <c r="F26" s="59">
        <v>5473.17</v>
      </c>
      <c r="J26" s="67">
        <v>0</v>
      </c>
      <c r="N26">
        <f>_xlfn.XLOOKUP(M26,'QUADROS QUE FALTARAM'!F:F,'QUADROS QUE FALTARAM'!B:B,0)</f>
        <v>0</v>
      </c>
    </row>
    <row r="27" spans="1:14" x14ac:dyDescent="0.3">
      <c r="A27" t="s">
        <v>2555</v>
      </c>
      <c r="B27" t="s">
        <v>60</v>
      </c>
      <c r="C27" s="54">
        <v>5268</v>
      </c>
      <c r="D27" s="20">
        <v>308696.96999999997</v>
      </c>
      <c r="E27" s="20">
        <v>313964.96999999997</v>
      </c>
      <c r="F27" s="54">
        <v>0</v>
      </c>
      <c r="J27" s="67">
        <v>0</v>
      </c>
      <c r="N27">
        <f>_xlfn.XLOOKUP(M27,'QUADROS QUE FALTARAM'!F:F,'QUADROS QUE FALTARAM'!B:B,0)</f>
        <v>0</v>
      </c>
    </row>
    <row r="28" spans="1:14" x14ac:dyDescent="0.3">
      <c r="A28" t="s">
        <v>2556</v>
      </c>
      <c r="B28" t="s">
        <v>64</v>
      </c>
      <c r="C28" s="54">
        <v>6594.61</v>
      </c>
      <c r="D28" s="20">
        <v>3340.88</v>
      </c>
      <c r="E28" s="20">
        <v>4548.0200000000004</v>
      </c>
      <c r="F28" s="54">
        <v>5387.47</v>
      </c>
      <c r="J28" s="67">
        <v>0</v>
      </c>
      <c r="N28">
        <f>_xlfn.XLOOKUP(M28,'QUADROS QUE FALTARAM'!F:F,'QUADROS QUE FALTARAM'!B:B,0)</f>
        <v>0</v>
      </c>
    </row>
    <row r="29" spans="1:14" x14ac:dyDescent="0.3">
      <c r="A29" t="s">
        <v>2557</v>
      </c>
      <c r="B29" t="s">
        <v>68</v>
      </c>
      <c r="C29" s="54">
        <v>79.55</v>
      </c>
      <c r="D29" s="20">
        <v>7.6</v>
      </c>
      <c r="E29" s="20">
        <v>1.45</v>
      </c>
      <c r="F29" s="54">
        <v>85.7</v>
      </c>
      <c r="J29" s="67">
        <v>0</v>
      </c>
      <c r="N29">
        <f>_xlfn.XLOOKUP(M29,'QUADROS QUE FALTARAM'!F:F,'QUADROS QUE FALTARAM'!B:B,0)</f>
        <v>0</v>
      </c>
    </row>
    <row r="30" spans="1:14" x14ac:dyDescent="0.3">
      <c r="A30" t="s">
        <v>2558</v>
      </c>
      <c r="B30" t="s">
        <v>72</v>
      </c>
      <c r="C30" s="54">
        <v>4514866.04</v>
      </c>
      <c r="D30" s="20">
        <v>4244651.21</v>
      </c>
      <c r="E30" s="20">
        <v>8759517.25</v>
      </c>
      <c r="F30" s="54">
        <v>0</v>
      </c>
      <c r="J30" s="67">
        <v>0</v>
      </c>
      <c r="N30">
        <f>_xlfn.XLOOKUP(M30,'QUADROS QUE FALTARAM'!F:F,'QUADROS QUE FALTARAM'!B:B,0)</f>
        <v>0</v>
      </c>
    </row>
    <row r="31" spans="1:14" x14ac:dyDescent="0.3">
      <c r="A31" s="1" t="s">
        <v>2559</v>
      </c>
      <c r="B31" s="1" t="s">
        <v>75</v>
      </c>
      <c r="C31" s="59">
        <v>2215391.63</v>
      </c>
      <c r="D31" s="62">
        <v>168518.94</v>
      </c>
      <c r="E31" s="62">
        <v>37916.730000000003</v>
      </c>
      <c r="F31" s="59">
        <v>2345993.84</v>
      </c>
      <c r="J31" s="67">
        <v>0</v>
      </c>
      <c r="N31">
        <f>_xlfn.XLOOKUP(M31,'QUADROS QUE FALTARAM'!F:F,'QUADROS QUE FALTARAM'!B:B,0)</f>
        <v>0</v>
      </c>
    </row>
    <row r="32" spans="1:14" x14ac:dyDescent="0.3">
      <c r="A32" t="s">
        <v>2560</v>
      </c>
      <c r="B32" t="s">
        <v>79</v>
      </c>
      <c r="C32" s="54">
        <v>2215391.63</v>
      </c>
      <c r="D32" s="20">
        <v>168518.94</v>
      </c>
      <c r="E32" s="20">
        <v>37916.730000000003</v>
      </c>
      <c r="F32" s="54">
        <v>2345993.84</v>
      </c>
      <c r="J32" s="67">
        <v>0</v>
      </c>
      <c r="N32">
        <f>_xlfn.XLOOKUP(M32,'QUADROS QUE FALTARAM'!F:F,'QUADROS QUE FALTARAM'!B:B,0)</f>
        <v>0</v>
      </c>
    </row>
    <row r="33" spans="1:14" x14ac:dyDescent="0.3">
      <c r="A33" s="1" t="s">
        <v>2561</v>
      </c>
      <c r="B33" s="1" t="s">
        <v>82</v>
      </c>
      <c r="C33" s="59">
        <v>7597374.3799999999</v>
      </c>
      <c r="D33" s="62">
        <v>11035769.59</v>
      </c>
      <c r="E33" s="62">
        <v>16743757.189999999</v>
      </c>
      <c r="F33" s="59">
        <v>1889386.78</v>
      </c>
      <c r="J33" s="67">
        <v>0</v>
      </c>
      <c r="N33">
        <f>_xlfn.XLOOKUP(M33,'QUADROS QUE FALTARAM'!F:F,'QUADROS QUE FALTARAM'!B:B,0)</f>
        <v>0</v>
      </c>
    </row>
    <row r="34" spans="1:14" x14ac:dyDescent="0.3">
      <c r="A34" s="1" t="s">
        <v>2563</v>
      </c>
      <c r="B34" s="1" t="s">
        <v>85</v>
      </c>
      <c r="C34" s="59">
        <v>7597374.3799999999</v>
      </c>
      <c r="D34" s="62">
        <v>9175045.5500000007</v>
      </c>
      <c r="E34" s="62">
        <v>15158655.35</v>
      </c>
      <c r="F34" s="59">
        <v>1613764.58</v>
      </c>
      <c r="J34" s="67">
        <v>0</v>
      </c>
      <c r="N34">
        <f>_xlfn.XLOOKUP(M34,'QUADROS QUE FALTARAM'!F:F,'QUADROS QUE FALTARAM'!B:B,0)</f>
        <v>0</v>
      </c>
    </row>
    <row r="35" spans="1:14" x14ac:dyDescent="0.3">
      <c r="A35" t="s">
        <v>2565</v>
      </c>
      <c r="B35" t="s">
        <v>185</v>
      </c>
      <c r="C35" s="54">
        <v>224.3</v>
      </c>
      <c r="D35" s="20">
        <v>0</v>
      </c>
      <c r="E35" s="20">
        <v>224.3</v>
      </c>
      <c r="F35" s="54">
        <v>0</v>
      </c>
      <c r="J35" s="67">
        <v>0</v>
      </c>
      <c r="N35">
        <f>_xlfn.XLOOKUP(M35,'QUADROS QUE FALTARAM'!F:F,'QUADROS QUE FALTARAM'!B:B,0)</f>
        <v>0</v>
      </c>
    </row>
    <row r="36" spans="1:14" x14ac:dyDescent="0.3">
      <c r="A36" t="s">
        <v>2566</v>
      </c>
      <c r="B36" t="s">
        <v>188</v>
      </c>
      <c r="C36" s="54">
        <v>0</v>
      </c>
      <c r="D36" s="20">
        <v>23200</v>
      </c>
      <c r="E36" s="20">
        <v>23200</v>
      </c>
      <c r="F36" s="54">
        <v>0</v>
      </c>
      <c r="J36" s="67">
        <v>0</v>
      </c>
      <c r="N36">
        <f>_xlfn.XLOOKUP(M36,'QUADROS QUE FALTARAM'!F:F,'QUADROS QUE FALTARAM'!B:B,0)</f>
        <v>0</v>
      </c>
    </row>
    <row r="37" spans="1:14" x14ac:dyDescent="0.3">
      <c r="A37" t="s">
        <v>2567</v>
      </c>
      <c r="B37" t="s">
        <v>210</v>
      </c>
      <c r="C37" s="54">
        <v>0</v>
      </c>
      <c r="D37" s="20">
        <v>23800</v>
      </c>
      <c r="E37" s="20">
        <v>23800</v>
      </c>
      <c r="F37" s="54">
        <v>0</v>
      </c>
      <c r="J37" s="67">
        <v>0</v>
      </c>
      <c r="N37">
        <f>_xlfn.XLOOKUP(M37,'QUADROS QUE FALTARAM'!F:F,'QUADROS QUE FALTARAM'!B:B,0)</f>
        <v>0</v>
      </c>
    </row>
    <row r="38" spans="1:14" x14ac:dyDescent="0.3">
      <c r="A38" t="s">
        <v>2568</v>
      </c>
      <c r="B38" t="s">
        <v>212</v>
      </c>
      <c r="C38" s="54">
        <v>20584.03</v>
      </c>
      <c r="D38" s="20">
        <v>0</v>
      </c>
      <c r="E38" s="20">
        <v>0</v>
      </c>
      <c r="F38" s="54">
        <v>20584.03</v>
      </c>
      <c r="J38" s="67">
        <v>0</v>
      </c>
      <c r="N38">
        <f>_xlfn.XLOOKUP(M38,'QUADROS QUE FALTARAM'!F:F,'QUADROS QUE FALTARAM'!B:B,0)</f>
        <v>0</v>
      </c>
    </row>
    <row r="39" spans="1:14" x14ac:dyDescent="0.3">
      <c r="A39" t="s">
        <v>2569</v>
      </c>
      <c r="B39" t="s">
        <v>215</v>
      </c>
      <c r="C39" s="54">
        <v>164931.20000000001</v>
      </c>
      <c r="D39" s="20">
        <v>0</v>
      </c>
      <c r="E39" s="20">
        <v>164931.20000000001</v>
      </c>
      <c r="F39" s="54">
        <v>0</v>
      </c>
      <c r="J39" s="67">
        <v>0</v>
      </c>
      <c r="N39">
        <f>_xlfn.XLOOKUP(M39,'QUADROS QUE FALTARAM'!F:F,'QUADROS QUE FALTARAM'!B:B,0)</f>
        <v>0</v>
      </c>
    </row>
    <row r="40" spans="1:14" x14ac:dyDescent="0.3">
      <c r="A40" t="s">
        <v>2570</v>
      </c>
      <c r="B40" t="s">
        <v>218</v>
      </c>
      <c r="C40" s="54">
        <v>0</v>
      </c>
      <c r="D40" s="20">
        <v>35700</v>
      </c>
      <c r="E40" s="20">
        <v>35700</v>
      </c>
      <c r="F40" s="54">
        <v>0</v>
      </c>
      <c r="J40" s="67">
        <v>0</v>
      </c>
      <c r="N40">
        <f>_xlfn.XLOOKUP(M40,'QUADROS QUE FALTARAM'!F:F,'QUADROS QUE FALTARAM'!B:B,0)</f>
        <v>0</v>
      </c>
    </row>
    <row r="41" spans="1:14" x14ac:dyDescent="0.3">
      <c r="A41" t="s">
        <v>2571</v>
      </c>
      <c r="B41" t="s">
        <v>223</v>
      </c>
      <c r="C41" s="54">
        <v>0</v>
      </c>
      <c r="D41" s="20">
        <v>4200</v>
      </c>
      <c r="E41" s="20">
        <v>4200</v>
      </c>
      <c r="F41" s="54">
        <v>0</v>
      </c>
      <c r="J41" s="67">
        <v>0</v>
      </c>
      <c r="N41">
        <f>_xlfn.XLOOKUP(M41,'QUADROS QUE FALTARAM'!F:F,'QUADROS QUE FALTARAM'!B:B,0)</f>
        <v>0</v>
      </c>
    </row>
    <row r="42" spans="1:14" x14ac:dyDescent="0.3">
      <c r="A42" t="s">
        <v>2572</v>
      </c>
      <c r="B42" t="s">
        <v>225</v>
      </c>
      <c r="C42" s="54">
        <v>31000</v>
      </c>
      <c r="D42" s="20">
        <v>30225</v>
      </c>
      <c r="E42" s="20">
        <v>61225</v>
      </c>
      <c r="F42" s="54">
        <v>0</v>
      </c>
      <c r="J42" s="67">
        <v>0</v>
      </c>
      <c r="N42">
        <f>_xlfn.XLOOKUP(M42,'QUADROS QUE FALTARAM'!F:F,'QUADROS QUE FALTARAM'!B:B,0)</f>
        <v>0</v>
      </c>
    </row>
    <row r="43" spans="1:14" x14ac:dyDescent="0.3">
      <c r="A43" t="s">
        <v>2573</v>
      </c>
      <c r="B43" t="s">
        <v>231</v>
      </c>
      <c r="C43" s="54">
        <v>0</v>
      </c>
      <c r="D43" s="20">
        <v>52500</v>
      </c>
      <c r="E43" s="20">
        <v>52500</v>
      </c>
      <c r="F43" s="54">
        <v>0</v>
      </c>
      <c r="J43" s="67">
        <v>0</v>
      </c>
      <c r="N43">
        <f>_xlfn.XLOOKUP(M43,'QUADROS QUE FALTARAM'!F:F,'QUADROS QUE FALTARAM'!B:B,0)</f>
        <v>0</v>
      </c>
    </row>
    <row r="44" spans="1:14" x14ac:dyDescent="0.3">
      <c r="A44" t="s">
        <v>2574</v>
      </c>
      <c r="B44" t="s">
        <v>246</v>
      </c>
      <c r="C44" s="54">
        <v>0</v>
      </c>
      <c r="D44" s="20">
        <v>16800</v>
      </c>
      <c r="E44" s="20">
        <v>16800</v>
      </c>
      <c r="F44" s="54">
        <v>0</v>
      </c>
      <c r="J44" s="67">
        <v>0</v>
      </c>
      <c r="N44">
        <f>_xlfn.XLOOKUP(M44,'QUADROS QUE FALTARAM'!F:F,'QUADROS QUE FALTARAM'!B:B,0)</f>
        <v>0</v>
      </c>
    </row>
    <row r="45" spans="1:14" x14ac:dyDescent="0.3">
      <c r="A45" t="s">
        <v>2575</v>
      </c>
      <c r="B45" t="s">
        <v>248</v>
      </c>
      <c r="C45" s="54">
        <v>0</v>
      </c>
      <c r="D45" s="20">
        <v>9000</v>
      </c>
      <c r="E45" s="20">
        <v>9000</v>
      </c>
      <c r="F45" s="54">
        <v>0</v>
      </c>
      <c r="J45" s="67">
        <v>0</v>
      </c>
      <c r="N45">
        <f>_xlfn.XLOOKUP(M45,'QUADROS QUE FALTARAM'!F:F,'QUADROS QUE FALTARAM'!B:B,0)</f>
        <v>0</v>
      </c>
    </row>
    <row r="46" spans="1:14" x14ac:dyDescent="0.3">
      <c r="A46" t="s">
        <v>2576</v>
      </c>
      <c r="B46" t="s">
        <v>250</v>
      </c>
      <c r="C46" s="54">
        <v>0</v>
      </c>
      <c r="D46" s="20">
        <v>4200</v>
      </c>
      <c r="E46" s="20">
        <v>4200</v>
      </c>
      <c r="F46" s="54">
        <v>0</v>
      </c>
      <c r="J46" s="67">
        <v>0</v>
      </c>
      <c r="N46">
        <f>_xlfn.XLOOKUP(M46,'QUADROS QUE FALTARAM'!F:F,'QUADROS QUE FALTARAM'!B:B,0)</f>
        <v>0</v>
      </c>
    </row>
    <row r="47" spans="1:14" x14ac:dyDescent="0.3">
      <c r="A47" t="s">
        <v>2577</v>
      </c>
      <c r="B47" t="s">
        <v>255</v>
      </c>
      <c r="C47" s="54">
        <v>0</v>
      </c>
      <c r="D47" s="20">
        <v>33600</v>
      </c>
      <c r="E47" s="20">
        <v>33600</v>
      </c>
      <c r="F47" s="54">
        <v>0</v>
      </c>
      <c r="J47" s="67">
        <v>0</v>
      </c>
      <c r="N47">
        <f>_xlfn.XLOOKUP(M47,'QUADROS QUE FALTARAM'!F:F,'QUADROS QUE FALTARAM'!B:B,0)</f>
        <v>0</v>
      </c>
    </row>
    <row r="48" spans="1:14" x14ac:dyDescent="0.3">
      <c r="A48" t="s">
        <v>2578</v>
      </c>
      <c r="B48" t="s">
        <v>260</v>
      </c>
      <c r="C48" s="54">
        <v>0</v>
      </c>
      <c r="D48" s="20">
        <v>35302.5</v>
      </c>
      <c r="E48" s="20">
        <v>34477.5</v>
      </c>
      <c r="F48" s="54">
        <v>825</v>
      </c>
      <c r="J48" s="67">
        <v>0</v>
      </c>
      <c r="N48">
        <f>_xlfn.XLOOKUP(M48,'QUADROS QUE FALTARAM'!F:F,'QUADROS QUE FALTARAM'!B:B,0)</f>
        <v>0</v>
      </c>
    </row>
    <row r="49" spans="1:14" x14ac:dyDescent="0.3">
      <c r="A49" t="s">
        <v>2579</v>
      </c>
      <c r="B49" t="s">
        <v>262</v>
      </c>
      <c r="C49" s="54">
        <v>0</v>
      </c>
      <c r="D49" s="20">
        <v>21000</v>
      </c>
      <c r="E49" s="20">
        <v>21000</v>
      </c>
      <c r="F49" s="54">
        <v>0</v>
      </c>
      <c r="J49" s="67">
        <v>0</v>
      </c>
      <c r="N49">
        <f>_xlfn.XLOOKUP(M49,'QUADROS QUE FALTARAM'!F:F,'QUADROS QUE FALTARAM'!B:B,0)</f>
        <v>0</v>
      </c>
    </row>
    <row r="50" spans="1:14" x14ac:dyDescent="0.3">
      <c r="A50" t="s">
        <v>2580</v>
      </c>
      <c r="B50" t="s">
        <v>264</v>
      </c>
      <c r="C50" s="54">
        <v>0</v>
      </c>
      <c r="D50" s="20">
        <v>8610</v>
      </c>
      <c r="E50" s="20">
        <v>6510</v>
      </c>
      <c r="F50" s="54">
        <v>2100</v>
      </c>
      <c r="J50" s="67">
        <v>0</v>
      </c>
      <c r="N50">
        <f>_xlfn.XLOOKUP(M50,'QUADROS QUE FALTARAM'!F:F,'QUADROS QUE FALTARAM'!B:B,0)</f>
        <v>0</v>
      </c>
    </row>
    <row r="51" spans="1:14" x14ac:dyDescent="0.3">
      <c r="A51" t="s">
        <v>2581</v>
      </c>
      <c r="B51" t="s">
        <v>266</v>
      </c>
      <c r="C51" s="54">
        <v>0</v>
      </c>
      <c r="D51" s="20">
        <v>7350</v>
      </c>
      <c r="E51" s="20">
        <v>7350</v>
      </c>
      <c r="F51" s="54">
        <v>0</v>
      </c>
      <c r="J51" s="67">
        <v>0</v>
      </c>
      <c r="N51">
        <f>_xlfn.XLOOKUP(M51,'QUADROS QUE FALTARAM'!F:F,'QUADROS QUE FALTARAM'!B:B,0)</f>
        <v>0</v>
      </c>
    </row>
    <row r="52" spans="1:14" x14ac:dyDescent="0.3">
      <c r="A52" t="s">
        <v>2582</v>
      </c>
      <c r="B52" t="s">
        <v>268</v>
      </c>
      <c r="C52" s="54">
        <v>74250</v>
      </c>
      <c r="D52" s="20">
        <v>181650</v>
      </c>
      <c r="E52" s="20">
        <v>255900</v>
      </c>
      <c r="F52" s="54">
        <v>0</v>
      </c>
      <c r="J52" s="67">
        <v>0</v>
      </c>
      <c r="N52">
        <f>_xlfn.XLOOKUP(M52,'QUADROS QUE FALTARAM'!F:F,'QUADROS QUE FALTARAM'!B:B,0)</f>
        <v>0</v>
      </c>
    </row>
    <row r="53" spans="1:14" x14ac:dyDescent="0.3">
      <c r="A53" t="s">
        <v>2583</v>
      </c>
      <c r="B53" t="s">
        <v>2137</v>
      </c>
      <c r="C53" s="54">
        <v>0</v>
      </c>
      <c r="D53" s="20">
        <v>4500</v>
      </c>
      <c r="E53" s="20">
        <v>4500</v>
      </c>
      <c r="F53" s="54">
        <v>0</v>
      </c>
      <c r="J53" s="67" t="s">
        <v>2129</v>
      </c>
      <c r="N53">
        <f>_xlfn.XLOOKUP(M53,'QUADROS QUE FALTARAM'!F:F,'QUADROS QUE FALTARAM'!B:B,0)</f>
        <v>0</v>
      </c>
    </row>
    <row r="54" spans="1:14" x14ac:dyDescent="0.3">
      <c r="A54" t="s">
        <v>2584</v>
      </c>
      <c r="B54" t="s">
        <v>272</v>
      </c>
      <c r="C54" s="54">
        <v>0</v>
      </c>
      <c r="D54" s="20">
        <v>6495</v>
      </c>
      <c r="E54" s="20">
        <v>6180</v>
      </c>
      <c r="F54" s="54">
        <v>315</v>
      </c>
      <c r="J54" s="67">
        <v>0</v>
      </c>
      <c r="N54">
        <f>_xlfn.XLOOKUP(M54,'QUADROS QUE FALTARAM'!F:F,'QUADROS QUE FALTARAM'!B:B,0)</f>
        <v>0</v>
      </c>
    </row>
    <row r="55" spans="1:14" x14ac:dyDescent="0.3">
      <c r="A55" t="s">
        <v>2585</v>
      </c>
      <c r="B55" t="s">
        <v>274</v>
      </c>
      <c r="C55" s="54">
        <v>0</v>
      </c>
      <c r="D55" s="20">
        <v>5543</v>
      </c>
      <c r="E55" s="20">
        <v>5543</v>
      </c>
      <c r="F55" s="54">
        <v>0</v>
      </c>
      <c r="J55" s="67">
        <v>0</v>
      </c>
      <c r="N55">
        <f>_xlfn.XLOOKUP(M55,'QUADROS QUE FALTARAM'!F:F,'QUADROS QUE FALTARAM'!B:B,0)</f>
        <v>0</v>
      </c>
    </row>
    <row r="56" spans="1:14" x14ac:dyDescent="0.3">
      <c r="A56" t="s">
        <v>2586</v>
      </c>
      <c r="B56" t="s">
        <v>276</v>
      </c>
      <c r="C56" s="54">
        <v>0</v>
      </c>
      <c r="D56" s="20">
        <v>3990</v>
      </c>
      <c r="E56" s="20">
        <v>3990</v>
      </c>
      <c r="F56" s="54">
        <v>0</v>
      </c>
      <c r="J56" s="67">
        <v>0</v>
      </c>
      <c r="N56">
        <f>_xlfn.XLOOKUP(M56,'QUADROS QUE FALTARAM'!F:F,'QUADROS QUE FALTARAM'!B:B,0)</f>
        <v>0</v>
      </c>
    </row>
    <row r="57" spans="1:14" x14ac:dyDescent="0.3">
      <c r="A57" t="s">
        <v>2587</v>
      </c>
      <c r="B57" t="s">
        <v>278</v>
      </c>
      <c r="C57" s="54">
        <v>0</v>
      </c>
      <c r="D57" s="20">
        <v>10327.5</v>
      </c>
      <c r="E57" s="20">
        <v>8032.5</v>
      </c>
      <c r="F57" s="54">
        <v>2295</v>
      </c>
      <c r="J57" s="67">
        <v>0</v>
      </c>
      <c r="N57">
        <f>_xlfn.XLOOKUP(M57,'QUADROS QUE FALTARAM'!F:F,'QUADROS QUE FALTARAM'!B:B,0)</f>
        <v>0</v>
      </c>
    </row>
    <row r="58" spans="1:14" x14ac:dyDescent="0.3">
      <c r="A58" t="s">
        <v>2588</v>
      </c>
      <c r="B58" t="s">
        <v>280</v>
      </c>
      <c r="C58" s="54">
        <v>345</v>
      </c>
      <c r="D58" s="20">
        <v>0</v>
      </c>
      <c r="E58" s="20">
        <v>345</v>
      </c>
      <c r="F58" s="54">
        <v>0</v>
      </c>
      <c r="J58" s="67">
        <v>0</v>
      </c>
      <c r="N58">
        <f>_xlfn.XLOOKUP(M58,'QUADROS QUE FALTARAM'!F:F,'QUADROS QUE FALTARAM'!B:B,0)</f>
        <v>0</v>
      </c>
    </row>
    <row r="59" spans="1:14" x14ac:dyDescent="0.3">
      <c r="A59" t="s">
        <v>2589</v>
      </c>
      <c r="B59" t="s">
        <v>286</v>
      </c>
      <c r="C59" s="54">
        <v>0</v>
      </c>
      <c r="D59" s="20">
        <v>420</v>
      </c>
      <c r="E59" s="20">
        <v>420</v>
      </c>
      <c r="F59" s="54">
        <v>0</v>
      </c>
      <c r="J59" s="67">
        <v>0</v>
      </c>
      <c r="N59">
        <f>_xlfn.XLOOKUP(M59,'QUADROS QUE FALTARAM'!F:F,'QUADROS QUE FALTARAM'!B:B,0)</f>
        <v>0</v>
      </c>
    </row>
    <row r="60" spans="1:14" x14ac:dyDescent="0.3">
      <c r="A60" t="s">
        <v>2590</v>
      </c>
      <c r="B60" t="s">
        <v>288</v>
      </c>
      <c r="C60" s="54">
        <v>4750</v>
      </c>
      <c r="D60" s="20">
        <v>0</v>
      </c>
      <c r="E60" s="20">
        <v>0</v>
      </c>
      <c r="F60" s="54">
        <v>4750</v>
      </c>
      <c r="J60" s="67">
        <v>0</v>
      </c>
      <c r="N60">
        <f>_xlfn.XLOOKUP(M60,'QUADROS QUE FALTARAM'!F:F,'QUADROS QUE FALTARAM'!B:B,0)</f>
        <v>0</v>
      </c>
    </row>
    <row r="61" spans="1:14" x14ac:dyDescent="0.3">
      <c r="A61" t="s">
        <v>2591</v>
      </c>
      <c r="B61" t="s">
        <v>290</v>
      </c>
      <c r="C61" s="54">
        <v>0</v>
      </c>
      <c r="D61" s="20">
        <v>11200</v>
      </c>
      <c r="E61" s="20">
        <v>11200</v>
      </c>
      <c r="F61" s="54">
        <v>0</v>
      </c>
      <c r="J61" s="67">
        <v>0</v>
      </c>
      <c r="N61">
        <f>_xlfn.XLOOKUP(M61,'QUADROS QUE FALTARAM'!F:F,'QUADROS QUE FALTARAM'!B:B,0)</f>
        <v>0</v>
      </c>
    </row>
    <row r="62" spans="1:14" x14ac:dyDescent="0.3">
      <c r="A62" t="s">
        <v>2592</v>
      </c>
      <c r="B62" t="s">
        <v>295</v>
      </c>
      <c r="C62" s="54">
        <v>0</v>
      </c>
      <c r="D62" s="20">
        <v>9345</v>
      </c>
      <c r="E62" s="20">
        <v>7245</v>
      </c>
      <c r="F62" s="54">
        <v>2100</v>
      </c>
      <c r="J62" s="67">
        <v>0</v>
      </c>
      <c r="N62">
        <f>_xlfn.XLOOKUP(M62,'QUADROS QUE FALTARAM'!F:F,'QUADROS QUE FALTARAM'!B:B,0)</f>
        <v>0</v>
      </c>
    </row>
    <row r="63" spans="1:14" x14ac:dyDescent="0.3">
      <c r="A63" t="s">
        <v>2593</v>
      </c>
      <c r="B63" t="s">
        <v>2139</v>
      </c>
      <c r="C63" s="54">
        <v>0</v>
      </c>
      <c r="D63" s="20">
        <v>725</v>
      </c>
      <c r="E63" s="20">
        <v>725</v>
      </c>
      <c r="F63" s="54">
        <v>0</v>
      </c>
      <c r="J63" s="67" t="s">
        <v>2129</v>
      </c>
      <c r="N63">
        <f>_xlfn.XLOOKUP(M63,'QUADROS QUE FALTARAM'!F:F,'QUADROS QUE FALTARAM'!B:B,0)</f>
        <v>0</v>
      </c>
    </row>
    <row r="64" spans="1:14" x14ac:dyDescent="0.3">
      <c r="A64" t="s">
        <v>2594</v>
      </c>
      <c r="B64" t="s">
        <v>299</v>
      </c>
      <c r="C64" s="54">
        <v>4080</v>
      </c>
      <c r="D64" s="20">
        <v>38400</v>
      </c>
      <c r="E64" s="20">
        <v>31296</v>
      </c>
      <c r="F64" s="54">
        <v>11184</v>
      </c>
      <c r="J64" s="67">
        <v>0</v>
      </c>
      <c r="N64">
        <f>_xlfn.XLOOKUP(M64,'QUADROS QUE FALTARAM'!F:F,'QUADROS QUE FALTARAM'!B:B,0)</f>
        <v>0</v>
      </c>
    </row>
    <row r="65" spans="1:14" x14ac:dyDescent="0.3">
      <c r="A65" t="s">
        <v>2595</v>
      </c>
      <c r="B65" t="s">
        <v>302</v>
      </c>
      <c r="C65" s="54">
        <v>10163</v>
      </c>
      <c r="D65" s="20">
        <v>0</v>
      </c>
      <c r="E65" s="20">
        <v>0</v>
      </c>
      <c r="F65" s="54">
        <v>10163</v>
      </c>
      <c r="J65" s="67">
        <v>0</v>
      </c>
      <c r="N65">
        <f>_xlfn.XLOOKUP(M65,'QUADROS QUE FALTARAM'!F:F,'QUADROS QUE FALTARAM'!B:B,0)</f>
        <v>0</v>
      </c>
    </row>
    <row r="66" spans="1:14" x14ac:dyDescent="0.3">
      <c r="A66" t="s">
        <v>2596</v>
      </c>
      <c r="B66" t="s">
        <v>305</v>
      </c>
      <c r="C66" s="54">
        <v>0</v>
      </c>
      <c r="D66" s="20">
        <v>19255</v>
      </c>
      <c r="E66" s="20">
        <v>19255</v>
      </c>
      <c r="F66" s="54">
        <v>0</v>
      </c>
      <c r="J66" s="67">
        <v>0</v>
      </c>
      <c r="N66">
        <f>_xlfn.XLOOKUP(M66,'QUADROS QUE FALTARAM'!F:F,'QUADROS QUE FALTARAM'!B:B,0)</f>
        <v>0</v>
      </c>
    </row>
    <row r="67" spans="1:14" x14ac:dyDescent="0.3">
      <c r="A67" t="s">
        <v>2597</v>
      </c>
      <c r="B67" t="s">
        <v>307</v>
      </c>
      <c r="C67" s="54">
        <v>0</v>
      </c>
      <c r="D67" s="20">
        <v>24800</v>
      </c>
      <c r="E67" s="20">
        <v>12400</v>
      </c>
      <c r="F67" s="54">
        <v>12400</v>
      </c>
      <c r="J67" s="67">
        <v>0</v>
      </c>
      <c r="N67">
        <f>_xlfn.XLOOKUP(M67,'QUADROS QUE FALTARAM'!F:F,'QUADROS QUE FALTARAM'!B:B,0)</f>
        <v>0</v>
      </c>
    </row>
    <row r="68" spans="1:14" x14ac:dyDescent="0.3">
      <c r="A68" t="s">
        <v>2598</v>
      </c>
      <c r="B68" t="s">
        <v>309</v>
      </c>
      <c r="C68" s="54">
        <v>0</v>
      </c>
      <c r="D68" s="20">
        <v>23600</v>
      </c>
      <c r="E68" s="20">
        <v>23600</v>
      </c>
      <c r="F68" s="54">
        <v>0</v>
      </c>
      <c r="J68" s="67">
        <v>0</v>
      </c>
      <c r="N68">
        <f>_xlfn.XLOOKUP(M68,'QUADROS QUE FALTARAM'!F:F,'QUADROS QUE FALTARAM'!B:B,0)</f>
        <v>0</v>
      </c>
    </row>
    <row r="69" spans="1:14" x14ac:dyDescent="0.3">
      <c r="A69" t="s">
        <v>2599</v>
      </c>
      <c r="B69" t="s">
        <v>314</v>
      </c>
      <c r="C69" s="54">
        <v>0</v>
      </c>
      <c r="D69" s="20">
        <v>2700</v>
      </c>
      <c r="E69" s="20">
        <v>1350</v>
      </c>
      <c r="F69" s="54">
        <v>1350</v>
      </c>
      <c r="J69" s="67">
        <v>0</v>
      </c>
      <c r="N69">
        <f>_xlfn.XLOOKUP(M69,'QUADROS QUE FALTARAM'!F:F,'QUADROS QUE FALTARAM'!B:B,0)</f>
        <v>0</v>
      </c>
    </row>
    <row r="70" spans="1:14" x14ac:dyDescent="0.3">
      <c r="A70" t="s">
        <v>2600</v>
      </c>
      <c r="B70" t="s">
        <v>316</v>
      </c>
      <c r="C70" s="54">
        <v>0</v>
      </c>
      <c r="D70" s="20">
        <v>29250</v>
      </c>
      <c r="E70" s="20">
        <v>29250</v>
      </c>
      <c r="F70" s="54">
        <v>0</v>
      </c>
      <c r="J70" s="67">
        <v>0</v>
      </c>
      <c r="N70">
        <f>_xlfn.XLOOKUP(M70,'QUADROS QUE FALTARAM'!F:F,'QUADROS QUE FALTARAM'!B:B,0)</f>
        <v>0</v>
      </c>
    </row>
    <row r="71" spans="1:14" x14ac:dyDescent="0.3">
      <c r="A71" t="s">
        <v>3347</v>
      </c>
      <c r="B71" t="s">
        <v>318</v>
      </c>
      <c r="C71" s="54">
        <v>0</v>
      </c>
      <c r="D71" s="20">
        <v>11600</v>
      </c>
      <c r="E71" s="20">
        <v>11600</v>
      </c>
      <c r="F71" s="54">
        <v>0</v>
      </c>
      <c r="J71" s="67">
        <v>0</v>
      </c>
      <c r="N71">
        <f>_xlfn.XLOOKUP(M71,'QUADROS QUE FALTARAM'!F:F,'QUADROS QUE FALTARAM'!B:B,0)</f>
        <v>0</v>
      </c>
    </row>
    <row r="72" spans="1:14" x14ac:dyDescent="0.3">
      <c r="A72" t="s">
        <v>2602</v>
      </c>
      <c r="B72" t="s">
        <v>324</v>
      </c>
      <c r="C72" s="54">
        <v>0</v>
      </c>
      <c r="D72" s="20">
        <v>8400</v>
      </c>
      <c r="E72" s="20">
        <v>8400</v>
      </c>
      <c r="F72" s="54">
        <v>0</v>
      </c>
      <c r="J72" s="67">
        <v>0</v>
      </c>
      <c r="N72">
        <f>_xlfn.XLOOKUP(M72,'QUADROS QUE FALTARAM'!F:F,'QUADROS QUE FALTARAM'!B:B,0)</f>
        <v>0</v>
      </c>
    </row>
    <row r="73" spans="1:14" x14ac:dyDescent="0.3">
      <c r="A73" t="s">
        <v>2603</v>
      </c>
      <c r="B73" t="s">
        <v>326</v>
      </c>
      <c r="C73" s="54">
        <v>0</v>
      </c>
      <c r="D73" s="20">
        <v>14817</v>
      </c>
      <c r="E73" s="20">
        <v>14817</v>
      </c>
      <c r="F73" s="54">
        <v>0</v>
      </c>
      <c r="J73" s="67">
        <v>0</v>
      </c>
      <c r="N73">
        <f>_xlfn.XLOOKUP(M73,'QUADROS QUE FALTARAM'!F:F,'QUADROS QUE FALTARAM'!B:B,0)</f>
        <v>0</v>
      </c>
    </row>
    <row r="74" spans="1:14" x14ac:dyDescent="0.3">
      <c r="A74" t="s">
        <v>2604</v>
      </c>
      <c r="B74" t="s">
        <v>328</v>
      </c>
      <c r="C74" s="54">
        <v>14000</v>
      </c>
      <c r="D74" s="20">
        <v>71483</v>
      </c>
      <c r="E74" s="20">
        <v>70733</v>
      </c>
      <c r="F74" s="54">
        <v>14750</v>
      </c>
      <c r="J74" s="67">
        <v>0</v>
      </c>
      <c r="N74">
        <f>_xlfn.XLOOKUP(M74,'QUADROS QUE FALTARAM'!F:F,'QUADROS QUE FALTARAM'!B:B,0)</f>
        <v>0</v>
      </c>
    </row>
    <row r="75" spans="1:14" x14ac:dyDescent="0.3">
      <c r="A75" t="s">
        <v>2605</v>
      </c>
      <c r="B75" t="s">
        <v>2144</v>
      </c>
      <c r="C75" s="54">
        <v>0</v>
      </c>
      <c r="D75" s="20">
        <v>1800000</v>
      </c>
      <c r="E75" s="20">
        <v>1800000</v>
      </c>
      <c r="F75" s="54">
        <v>0</v>
      </c>
      <c r="J75" s="67" t="s">
        <v>2129</v>
      </c>
      <c r="N75">
        <f>_xlfn.XLOOKUP(M75,'QUADROS QUE FALTARAM'!F:F,'QUADROS QUE FALTARAM'!B:B,0)</f>
        <v>0</v>
      </c>
    </row>
    <row r="76" spans="1:14" x14ac:dyDescent="0.3">
      <c r="A76" t="s">
        <v>2606</v>
      </c>
      <c r="B76" t="s">
        <v>333</v>
      </c>
      <c r="C76" s="54">
        <v>0</v>
      </c>
      <c r="D76" s="20">
        <v>63000</v>
      </c>
      <c r="E76" s="20">
        <v>63000</v>
      </c>
      <c r="F76" s="54">
        <v>0</v>
      </c>
      <c r="J76" s="67">
        <v>0</v>
      </c>
      <c r="N76">
        <f>_xlfn.XLOOKUP(M76,'QUADROS QUE FALTARAM'!F:F,'QUADROS QUE FALTARAM'!B:B,0)</f>
        <v>0</v>
      </c>
    </row>
    <row r="77" spans="1:14" x14ac:dyDescent="0.3">
      <c r="A77" t="s">
        <v>2607</v>
      </c>
      <c r="B77" t="s">
        <v>335</v>
      </c>
      <c r="C77" s="54">
        <v>351000</v>
      </c>
      <c r="D77" s="20">
        <v>0</v>
      </c>
      <c r="E77" s="20">
        <v>351000</v>
      </c>
      <c r="F77" s="54">
        <v>0</v>
      </c>
      <c r="J77" s="67">
        <v>0</v>
      </c>
      <c r="N77">
        <f>_xlfn.XLOOKUP(M77,'QUADROS QUE FALTARAM'!F:F,'QUADROS QUE FALTARAM'!B:B,0)</f>
        <v>0</v>
      </c>
    </row>
    <row r="78" spans="1:14" x14ac:dyDescent="0.3">
      <c r="A78" t="s">
        <v>2608</v>
      </c>
      <c r="B78" t="s">
        <v>338</v>
      </c>
      <c r="C78" s="54">
        <v>0</v>
      </c>
      <c r="D78" s="20">
        <v>14500</v>
      </c>
      <c r="E78" s="20">
        <v>14500</v>
      </c>
      <c r="F78" s="54">
        <v>0</v>
      </c>
      <c r="J78" s="67">
        <v>0</v>
      </c>
      <c r="N78">
        <f>_xlfn.XLOOKUP(M78,'QUADROS QUE FALTARAM'!F:F,'QUADROS QUE FALTARAM'!B:B,0)</f>
        <v>0</v>
      </c>
    </row>
    <row r="79" spans="1:14" x14ac:dyDescent="0.3">
      <c r="A79" t="s">
        <v>2609</v>
      </c>
      <c r="B79" t="s">
        <v>343</v>
      </c>
      <c r="C79" s="54">
        <v>2327046</v>
      </c>
      <c r="D79" s="20">
        <v>2739206.5</v>
      </c>
      <c r="E79" s="20">
        <v>5066252.5</v>
      </c>
      <c r="F79" s="54">
        <v>0</v>
      </c>
      <c r="J79" s="67">
        <v>0</v>
      </c>
      <c r="N79">
        <f>_xlfn.XLOOKUP(M79,'QUADROS QUE FALTARAM'!F:F,'QUADROS QUE FALTARAM'!B:B,0)</f>
        <v>0</v>
      </c>
    </row>
    <row r="80" spans="1:14" x14ac:dyDescent="0.3">
      <c r="A80" t="s">
        <v>2610</v>
      </c>
      <c r="B80" t="s">
        <v>371</v>
      </c>
      <c r="C80" s="54">
        <v>0</v>
      </c>
      <c r="D80" s="20">
        <v>31995</v>
      </c>
      <c r="E80" s="20">
        <v>31995</v>
      </c>
      <c r="F80" s="54">
        <v>0</v>
      </c>
      <c r="J80" s="67">
        <v>0</v>
      </c>
      <c r="N80">
        <f>_xlfn.XLOOKUP(M80,'QUADROS QUE FALTARAM'!F:F,'QUADROS QUE FALTARAM'!B:B,0)</f>
        <v>0</v>
      </c>
    </row>
    <row r="81" spans="1:14" x14ac:dyDescent="0.3">
      <c r="A81" t="s">
        <v>2611</v>
      </c>
      <c r="B81" t="s">
        <v>373</v>
      </c>
      <c r="C81" s="54">
        <v>0</v>
      </c>
      <c r="D81" s="20">
        <v>36186</v>
      </c>
      <c r="E81" s="20">
        <v>36186</v>
      </c>
      <c r="F81" s="54">
        <v>0</v>
      </c>
      <c r="J81" s="67">
        <v>0</v>
      </c>
      <c r="N81">
        <f>_xlfn.XLOOKUP(M81,'QUADROS QUE FALTARAM'!F:F,'QUADROS QUE FALTARAM'!B:B,0)</f>
        <v>0</v>
      </c>
    </row>
    <row r="82" spans="1:14" x14ac:dyDescent="0.3">
      <c r="A82" t="s">
        <v>2612</v>
      </c>
      <c r="B82" t="s">
        <v>375</v>
      </c>
      <c r="C82" s="54">
        <v>18000</v>
      </c>
      <c r="D82" s="20">
        <v>463065</v>
      </c>
      <c r="E82" s="20">
        <v>415500</v>
      </c>
      <c r="F82" s="54">
        <v>65565</v>
      </c>
      <c r="J82" s="67">
        <v>0</v>
      </c>
      <c r="N82">
        <f>_xlfn.XLOOKUP(M82,'QUADROS QUE FALTARAM'!F:F,'QUADROS QUE FALTARAM'!B:B,0)</f>
        <v>0</v>
      </c>
    </row>
    <row r="83" spans="1:14" x14ac:dyDescent="0.3">
      <c r="A83" t="s">
        <v>2613</v>
      </c>
      <c r="B83" t="s">
        <v>377</v>
      </c>
      <c r="C83" s="54">
        <v>629275.35</v>
      </c>
      <c r="D83" s="20">
        <v>158399.45000000001</v>
      </c>
      <c r="E83" s="20">
        <v>770305.25</v>
      </c>
      <c r="F83" s="54">
        <v>17369.55</v>
      </c>
      <c r="J83" s="67">
        <v>0</v>
      </c>
      <c r="N83">
        <f>_xlfn.XLOOKUP(M83,'QUADROS QUE FALTARAM'!F:F,'QUADROS QUE FALTARAM'!B:B,0)</f>
        <v>0</v>
      </c>
    </row>
    <row r="84" spans="1:14" x14ac:dyDescent="0.3">
      <c r="A84" t="s">
        <v>2614</v>
      </c>
      <c r="B84" t="s">
        <v>382</v>
      </c>
      <c r="C84" s="54">
        <v>3807685.5</v>
      </c>
      <c r="D84" s="20">
        <v>2351088</v>
      </c>
      <c r="E84" s="20">
        <v>4816711.5</v>
      </c>
      <c r="F84" s="54">
        <v>1342062</v>
      </c>
      <c r="J84" s="67">
        <v>0</v>
      </c>
      <c r="N84">
        <f>_xlfn.XLOOKUP(M84,'QUADROS QUE FALTARAM'!F:F,'QUADROS QUE FALTARAM'!B:B,0)</f>
        <v>0</v>
      </c>
    </row>
    <row r="85" spans="1:14" x14ac:dyDescent="0.3">
      <c r="A85" t="s">
        <v>2615</v>
      </c>
      <c r="B85" t="s">
        <v>385</v>
      </c>
      <c r="C85" s="54">
        <v>0</v>
      </c>
      <c r="D85" s="20">
        <v>63525.35</v>
      </c>
      <c r="E85" s="20">
        <v>42053.35</v>
      </c>
      <c r="F85" s="54">
        <v>21472</v>
      </c>
      <c r="J85" s="67">
        <v>0</v>
      </c>
      <c r="N85">
        <f>_xlfn.XLOOKUP(M85,'QUADROS QUE FALTARAM'!F:F,'QUADROS QUE FALTARAM'!B:B,0)</f>
        <v>0</v>
      </c>
    </row>
    <row r="86" spans="1:14" x14ac:dyDescent="0.3">
      <c r="A86" t="s">
        <v>2616</v>
      </c>
      <c r="B86" t="s">
        <v>387</v>
      </c>
      <c r="C86" s="54">
        <v>0</v>
      </c>
      <c r="D86" s="20">
        <v>4500</v>
      </c>
      <c r="E86" s="20">
        <v>4500</v>
      </c>
      <c r="F86" s="54">
        <v>0</v>
      </c>
      <c r="J86" s="67">
        <v>0</v>
      </c>
      <c r="N86">
        <f>_xlfn.XLOOKUP(M86,'QUADROS QUE FALTARAM'!F:F,'QUADROS QUE FALTARAM'!B:B,0)</f>
        <v>0</v>
      </c>
    </row>
    <row r="87" spans="1:14" x14ac:dyDescent="0.3">
      <c r="A87" t="s">
        <v>2617</v>
      </c>
      <c r="B87" t="s">
        <v>391</v>
      </c>
      <c r="C87" s="54">
        <v>47040</v>
      </c>
      <c r="D87" s="20">
        <v>132064</v>
      </c>
      <c r="E87" s="20">
        <v>179104</v>
      </c>
      <c r="F87" s="54">
        <v>0</v>
      </c>
      <c r="J87" s="67">
        <v>0</v>
      </c>
      <c r="N87">
        <f>_xlfn.XLOOKUP(M87,'QUADROS QUE FALTARAM'!F:F,'QUADROS QUE FALTARAM'!B:B,0)</f>
        <v>0</v>
      </c>
    </row>
    <row r="88" spans="1:14" x14ac:dyDescent="0.3">
      <c r="A88" t="s">
        <v>2618</v>
      </c>
      <c r="B88" t="s">
        <v>394</v>
      </c>
      <c r="C88" s="54">
        <v>0</v>
      </c>
      <c r="D88" s="20">
        <v>844.25</v>
      </c>
      <c r="E88" s="20">
        <v>844.25</v>
      </c>
      <c r="F88" s="54">
        <v>0</v>
      </c>
      <c r="J88" s="67">
        <v>0</v>
      </c>
      <c r="N88">
        <f>_xlfn.XLOOKUP(M88,'QUADROS QUE FALTARAM'!F:F,'QUADROS QUE FALTARAM'!B:B,0)</f>
        <v>0</v>
      </c>
    </row>
    <row r="89" spans="1:14" x14ac:dyDescent="0.3">
      <c r="A89" t="s">
        <v>2619</v>
      </c>
      <c r="B89" t="s">
        <v>402</v>
      </c>
      <c r="C89" s="54">
        <v>0</v>
      </c>
      <c r="D89" s="20">
        <v>280000</v>
      </c>
      <c r="E89" s="20">
        <v>280000</v>
      </c>
      <c r="F89" s="54">
        <v>0</v>
      </c>
      <c r="J89" s="67">
        <v>0</v>
      </c>
      <c r="N89">
        <f>_xlfn.XLOOKUP(M89,'QUADROS QUE FALTARAM'!F:F,'QUADROS QUE FALTARAM'!B:B,0)</f>
        <v>0</v>
      </c>
    </row>
    <row r="90" spans="1:14" x14ac:dyDescent="0.3">
      <c r="A90" t="s">
        <v>2620</v>
      </c>
      <c r="B90" t="s">
        <v>404</v>
      </c>
      <c r="C90" s="54">
        <v>93000</v>
      </c>
      <c r="D90" s="20">
        <v>0</v>
      </c>
      <c r="E90" s="20">
        <v>93000</v>
      </c>
      <c r="F90" s="54">
        <v>0</v>
      </c>
      <c r="J90" s="67">
        <v>0</v>
      </c>
      <c r="N90">
        <f>_xlfn.XLOOKUP(M90,'QUADROS QUE FALTARAM'!F:F,'QUADROS QUE FALTARAM'!B:B,0)</f>
        <v>0</v>
      </c>
    </row>
    <row r="91" spans="1:14" x14ac:dyDescent="0.3">
      <c r="A91" t="s">
        <v>2621</v>
      </c>
      <c r="B91" t="s">
        <v>2149</v>
      </c>
      <c r="C91" s="54">
        <v>0</v>
      </c>
      <c r="D91" s="20">
        <v>39184</v>
      </c>
      <c r="E91" s="20">
        <v>39184</v>
      </c>
      <c r="F91" s="54">
        <v>0</v>
      </c>
      <c r="J91" s="67" t="s">
        <v>2129</v>
      </c>
      <c r="N91">
        <f>_xlfn.XLOOKUP(M91,'QUADROS QUE FALTARAM'!F:F,'QUADROS QUE FALTARAM'!B:B,0)</f>
        <v>0</v>
      </c>
    </row>
    <row r="92" spans="1:14" x14ac:dyDescent="0.3">
      <c r="A92" t="s">
        <v>2622</v>
      </c>
      <c r="B92" t="s">
        <v>2150</v>
      </c>
      <c r="C92" s="54">
        <v>0</v>
      </c>
      <c r="D92" s="20">
        <v>77500</v>
      </c>
      <c r="E92" s="20">
        <v>0</v>
      </c>
      <c r="F92" s="54">
        <v>77500</v>
      </c>
      <c r="J92" s="67" t="s">
        <v>2129</v>
      </c>
      <c r="N92">
        <f>_xlfn.XLOOKUP(M92,'QUADROS QUE FALTARAM'!F:F,'QUADROS QUE FALTARAM'!B:B,0)</f>
        <v>0</v>
      </c>
    </row>
    <row r="93" spans="1:14" x14ac:dyDescent="0.3">
      <c r="A93" t="s">
        <v>2623</v>
      </c>
      <c r="B93" t="s">
        <v>2152</v>
      </c>
      <c r="C93" s="54">
        <v>0</v>
      </c>
      <c r="D93" s="20">
        <v>6720</v>
      </c>
      <c r="E93" s="20">
        <v>6720</v>
      </c>
      <c r="F93" s="54">
        <v>0</v>
      </c>
      <c r="J93" s="67" t="s">
        <v>2129</v>
      </c>
      <c r="N93">
        <f>_xlfn.XLOOKUP(M93,'QUADROS QUE FALTARAM'!F:F,'QUADROS QUE FALTARAM'!B:B,0)</f>
        <v>0</v>
      </c>
    </row>
    <row r="94" spans="1:14" x14ac:dyDescent="0.3">
      <c r="A94" t="s">
        <v>2624</v>
      </c>
      <c r="B94" t="s">
        <v>2153</v>
      </c>
      <c r="C94" s="54">
        <v>0</v>
      </c>
      <c r="D94" s="20">
        <v>6980</v>
      </c>
      <c r="E94" s="20">
        <v>0</v>
      </c>
      <c r="F94" s="54">
        <v>6980</v>
      </c>
      <c r="J94" s="67" t="s">
        <v>2129</v>
      </c>
      <c r="N94">
        <f>_xlfn.XLOOKUP(M94,'QUADROS QUE FALTARAM'!F:F,'QUADROS QUE FALTARAM'!B:B,0)</f>
        <v>0</v>
      </c>
    </row>
    <row r="95" spans="1:14" x14ac:dyDescent="0.3">
      <c r="A95" t="s">
        <v>2625</v>
      </c>
      <c r="B95" t="s">
        <v>2155</v>
      </c>
      <c r="C95" s="54">
        <v>0</v>
      </c>
      <c r="D95" s="20">
        <v>19200</v>
      </c>
      <c r="E95" s="20">
        <v>19200</v>
      </c>
      <c r="F95" s="54">
        <v>0</v>
      </c>
      <c r="J95" s="67" t="s">
        <v>2129</v>
      </c>
      <c r="N95">
        <f>_xlfn.XLOOKUP(M95,'QUADROS QUE FALTARAM'!F:F,'QUADROS QUE FALTARAM'!B:B,0)</f>
        <v>0</v>
      </c>
    </row>
    <row r="96" spans="1:14" x14ac:dyDescent="0.3">
      <c r="A96" t="s">
        <v>2626</v>
      </c>
      <c r="B96" t="s">
        <v>2156</v>
      </c>
      <c r="C96" s="54">
        <v>0</v>
      </c>
      <c r="D96" s="20">
        <v>32000</v>
      </c>
      <c r="E96" s="20">
        <v>32000</v>
      </c>
      <c r="F96" s="54">
        <v>0</v>
      </c>
      <c r="J96" s="67" t="s">
        <v>2129</v>
      </c>
      <c r="N96">
        <f>_xlfn.XLOOKUP(M96,'QUADROS QUE FALTARAM'!F:F,'QUADROS QUE FALTARAM'!B:B,0)</f>
        <v>0</v>
      </c>
    </row>
    <row r="97" spans="1:14" x14ac:dyDescent="0.3">
      <c r="A97" t="s">
        <v>2627</v>
      </c>
      <c r="B97" t="s">
        <v>2157</v>
      </c>
      <c r="C97" s="54">
        <v>0</v>
      </c>
      <c r="D97" s="20">
        <v>64350</v>
      </c>
      <c r="E97" s="20">
        <v>64350</v>
      </c>
      <c r="F97" s="54">
        <v>0</v>
      </c>
      <c r="J97" s="67" t="s">
        <v>2129</v>
      </c>
      <c r="N97">
        <f>_xlfn.XLOOKUP(M97,'QUADROS QUE FALTARAM'!F:F,'QUADROS QUE FALTARAM'!B:B,0)</f>
        <v>0</v>
      </c>
    </row>
    <row r="98" spans="1:14" x14ac:dyDescent="0.3">
      <c r="A98" t="s">
        <v>2628</v>
      </c>
      <c r="B98" t="s">
        <v>2158</v>
      </c>
      <c r="C98" s="54">
        <v>0</v>
      </c>
      <c r="D98" s="20">
        <v>6750</v>
      </c>
      <c r="E98" s="20">
        <v>6750</v>
      </c>
      <c r="F98" s="54">
        <v>0</v>
      </c>
      <c r="J98" s="67" t="s">
        <v>2129</v>
      </c>
      <c r="N98">
        <f>_xlfn.XLOOKUP(M98,'QUADROS QUE FALTARAM'!F:F,'QUADROS QUE FALTARAM'!B:B,0)</f>
        <v>0</v>
      </c>
    </row>
    <row r="99" spans="1:14" x14ac:dyDescent="0.3">
      <c r="A99" s="1" t="s">
        <v>2629</v>
      </c>
      <c r="B99" s="1" t="s">
        <v>409</v>
      </c>
      <c r="C99" s="59">
        <v>0</v>
      </c>
      <c r="D99" s="62">
        <v>1860724.04</v>
      </c>
      <c r="E99" s="62">
        <v>1585101.84</v>
      </c>
      <c r="F99" s="59">
        <v>275622.2</v>
      </c>
      <c r="J99" s="67">
        <v>0</v>
      </c>
      <c r="N99">
        <f>_xlfn.XLOOKUP(M99,'QUADROS QUE FALTARAM'!F:F,'QUADROS QUE FALTARAM'!B:B,0)</f>
        <v>0</v>
      </c>
    </row>
    <row r="100" spans="1:14" x14ac:dyDescent="0.3">
      <c r="A100" t="s">
        <v>2630</v>
      </c>
      <c r="B100" t="s">
        <v>412</v>
      </c>
      <c r="C100" s="54">
        <v>0</v>
      </c>
      <c r="D100" s="20">
        <v>1860724.04</v>
      </c>
      <c r="E100" s="20">
        <v>1585101.84</v>
      </c>
      <c r="F100" s="54">
        <v>275622.2</v>
      </c>
      <c r="J100" s="67">
        <v>0</v>
      </c>
      <c r="N100">
        <f>_xlfn.XLOOKUP(M100,'QUADROS QUE FALTARAM'!F:F,'QUADROS QUE FALTARAM'!B:B,0)</f>
        <v>0</v>
      </c>
    </row>
    <row r="101" spans="1:14" x14ac:dyDescent="0.3">
      <c r="A101" s="1" t="s">
        <v>2631</v>
      </c>
      <c r="B101" s="1" t="s">
        <v>421</v>
      </c>
      <c r="C101" s="59">
        <v>1758248.97</v>
      </c>
      <c r="D101" s="62">
        <v>23812033.609999999</v>
      </c>
      <c r="E101" s="62">
        <v>23137337.829999998</v>
      </c>
      <c r="F101" s="59">
        <v>2432944.75</v>
      </c>
      <c r="J101" s="67">
        <v>0</v>
      </c>
      <c r="N101">
        <f>_xlfn.XLOOKUP(M101,'QUADROS QUE FALTARAM'!F:F,'QUADROS QUE FALTARAM'!B:B,0)</f>
        <v>0</v>
      </c>
    </row>
    <row r="102" spans="1:14" x14ac:dyDescent="0.3">
      <c r="A102" s="1" t="s">
        <v>2633</v>
      </c>
      <c r="B102" s="1" t="s">
        <v>434</v>
      </c>
      <c r="C102" s="59">
        <v>61438.400000000001</v>
      </c>
      <c r="D102" s="62">
        <v>686504.54</v>
      </c>
      <c r="E102" s="62">
        <v>647022.84</v>
      </c>
      <c r="F102" s="59">
        <v>100920.1</v>
      </c>
      <c r="J102" s="67">
        <v>0</v>
      </c>
      <c r="N102">
        <f>_xlfn.XLOOKUP(M102,'QUADROS QUE FALTARAM'!F:F,'QUADROS QUE FALTARAM'!B:B,0)</f>
        <v>0</v>
      </c>
    </row>
    <row r="103" spans="1:14" x14ac:dyDescent="0.3">
      <c r="A103" t="s">
        <v>2634</v>
      </c>
      <c r="B103" t="s">
        <v>437</v>
      </c>
      <c r="C103" s="54">
        <v>0</v>
      </c>
      <c r="D103" s="20">
        <v>229556.06</v>
      </c>
      <c r="E103" s="20">
        <v>229556.06</v>
      </c>
      <c r="F103" s="54">
        <v>0</v>
      </c>
      <c r="J103" s="67">
        <v>0</v>
      </c>
      <c r="N103">
        <f>_xlfn.XLOOKUP(M103,'QUADROS QUE FALTARAM'!F:F,'QUADROS QUE FALTARAM'!B:B,0)</f>
        <v>0</v>
      </c>
    </row>
    <row r="104" spans="1:14" x14ac:dyDescent="0.3">
      <c r="A104" t="s">
        <v>2635</v>
      </c>
      <c r="B104" t="s">
        <v>439</v>
      </c>
      <c r="C104" s="54">
        <v>61438.400000000001</v>
      </c>
      <c r="D104" s="20">
        <v>456948.47999999998</v>
      </c>
      <c r="E104" s="20">
        <v>417466.78</v>
      </c>
      <c r="F104" s="54">
        <v>100920.1</v>
      </c>
      <c r="J104" s="67">
        <v>0</v>
      </c>
      <c r="N104">
        <f>_xlfn.XLOOKUP(M104,'QUADROS QUE FALTARAM'!F:F,'QUADROS QUE FALTARAM'!B:B,0)</f>
        <v>0</v>
      </c>
    </row>
    <row r="105" spans="1:14" x14ac:dyDescent="0.3">
      <c r="A105" s="1" t="s">
        <v>2636</v>
      </c>
      <c r="B105" s="1" t="s">
        <v>443</v>
      </c>
      <c r="C105" s="59">
        <v>1269755.92</v>
      </c>
      <c r="D105" s="62">
        <v>1805401.16</v>
      </c>
      <c r="E105" s="62">
        <v>743204.39</v>
      </c>
      <c r="F105" s="59">
        <v>2331952.69</v>
      </c>
      <c r="J105" s="67">
        <v>0</v>
      </c>
      <c r="N105">
        <f>_xlfn.XLOOKUP(M105,'QUADROS QUE FALTARAM'!F:F,'QUADROS QUE FALTARAM'!B:B,0)</f>
        <v>0</v>
      </c>
    </row>
    <row r="106" spans="1:14" x14ac:dyDescent="0.3">
      <c r="A106" t="s">
        <v>2639</v>
      </c>
      <c r="B106" t="s">
        <v>2161</v>
      </c>
      <c r="C106" s="54">
        <v>0</v>
      </c>
      <c r="D106" s="20">
        <v>185.6</v>
      </c>
      <c r="E106" s="20">
        <v>0</v>
      </c>
      <c r="F106" s="54">
        <v>185.6</v>
      </c>
      <c r="J106" s="67" t="s">
        <v>2129</v>
      </c>
      <c r="N106">
        <f>_xlfn.XLOOKUP(M106,'QUADROS QUE FALTARAM'!F:F,'QUADROS QUE FALTARAM'!B:B,0)</f>
        <v>0</v>
      </c>
    </row>
    <row r="107" spans="1:14" x14ac:dyDescent="0.3">
      <c r="A107" t="s">
        <v>2640</v>
      </c>
      <c r="B107" t="s">
        <v>446</v>
      </c>
      <c r="C107" s="54">
        <v>1339.91</v>
      </c>
      <c r="D107" s="20">
        <v>456.74</v>
      </c>
      <c r="E107" s="20">
        <v>0</v>
      </c>
      <c r="F107" s="54">
        <v>1796.65</v>
      </c>
      <c r="J107" s="67">
        <v>0</v>
      </c>
      <c r="N107">
        <f>_xlfn.XLOOKUP(M107,'QUADROS QUE FALTARAM'!F:F,'QUADROS QUE FALTARAM'!B:B,0)</f>
        <v>0</v>
      </c>
    </row>
    <row r="108" spans="1:14" x14ac:dyDescent="0.3">
      <c r="A108" t="s">
        <v>2641</v>
      </c>
      <c r="B108" t="s">
        <v>450</v>
      </c>
      <c r="C108" s="54">
        <v>357261.98</v>
      </c>
      <c r="D108" s="20">
        <v>40137.07</v>
      </c>
      <c r="E108" s="20">
        <v>0</v>
      </c>
      <c r="F108" s="54">
        <v>397399.05</v>
      </c>
      <c r="J108" s="67">
        <v>0</v>
      </c>
      <c r="N108">
        <f>_xlfn.XLOOKUP(M108,'QUADROS QUE FALTARAM'!F:F,'QUADROS QUE FALTARAM'!B:B,0)</f>
        <v>0</v>
      </c>
    </row>
    <row r="109" spans="1:14" x14ac:dyDescent="0.3">
      <c r="A109" t="s">
        <v>2642</v>
      </c>
      <c r="B109" t="s">
        <v>454</v>
      </c>
      <c r="C109" s="54">
        <v>747256.29</v>
      </c>
      <c r="D109" s="20">
        <v>1451537.21</v>
      </c>
      <c r="E109" s="20">
        <v>610853.47</v>
      </c>
      <c r="F109" s="54">
        <v>1587940.03</v>
      </c>
      <c r="J109" s="67">
        <v>0</v>
      </c>
      <c r="N109">
        <f>_xlfn.XLOOKUP(M109,'QUADROS QUE FALTARAM'!F:F,'QUADROS QUE FALTARAM'!B:B,0)</f>
        <v>0</v>
      </c>
    </row>
    <row r="110" spans="1:14" x14ac:dyDescent="0.3">
      <c r="A110" t="s">
        <v>2643</v>
      </c>
      <c r="B110" t="s">
        <v>458</v>
      </c>
      <c r="C110" s="54">
        <v>163832.64000000001</v>
      </c>
      <c r="D110" s="20">
        <v>313084.53999999998</v>
      </c>
      <c r="E110" s="20">
        <v>132350.92000000001</v>
      </c>
      <c r="F110" s="54">
        <v>344566.26</v>
      </c>
      <c r="J110" s="67">
        <v>0</v>
      </c>
      <c r="N110">
        <f>_xlfn.XLOOKUP(M110,'QUADROS QUE FALTARAM'!F:F,'QUADROS QUE FALTARAM'!B:B,0)</f>
        <v>0</v>
      </c>
    </row>
    <row r="111" spans="1:14" x14ac:dyDescent="0.3">
      <c r="A111" t="s">
        <v>2644</v>
      </c>
      <c r="B111" t="s">
        <v>468</v>
      </c>
      <c r="C111" s="54">
        <v>65.099999999999994</v>
      </c>
      <c r="D111" s="20">
        <v>0</v>
      </c>
      <c r="E111" s="20">
        <v>0</v>
      </c>
      <c r="F111" s="54">
        <v>65.099999999999994</v>
      </c>
      <c r="J111" s="67">
        <v>0</v>
      </c>
      <c r="N111">
        <f>_xlfn.XLOOKUP(M111,'QUADROS QUE FALTARAM'!F:F,'QUADROS QUE FALTARAM'!B:B,0)</f>
        <v>0</v>
      </c>
    </row>
    <row r="112" spans="1:14" x14ac:dyDescent="0.3">
      <c r="A112" s="1" t="s">
        <v>2645</v>
      </c>
      <c r="B112" s="1" t="s">
        <v>472</v>
      </c>
      <c r="C112" s="59">
        <v>71.959999999999994</v>
      </c>
      <c r="D112" s="62">
        <v>0</v>
      </c>
      <c r="E112" s="62">
        <v>0</v>
      </c>
      <c r="F112" s="59">
        <v>71.959999999999994</v>
      </c>
      <c r="J112" s="67">
        <v>0</v>
      </c>
      <c r="N112">
        <f>_xlfn.XLOOKUP(M112,'QUADROS QUE FALTARAM'!F:F,'QUADROS QUE FALTARAM'!B:B,0)</f>
        <v>0</v>
      </c>
    </row>
    <row r="113" spans="1:14" x14ac:dyDescent="0.3">
      <c r="A113" t="s">
        <v>2647</v>
      </c>
      <c r="B113" t="s">
        <v>475</v>
      </c>
      <c r="C113" s="54">
        <v>32.44</v>
      </c>
      <c r="D113" s="20">
        <v>0</v>
      </c>
      <c r="E113" s="20">
        <v>0</v>
      </c>
      <c r="F113" s="54">
        <v>32.44</v>
      </c>
      <c r="J113" s="67">
        <v>0</v>
      </c>
      <c r="N113">
        <f>_xlfn.XLOOKUP(M113,'QUADROS QUE FALTARAM'!F:F,'QUADROS QUE FALTARAM'!B:B,0)</f>
        <v>0</v>
      </c>
    </row>
    <row r="114" spans="1:14" x14ac:dyDescent="0.3">
      <c r="A114" t="s">
        <v>2648</v>
      </c>
      <c r="B114" t="s">
        <v>478</v>
      </c>
      <c r="C114" s="54">
        <v>30.14</v>
      </c>
      <c r="D114" s="20">
        <v>0</v>
      </c>
      <c r="E114" s="20">
        <v>0</v>
      </c>
      <c r="F114" s="54">
        <v>30.14</v>
      </c>
      <c r="J114" s="67">
        <v>0</v>
      </c>
      <c r="N114">
        <f>_xlfn.XLOOKUP(M114,'QUADROS QUE FALTARAM'!F:F,'QUADROS QUE FALTARAM'!B:B,0)</f>
        <v>0</v>
      </c>
    </row>
    <row r="115" spans="1:14" x14ac:dyDescent="0.3">
      <c r="A115" t="s">
        <v>2649</v>
      </c>
      <c r="B115" t="s">
        <v>481</v>
      </c>
      <c r="C115" s="54">
        <v>9.3800000000000008</v>
      </c>
      <c r="D115" s="20">
        <v>0</v>
      </c>
      <c r="E115" s="20">
        <v>0</v>
      </c>
      <c r="F115" s="54">
        <v>9.3800000000000008</v>
      </c>
      <c r="J115" s="67">
        <v>0</v>
      </c>
      <c r="N115">
        <f>_xlfn.XLOOKUP(M115,'QUADROS QUE FALTARAM'!F:F,'QUADROS QUE FALTARAM'!B:B,0)</f>
        <v>0</v>
      </c>
    </row>
    <row r="116" spans="1:14" x14ac:dyDescent="0.3">
      <c r="A116" s="1" t="s">
        <v>2650</v>
      </c>
      <c r="B116" s="1" t="s">
        <v>484</v>
      </c>
      <c r="C116" s="59">
        <v>0</v>
      </c>
      <c r="D116" s="62">
        <v>3568271.1</v>
      </c>
      <c r="E116" s="62">
        <v>3568271.1</v>
      </c>
      <c r="F116" s="59">
        <v>0</v>
      </c>
      <c r="J116" s="67">
        <v>0</v>
      </c>
      <c r="N116">
        <f>_xlfn.XLOOKUP(M116,'QUADROS QUE FALTARAM'!F:F,'QUADROS QUE FALTARAM'!B:B,0)</f>
        <v>0</v>
      </c>
    </row>
    <row r="117" spans="1:14" x14ac:dyDescent="0.3">
      <c r="A117" t="s">
        <v>2651</v>
      </c>
      <c r="B117" t="s">
        <v>486</v>
      </c>
      <c r="C117" s="54">
        <v>0</v>
      </c>
      <c r="D117" s="20">
        <v>3568271.1</v>
      </c>
      <c r="E117" s="20">
        <v>3568271.1</v>
      </c>
      <c r="F117" s="54">
        <v>0</v>
      </c>
      <c r="J117" s="67">
        <v>0</v>
      </c>
      <c r="N117">
        <f>_xlfn.XLOOKUP(M117,'QUADROS QUE FALTARAM'!F:F,'QUADROS QUE FALTARAM'!B:B,0)</f>
        <v>0</v>
      </c>
    </row>
    <row r="118" spans="1:14" x14ac:dyDescent="0.3">
      <c r="A118" s="1" t="s">
        <v>2652</v>
      </c>
      <c r="B118" s="1" t="s">
        <v>488</v>
      </c>
      <c r="C118" s="59">
        <v>0</v>
      </c>
      <c r="D118" s="62">
        <v>5294176.21</v>
      </c>
      <c r="E118" s="62">
        <v>5294176.21</v>
      </c>
      <c r="F118" s="59">
        <v>0</v>
      </c>
      <c r="J118" s="67">
        <v>0</v>
      </c>
      <c r="N118">
        <f>_xlfn.XLOOKUP(M118,'QUADROS QUE FALTARAM'!F:F,'QUADROS QUE FALTARAM'!B:B,0)</f>
        <v>0</v>
      </c>
    </row>
    <row r="119" spans="1:14" x14ac:dyDescent="0.3">
      <c r="A119" s="174" t="s">
        <v>2653</v>
      </c>
      <c r="B119" s="174" t="s">
        <v>490</v>
      </c>
      <c r="C119" s="176">
        <v>0</v>
      </c>
      <c r="D119" s="178">
        <v>5294176.21</v>
      </c>
      <c r="E119" s="178">
        <v>5294176.21</v>
      </c>
      <c r="F119" s="176">
        <v>0</v>
      </c>
      <c r="J119" s="67">
        <v>0</v>
      </c>
      <c r="N119">
        <f>_xlfn.XLOOKUP(M119,'QUADROS QUE FALTARAM'!F:F,'QUADROS QUE FALTARAM'!B:B,0)</f>
        <v>0</v>
      </c>
    </row>
    <row r="120" spans="1:14" x14ac:dyDescent="0.3">
      <c r="A120" s="1" t="s">
        <v>2654</v>
      </c>
      <c r="B120" s="1" t="s">
        <v>492</v>
      </c>
      <c r="C120" s="59">
        <v>426982.69</v>
      </c>
      <c r="D120" s="62">
        <v>12457680.6</v>
      </c>
      <c r="E120" s="62">
        <v>12884663.289999999</v>
      </c>
      <c r="F120" s="59">
        <v>0</v>
      </c>
      <c r="J120" s="67">
        <v>0</v>
      </c>
      <c r="N120">
        <f>_xlfn.XLOOKUP(M120,'QUADROS QUE FALTARAM'!F:F,'QUADROS QUE FALTARAM'!B:B,0)</f>
        <v>0</v>
      </c>
    </row>
    <row r="121" spans="1:14" x14ac:dyDescent="0.3">
      <c r="A121" t="s">
        <v>2655</v>
      </c>
      <c r="B121" t="s">
        <v>495</v>
      </c>
      <c r="C121" s="54">
        <v>0</v>
      </c>
      <c r="D121" s="20">
        <v>12457680.6</v>
      </c>
      <c r="E121" s="20">
        <v>12457680.6</v>
      </c>
      <c r="F121" s="54">
        <v>0</v>
      </c>
      <c r="J121" s="67">
        <v>0</v>
      </c>
      <c r="N121">
        <f>_xlfn.XLOOKUP(M121,'QUADROS QUE FALTARAM'!F:F,'QUADROS QUE FALTARAM'!B:B,0)</f>
        <v>0</v>
      </c>
    </row>
    <row r="122" spans="1:14" x14ac:dyDescent="0.3">
      <c r="A122" t="s">
        <v>2656</v>
      </c>
      <c r="B122" t="s">
        <v>498</v>
      </c>
      <c r="C122" s="54">
        <v>426982.69</v>
      </c>
      <c r="D122" s="20">
        <v>0</v>
      </c>
      <c r="E122" s="20">
        <v>426982.69</v>
      </c>
      <c r="F122" s="54">
        <v>0</v>
      </c>
      <c r="J122" s="67">
        <v>0</v>
      </c>
      <c r="N122">
        <f>_xlfn.XLOOKUP(M122,'QUADROS QUE FALTARAM'!F:F,'QUADROS QUE FALTARAM'!B:B,0)</f>
        <v>0</v>
      </c>
    </row>
    <row r="123" spans="1:14" x14ac:dyDescent="0.3">
      <c r="A123" s="1" t="s">
        <v>2657</v>
      </c>
      <c r="B123" s="1" t="s">
        <v>501</v>
      </c>
      <c r="C123" s="59">
        <v>3848209.91</v>
      </c>
      <c r="D123" s="62">
        <v>14125645.710000001</v>
      </c>
      <c r="E123" s="62">
        <v>17852925.289999999</v>
      </c>
      <c r="F123" s="93">
        <v>120930.33</v>
      </c>
      <c r="G123" s="20"/>
      <c r="J123" s="67">
        <v>0</v>
      </c>
      <c r="N123">
        <f>_xlfn.XLOOKUP(M123,'QUADROS QUE FALTARAM'!F:F,'QUADROS QUE FALTARAM'!B:B,0)</f>
        <v>0</v>
      </c>
    </row>
    <row r="124" spans="1:14" x14ac:dyDescent="0.3">
      <c r="A124" s="1" t="s">
        <v>2659</v>
      </c>
      <c r="B124" s="1" t="s">
        <v>503</v>
      </c>
      <c r="C124" s="59">
        <v>3848209.91</v>
      </c>
      <c r="D124" s="62">
        <v>14125645.710000001</v>
      </c>
      <c r="E124" s="62">
        <v>17852925.289999999</v>
      </c>
      <c r="F124" s="93">
        <v>120930.33</v>
      </c>
      <c r="J124" s="67">
        <v>0</v>
      </c>
      <c r="N124">
        <f>_xlfn.XLOOKUP(M124,'QUADROS QUE FALTARAM'!F:F,'QUADROS QUE FALTARAM'!B:B,0)</f>
        <v>0</v>
      </c>
    </row>
    <row r="125" spans="1:14" x14ac:dyDescent="0.3">
      <c r="A125" t="s">
        <v>2660</v>
      </c>
      <c r="B125" t="s">
        <v>507</v>
      </c>
      <c r="C125" s="54">
        <v>-18391.52</v>
      </c>
      <c r="D125" s="20">
        <v>0</v>
      </c>
      <c r="E125" s="20">
        <v>0</v>
      </c>
      <c r="F125" s="54">
        <v>-18391.52</v>
      </c>
      <c r="J125" s="67">
        <v>0</v>
      </c>
      <c r="N125">
        <f>_xlfn.XLOOKUP(M125,'QUADROS QUE FALTARAM'!F:F,'QUADROS QUE FALTARAM'!B:B,0)</f>
        <v>0</v>
      </c>
    </row>
    <row r="126" spans="1:14" x14ac:dyDescent="0.3">
      <c r="A126" t="s">
        <v>2661</v>
      </c>
      <c r="B126" t="s">
        <v>510</v>
      </c>
      <c r="C126" s="54">
        <v>2895707.74</v>
      </c>
      <c r="D126" s="20">
        <v>379035.59</v>
      </c>
      <c r="E126" s="20">
        <v>3274743.33</v>
      </c>
      <c r="F126" s="54">
        <v>0</v>
      </c>
      <c r="J126" s="67">
        <v>0</v>
      </c>
      <c r="N126">
        <f>_xlfn.XLOOKUP(M126,'QUADROS QUE FALTARAM'!F:F,'QUADROS QUE FALTARAM'!B:B,0)</f>
        <v>0</v>
      </c>
    </row>
    <row r="127" spans="1:14" x14ac:dyDescent="0.3">
      <c r="A127" t="s">
        <v>2662</v>
      </c>
      <c r="B127" t="s">
        <v>514</v>
      </c>
      <c r="C127" s="54">
        <v>19320</v>
      </c>
      <c r="D127" s="20">
        <v>7868098.1399999997</v>
      </c>
      <c r="E127" s="20">
        <v>7887418.1399999997</v>
      </c>
      <c r="F127" s="54">
        <v>0</v>
      </c>
      <c r="J127" s="67">
        <v>0</v>
      </c>
      <c r="N127">
        <f>_xlfn.XLOOKUP(M127,'QUADROS QUE FALTARAM'!F:F,'QUADROS QUE FALTARAM'!B:B,0)</f>
        <v>0</v>
      </c>
    </row>
    <row r="128" spans="1:14" x14ac:dyDescent="0.3">
      <c r="A128" t="s">
        <v>2663</v>
      </c>
      <c r="B128" t="s">
        <v>518</v>
      </c>
      <c r="C128" s="54">
        <v>56946.3</v>
      </c>
      <c r="D128" s="20">
        <v>74893.3</v>
      </c>
      <c r="E128" s="20">
        <v>33550.79</v>
      </c>
      <c r="F128" s="54">
        <v>98288.81</v>
      </c>
      <c r="J128" s="67">
        <v>0</v>
      </c>
      <c r="N128">
        <f>_xlfn.XLOOKUP(M128,'QUADROS QUE FALTARAM'!F:F,'QUADROS QUE FALTARAM'!B:B,0)</f>
        <v>0</v>
      </c>
    </row>
    <row r="129" spans="1:14" x14ac:dyDescent="0.3">
      <c r="A129" t="s">
        <v>2664</v>
      </c>
      <c r="B129" t="s">
        <v>522</v>
      </c>
      <c r="C129" s="54">
        <v>37864.639999999999</v>
      </c>
      <c r="D129" s="20">
        <v>0</v>
      </c>
      <c r="E129" s="20">
        <v>119.04</v>
      </c>
      <c r="F129" s="54">
        <v>37745.599999999999</v>
      </c>
      <c r="J129" s="67">
        <v>0</v>
      </c>
      <c r="N129">
        <f>_xlfn.XLOOKUP(M129,'QUADROS QUE FALTARAM'!F:F,'QUADROS QUE FALTARAM'!B:B,0)</f>
        <v>0</v>
      </c>
    </row>
    <row r="130" spans="1:14" x14ac:dyDescent="0.3">
      <c r="A130" t="s">
        <v>2665</v>
      </c>
      <c r="B130" t="s">
        <v>526</v>
      </c>
      <c r="C130" s="54">
        <v>1423.73</v>
      </c>
      <c r="D130" s="20">
        <v>1714.72</v>
      </c>
      <c r="E130" s="20">
        <v>0</v>
      </c>
      <c r="F130" s="54">
        <v>3138.45</v>
      </c>
      <c r="J130" s="67">
        <v>0</v>
      </c>
      <c r="N130">
        <f>_xlfn.XLOOKUP(M130,'QUADROS QUE FALTARAM'!F:F,'QUADROS QUE FALTARAM'!B:B,0)</f>
        <v>0</v>
      </c>
    </row>
    <row r="131" spans="1:14" x14ac:dyDescent="0.3">
      <c r="A131" t="s">
        <v>2666</v>
      </c>
      <c r="B131" t="s">
        <v>530</v>
      </c>
      <c r="C131" s="54">
        <v>148.99</v>
      </c>
      <c r="D131" s="20">
        <v>0</v>
      </c>
      <c r="E131" s="20">
        <v>0</v>
      </c>
      <c r="F131" s="54">
        <v>148.99</v>
      </c>
      <c r="J131" s="67">
        <v>0</v>
      </c>
      <c r="N131">
        <f>_xlfn.XLOOKUP(M131,'QUADROS QUE FALTARAM'!F:F,'QUADROS QUE FALTARAM'!B:B,0)</f>
        <v>0</v>
      </c>
    </row>
    <row r="132" spans="1:14" x14ac:dyDescent="0.3">
      <c r="A132" t="s">
        <v>2667</v>
      </c>
      <c r="B132" t="s">
        <v>533</v>
      </c>
      <c r="C132" s="54">
        <v>41097.32</v>
      </c>
      <c r="D132" s="20">
        <v>7604.48</v>
      </c>
      <c r="E132" s="20">
        <v>48701.8</v>
      </c>
      <c r="F132" s="54">
        <v>0</v>
      </c>
      <c r="J132" s="67">
        <v>0</v>
      </c>
      <c r="N132">
        <f>_xlfn.XLOOKUP(M132,'QUADROS QUE FALTARAM'!F:F,'QUADROS QUE FALTARAM'!B:B,0)</f>
        <v>0</v>
      </c>
    </row>
    <row r="133" spans="1:14" x14ac:dyDescent="0.3">
      <c r="A133" t="s">
        <v>2668</v>
      </c>
      <c r="B133" t="s">
        <v>537</v>
      </c>
      <c r="C133" s="54">
        <v>121.84</v>
      </c>
      <c r="D133" s="20">
        <v>8628.76</v>
      </c>
      <c r="E133" s="20">
        <v>8750.6</v>
      </c>
      <c r="F133" s="54">
        <v>0</v>
      </c>
      <c r="J133" s="67">
        <v>0</v>
      </c>
      <c r="N133">
        <f>_xlfn.XLOOKUP(M133,'QUADROS QUE FALTARAM'!F:F,'QUADROS QUE FALTARAM'!B:B,0)</f>
        <v>0</v>
      </c>
    </row>
    <row r="134" spans="1:14" x14ac:dyDescent="0.3">
      <c r="A134" t="s">
        <v>2669</v>
      </c>
      <c r="B134" t="s">
        <v>541</v>
      </c>
      <c r="C134" s="54">
        <v>362.89</v>
      </c>
      <c r="D134" s="20">
        <v>0</v>
      </c>
      <c r="E134" s="20">
        <v>362.89</v>
      </c>
      <c r="F134" s="54">
        <v>0</v>
      </c>
      <c r="J134" s="67">
        <v>0</v>
      </c>
      <c r="N134">
        <f>_xlfn.XLOOKUP(M134,'QUADROS QUE FALTARAM'!F:F,'QUADROS QUE FALTARAM'!B:B,0)</f>
        <v>0</v>
      </c>
    </row>
    <row r="135" spans="1:14" x14ac:dyDescent="0.3">
      <c r="A135" t="s">
        <v>2670</v>
      </c>
      <c r="B135" t="s">
        <v>544</v>
      </c>
      <c r="C135" s="54">
        <v>244012.08</v>
      </c>
      <c r="D135" s="20">
        <v>651349.81000000006</v>
      </c>
      <c r="E135" s="20">
        <v>895361.89</v>
      </c>
      <c r="F135" s="54">
        <v>0</v>
      </c>
      <c r="J135" s="67">
        <v>0</v>
      </c>
      <c r="N135">
        <f>_xlfn.XLOOKUP(M135,'QUADROS QUE FALTARAM'!F:F,'QUADROS QUE FALTARAM'!B:B,0)</f>
        <v>0</v>
      </c>
    </row>
    <row r="136" spans="1:14" x14ac:dyDescent="0.3">
      <c r="A136" t="s">
        <v>2671</v>
      </c>
      <c r="B136" t="s">
        <v>547</v>
      </c>
      <c r="C136" s="54">
        <v>569595.9</v>
      </c>
      <c r="D136" s="20">
        <v>5127668.5</v>
      </c>
      <c r="E136" s="20">
        <v>5697264.4000000004</v>
      </c>
      <c r="F136" s="54">
        <v>0</v>
      </c>
      <c r="J136" s="67">
        <v>0</v>
      </c>
      <c r="N136">
        <f>_xlfn.XLOOKUP(M136,'QUADROS QUE FALTARAM'!F:F,'QUADROS QUE FALTARAM'!B:B,0)</f>
        <v>0</v>
      </c>
    </row>
    <row r="137" spans="1:14" x14ac:dyDescent="0.3">
      <c r="A137" t="s">
        <v>2672</v>
      </c>
      <c r="B137" t="s">
        <v>2172</v>
      </c>
      <c r="C137" s="54">
        <v>0</v>
      </c>
      <c r="D137" s="20">
        <v>6652.41</v>
      </c>
      <c r="E137" s="20">
        <v>6652.41</v>
      </c>
      <c r="F137" s="54">
        <v>0</v>
      </c>
      <c r="J137" s="67" t="s">
        <v>2129</v>
      </c>
      <c r="N137">
        <f>_xlfn.XLOOKUP(M137,'QUADROS QUE FALTARAM'!F:F,'QUADROS QUE FALTARAM'!B:B,0)</f>
        <v>0</v>
      </c>
    </row>
    <row r="138" spans="1:14" x14ac:dyDescent="0.3">
      <c r="A138" s="1" t="s">
        <v>2673</v>
      </c>
      <c r="B138" s="1" t="s">
        <v>550</v>
      </c>
      <c r="C138" s="59">
        <v>53771.22</v>
      </c>
      <c r="D138" s="62">
        <v>5535.08</v>
      </c>
      <c r="E138" s="62">
        <v>42933.72</v>
      </c>
      <c r="F138" s="59">
        <v>16372.58</v>
      </c>
      <c r="J138" s="67">
        <v>0</v>
      </c>
      <c r="N138">
        <f>_xlfn.XLOOKUP(M138,'QUADROS QUE FALTARAM'!F:F,'QUADROS QUE FALTARAM'!B:B,0)</f>
        <v>0</v>
      </c>
    </row>
    <row r="139" spans="1:14" x14ac:dyDescent="0.3">
      <c r="A139" s="1" t="s">
        <v>2675</v>
      </c>
      <c r="B139" s="1" t="s">
        <v>552</v>
      </c>
      <c r="C139" s="59">
        <v>53771.22</v>
      </c>
      <c r="D139" s="62">
        <v>5535.08</v>
      </c>
      <c r="E139" s="62">
        <v>42933.72</v>
      </c>
      <c r="F139" s="59">
        <v>16372.58</v>
      </c>
      <c r="J139" s="67">
        <v>0</v>
      </c>
      <c r="N139">
        <f>_xlfn.XLOOKUP(M139,'QUADROS QUE FALTARAM'!F:F,'QUADROS QUE FALTARAM'!B:B,0)</f>
        <v>0</v>
      </c>
    </row>
    <row r="140" spans="1:14" x14ac:dyDescent="0.3">
      <c r="A140" t="s">
        <v>2676</v>
      </c>
      <c r="B140" t="s">
        <v>556</v>
      </c>
      <c r="C140" s="54">
        <v>53771.22</v>
      </c>
      <c r="D140" s="20">
        <v>37.5</v>
      </c>
      <c r="E140" s="20">
        <v>42933.72</v>
      </c>
      <c r="F140" s="54">
        <v>10875</v>
      </c>
      <c r="J140" s="67">
        <v>0</v>
      </c>
      <c r="N140">
        <f>_xlfn.XLOOKUP(M140,'QUADROS QUE FALTARAM'!F:F,'QUADROS QUE FALTARAM'!B:B,0)</f>
        <v>0</v>
      </c>
    </row>
    <row r="141" spans="1:14" x14ac:dyDescent="0.3">
      <c r="A141" t="s">
        <v>2678</v>
      </c>
      <c r="B141" t="s">
        <v>2173</v>
      </c>
      <c r="C141" s="54">
        <v>0</v>
      </c>
      <c r="D141" s="20">
        <v>5497.58</v>
      </c>
      <c r="E141" s="20">
        <v>0</v>
      </c>
      <c r="F141" s="54">
        <v>5497.58</v>
      </c>
      <c r="J141" s="67" t="s">
        <v>2129</v>
      </c>
      <c r="N141">
        <f>_xlfn.XLOOKUP(M141,'QUADROS QUE FALTARAM'!F:F,'QUADROS QUE FALTARAM'!B:B,0)</f>
        <v>0</v>
      </c>
    </row>
    <row r="142" spans="1:14" x14ac:dyDescent="0.3">
      <c r="A142" s="1" t="s">
        <v>2680</v>
      </c>
      <c r="B142" s="1" t="s">
        <v>559</v>
      </c>
      <c r="C142" s="59">
        <v>369735.54</v>
      </c>
      <c r="D142" s="62">
        <v>150276.57</v>
      </c>
      <c r="E142" s="62">
        <v>170433.83</v>
      </c>
      <c r="F142" s="59">
        <v>349578.28</v>
      </c>
      <c r="J142" s="67">
        <v>0</v>
      </c>
      <c r="N142">
        <f>_xlfn.XLOOKUP(M142,'QUADROS QUE FALTARAM'!F:F,'QUADROS QUE FALTARAM'!B:B,0)</f>
        <v>0</v>
      </c>
    </row>
    <row r="143" spans="1:14" x14ac:dyDescent="0.3">
      <c r="A143" s="1" t="s">
        <v>2682</v>
      </c>
      <c r="B143" s="1" t="s">
        <v>561</v>
      </c>
      <c r="C143" s="59">
        <v>369735.54</v>
      </c>
      <c r="D143" s="62">
        <v>150276.57</v>
      </c>
      <c r="E143" s="62">
        <v>170433.83</v>
      </c>
      <c r="F143" s="59">
        <v>349578.28</v>
      </c>
      <c r="J143" s="67">
        <v>0</v>
      </c>
      <c r="N143">
        <f>_xlfn.XLOOKUP(M143,'QUADROS QUE FALTARAM'!F:F,'QUADROS QUE FALTARAM'!B:B,0)</f>
        <v>0</v>
      </c>
    </row>
    <row r="144" spans="1:14" x14ac:dyDescent="0.3">
      <c r="A144" t="s">
        <v>2683</v>
      </c>
      <c r="B144" t="s">
        <v>565</v>
      </c>
      <c r="C144" s="54">
        <v>518131.83</v>
      </c>
      <c r="D144" s="20">
        <v>1333.21</v>
      </c>
      <c r="E144" s="20">
        <v>154469.5</v>
      </c>
      <c r="F144" s="54">
        <v>364995.54</v>
      </c>
      <c r="J144" s="67">
        <v>0</v>
      </c>
      <c r="N144">
        <f>_xlfn.XLOOKUP(M144,'QUADROS QUE FALTARAM'!F:F,'QUADROS QUE FALTARAM'!B:B,0)</f>
        <v>0</v>
      </c>
    </row>
    <row r="145" spans="1:14" x14ac:dyDescent="0.3">
      <c r="A145" t="s">
        <v>2684</v>
      </c>
      <c r="B145" t="s">
        <v>569</v>
      </c>
      <c r="C145" s="54">
        <v>-148396.29</v>
      </c>
      <c r="D145" s="20">
        <v>148943.35999999999</v>
      </c>
      <c r="E145" s="20">
        <v>15964.33</v>
      </c>
      <c r="F145" s="54">
        <v>-15417.26</v>
      </c>
      <c r="J145" s="67">
        <v>0</v>
      </c>
      <c r="N145">
        <f>_xlfn.XLOOKUP(M145,'QUADROS QUE FALTARAM'!F:F,'QUADROS QUE FALTARAM'!B:B,0)</f>
        <v>0</v>
      </c>
    </row>
    <row r="146" spans="1:14" x14ac:dyDescent="0.3">
      <c r="A146" s="1" t="s">
        <v>2685</v>
      </c>
      <c r="B146" s="1" t="s">
        <v>2176</v>
      </c>
      <c r="C146" s="59">
        <v>0</v>
      </c>
      <c r="D146" s="62">
        <v>9891466.0500000007</v>
      </c>
      <c r="E146" s="62">
        <v>0</v>
      </c>
      <c r="F146" s="59">
        <v>9891466.0500000007</v>
      </c>
      <c r="J146" s="67" t="s">
        <v>2129</v>
      </c>
      <c r="N146">
        <f>_xlfn.XLOOKUP(M146,'QUADROS QUE FALTARAM'!F:F,'QUADROS QUE FALTARAM'!B:B,0)</f>
        <v>0</v>
      </c>
    </row>
    <row r="147" spans="1:14" x14ac:dyDescent="0.3">
      <c r="A147" s="1" t="s">
        <v>2687</v>
      </c>
      <c r="B147" s="1" t="s">
        <v>2177</v>
      </c>
      <c r="C147" s="59">
        <v>0</v>
      </c>
      <c r="D147" s="62">
        <v>9891466.0500000007</v>
      </c>
      <c r="E147" s="62">
        <v>0</v>
      </c>
      <c r="F147" s="59">
        <v>9891466.0500000007</v>
      </c>
      <c r="J147" s="67" t="s">
        <v>2129</v>
      </c>
      <c r="N147">
        <f>_xlfn.XLOOKUP(M147,'QUADROS QUE FALTARAM'!F:F,'QUADROS QUE FALTARAM'!B:B,0)</f>
        <v>0</v>
      </c>
    </row>
    <row r="148" spans="1:14" x14ac:dyDescent="0.3">
      <c r="A148" t="s">
        <v>2688</v>
      </c>
      <c r="B148" t="s">
        <v>2178</v>
      </c>
      <c r="C148" s="54">
        <v>0</v>
      </c>
      <c r="D148" s="20">
        <v>15037.61</v>
      </c>
      <c r="E148" s="20">
        <v>0</v>
      </c>
      <c r="F148" s="54">
        <v>15037.61</v>
      </c>
      <c r="J148" s="67" t="s">
        <v>2129</v>
      </c>
      <c r="N148">
        <f>_xlfn.XLOOKUP(M148,'QUADROS QUE FALTARAM'!F:F,'QUADROS QUE FALTARAM'!B:B,0)</f>
        <v>0</v>
      </c>
    </row>
    <row r="149" spans="1:14" x14ac:dyDescent="0.3">
      <c r="A149" t="s">
        <v>2690</v>
      </c>
      <c r="B149" t="s">
        <v>2179</v>
      </c>
      <c r="C149" s="54">
        <v>0</v>
      </c>
      <c r="D149" s="20">
        <v>8083.82</v>
      </c>
      <c r="E149" s="20">
        <v>0</v>
      </c>
      <c r="F149" s="54">
        <v>8083.82</v>
      </c>
      <c r="J149" s="67" t="s">
        <v>2129</v>
      </c>
      <c r="N149">
        <f>_xlfn.XLOOKUP(M149,'QUADROS QUE FALTARAM'!F:F,'QUADROS QUE FALTARAM'!B:B,0)</f>
        <v>0</v>
      </c>
    </row>
    <row r="150" spans="1:14" x14ac:dyDescent="0.3">
      <c r="A150" t="s">
        <v>2692</v>
      </c>
      <c r="B150" t="s">
        <v>2180</v>
      </c>
      <c r="C150" s="54">
        <v>0</v>
      </c>
      <c r="D150" s="20">
        <v>329.84</v>
      </c>
      <c r="E150" s="20">
        <v>0</v>
      </c>
      <c r="F150" s="54">
        <v>329.84</v>
      </c>
      <c r="J150" s="67" t="s">
        <v>2129</v>
      </c>
      <c r="N150">
        <f>_xlfn.XLOOKUP(M150,'QUADROS QUE FALTARAM'!F:F,'QUADROS QUE FALTARAM'!B:B,0)</f>
        <v>0</v>
      </c>
    </row>
    <row r="151" spans="1:14" x14ac:dyDescent="0.3">
      <c r="A151" t="s">
        <v>2694</v>
      </c>
      <c r="B151" t="s">
        <v>2181</v>
      </c>
      <c r="C151" s="54">
        <v>0</v>
      </c>
      <c r="D151" s="20">
        <v>384752.36</v>
      </c>
      <c r="E151" s="20">
        <v>0</v>
      </c>
      <c r="F151" s="54">
        <v>384752.36</v>
      </c>
      <c r="J151" s="67" t="s">
        <v>2129</v>
      </c>
      <c r="N151">
        <f>_xlfn.XLOOKUP(M151,'QUADROS QUE FALTARAM'!F:F,'QUADROS QUE FALTARAM'!B:B,0)</f>
        <v>0</v>
      </c>
    </row>
    <row r="152" spans="1:14" x14ac:dyDescent="0.3">
      <c r="A152" t="s">
        <v>2696</v>
      </c>
      <c r="B152" t="s">
        <v>2182</v>
      </c>
      <c r="C152" s="54">
        <v>0</v>
      </c>
      <c r="D152" s="20">
        <v>3090189.11</v>
      </c>
      <c r="E152" s="20">
        <v>0</v>
      </c>
      <c r="F152" s="54">
        <v>3090189.11</v>
      </c>
      <c r="J152" s="67" t="s">
        <v>2129</v>
      </c>
      <c r="N152">
        <f>_xlfn.XLOOKUP(M152,'QUADROS QUE FALTARAM'!F:F,'QUADROS QUE FALTARAM'!B:B,0)</f>
        <v>0</v>
      </c>
    </row>
    <row r="153" spans="1:14" hidden="1" x14ac:dyDescent="0.3">
      <c r="A153" t="s">
        <v>3348</v>
      </c>
      <c r="B153" t="s">
        <v>3350</v>
      </c>
      <c r="C153" s="54">
        <v>0</v>
      </c>
      <c r="D153" s="20">
        <v>1870632</v>
      </c>
      <c r="E153" s="20">
        <v>0</v>
      </c>
      <c r="F153" s="54">
        <v>1870632</v>
      </c>
    </row>
    <row r="154" spans="1:14" hidden="1" x14ac:dyDescent="0.3">
      <c r="A154" t="s">
        <v>3349</v>
      </c>
      <c r="B154" t="s">
        <v>3351</v>
      </c>
      <c r="C154" s="54">
        <v>0</v>
      </c>
      <c r="D154" s="20">
        <v>4522441.3099999996</v>
      </c>
      <c r="E154" s="20">
        <v>0</v>
      </c>
      <c r="F154" s="54">
        <v>4522441.3099999996</v>
      </c>
    </row>
    <row r="155" spans="1:14" x14ac:dyDescent="0.3">
      <c r="A155" s="1" t="s">
        <v>2707</v>
      </c>
      <c r="B155" s="1" t="s">
        <v>573</v>
      </c>
      <c r="C155" s="59">
        <v>1466363.96</v>
      </c>
      <c r="D155" s="62">
        <v>8526.2800000000007</v>
      </c>
      <c r="E155" s="62">
        <v>9734.64</v>
      </c>
      <c r="F155" s="59">
        <v>1465155.6</v>
      </c>
      <c r="J155" s="67">
        <v>0</v>
      </c>
      <c r="N155">
        <f>_xlfn.XLOOKUP(M155,'QUADROS QUE FALTARAM'!F:F,'QUADROS QUE FALTARAM'!B:B,0)</f>
        <v>0</v>
      </c>
    </row>
    <row r="156" spans="1:14" x14ac:dyDescent="0.3">
      <c r="A156" s="1" t="s">
        <v>2709</v>
      </c>
      <c r="B156" s="1" t="s">
        <v>575</v>
      </c>
      <c r="C156" s="59">
        <v>1466363.96</v>
      </c>
      <c r="D156" s="62">
        <v>8526.2800000000007</v>
      </c>
      <c r="E156" s="62">
        <v>9734.64</v>
      </c>
      <c r="F156" s="59">
        <v>1465155.6</v>
      </c>
      <c r="J156" s="67">
        <v>0</v>
      </c>
      <c r="N156">
        <f>_xlfn.XLOOKUP(M156,'QUADROS QUE FALTARAM'!F:F,'QUADROS QUE FALTARAM'!B:B,0)</f>
        <v>0</v>
      </c>
    </row>
    <row r="157" spans="1:14" x14ac:dyDescent="0.3">
      <c r="A157" t="s">
        <v>2710</v>
      </c>
      <c r="B157" t="s">
        <v>579</v>
      </c>
      <c r="C157" s="54">
        <v>98323.49</v>
      </c>
      <c r="D157" s="20">
        <v>8526.2800000000007</v>
      </c>
      <c r="E157" s="20">
        <v>9734.64</v>
      </c>
      <c r="F157" s="54">
        <v>97115.13</v>
      </c>
      <c r="J157" s="67">
        <v>0</v>
      </c>
      <c r="N157">
        <f>_xlfn.XLOOKUP(M157,'QUADROS QUE FALTARAM'!F:F,'QUADROS QUE FALTARAM'!B:B,0)</f>
        <v>0</v>
      </c>
    </row>
    <row r="158" spans="1:14" x14ac:dyDescent="0.3">
      <c r="A158" t="s">
        <v>2711</v>
      </c>
      <c r="B158" t="s">
        <v>583</v>
      </c>
      <c r="C158" s="54">
        <v>1368040.47</v>
      </c>
      <c r="D158" s="20">
        <v>0</v>
      </c>
      <c r="E158" s="20">
        <v>0</v>
      </c>
      <c r="F158" s="54">
        <v>1368040.47</v>
      </c>
      <c r="J158" s="67">
        <v>0</v>
      </c>
      <c r="N158">
        <f>_xlfn.XLOOKUP(M158,'QUADROS QUE FALTARAM'!F:F,'QUADROS QUE FALTARAM'!B:B,0)</f>
        <v>0</v>
      </c>
    </row>
    <row r="159" spans="1:14" x14ac:dyDescent="0.3">
      <c r="A159" s="1" t="s">
        <v>2712</v>
      </c>
      <c r="B159" s="1" t="s">
        <v>587</v>
      </c>
      <c r="C159" s="59">
        <v>1525367.88</v>
      </c>
      <c r="D159" s="62">
        <v>5511213.2199999997</v>
      </c>
      <c r="E159" s="62">
        <v>3461720.65</v>
      </c>
      <c r="F159" s="59">
        <v>3574860.45</v>
      </c>
      <c r="J159" s="67">
        <v>0</v>
      </c>
      <c r="N159">
        <f>_xlfn.XLOOKUP(M159,'QUADROS QUE FALTARAM'!F:F,'QUADROS QUE FALTARAM'!B:B,0)</f>
        <v>0</v>
      </c>
    </row>
    <row r="160" spans="1:14" x14ac:dyDescent="0.3">
      <c r="A160" s="1" t="s">
        <v>2714</v>
      </c>
      <c r="B160" s="1" t="s">
        <v>590</v>
      </c>
      <c r="C160" s="59">
        <v>1525367.88</v>
      </c>
      <c r="D160" s="62">
        <v>5511213.2199999997</v>
      </c>
      <c r="E160" s="62">
        <v>3461720.65</v>
      </c>
      <c r="F160" s="59">
        <v>3574860.45</v>
      </c>
      <c r="J160" s="67">
        <v>0</v>
      </c>
      <c r="N160">
        <f>_xlfn.XLOOKUP(M160,'QUADROS QUE FALTARAM'!F:F,'QUADROS QUE FALTARAM'!B:B,0)</f>
        <v>0</v>
      </c>
    </row>
    <row r="161" spans="1:14" x14ac:dyDescent="0.3">
      <c r="A161" t="s">
        <v>2715</v>
      </c>
      <c r="B161" t="s">
        <v>593</v>
      </c>
      <c r="C161" s="54">
        <v>1525367.88</v>
      </c>
      <c r="D161" s="20">
        <v>5507861.7199999997</v>
      </c>
      <c r="E161" s="20">
        <v>3459248.47</v>
      </c>
      <c r="F161" s="54">
        <v>3573981.13</v>
      </c>
      <c r="J161" s="67">
        <v>0</v>
      </c>
      <c r="N161">
        <f>_xlfn.XLOOKUP(M161,'QUADROS QUE FALTARAM'!F:F,'QUADROS QUE FALTARAM'!B:B,0)</f>
        <v>0</v>
      </c>
    </row>
    <row r="162" spans="1:14" x14ac:dyDescent="0.3">
      <c r="A162" t="s">
        <v>2717</v>
      </c>
      <c r="B162" t="s">
        <v>2184</v>
      </c>
      <c r="C162" s="54">
        <v>0</v>
      </c>
      <c r="D162" s="20">
        <v>2781.6</v>
      </c>
      <c r="E162" s="20">
        <v>1902.28</v>
      </c>
      <c r="F162" s="54">
        <v>879.32</v>
      </c>
      <c r="J162" s="67" t="s">
        <v>2129</v>
      </c>
      <c r="N162">
        <f>_xlfn.XLOOKUP(M162,'QUADROS QUE FALTARAM'!F:F,'QUADROS QUE FALTARAM'!B:B,0)</f>
        <v>0</v>
      </c>
    </row>
    <row r="163" spans="1:14" x14ac:dyDescent="0.3">
      <c r="A163" t="s">
        <v>2719</v>
      </c>
      <c r="B163" t="s">
        <v>2185</v>
      </c>
      <c r="C163" s="54">
        <v>0</v>
      </c>
      <c r="D163" s="20">
        <v>569.9</v>
      </c>
      <c r="E163" s="20">
        <v>569.9</v>
      </c>
      <c r="F163" s="54">
        <v>0</v>
      </c>
      <c r="J163" s="67" t="s">
        <v>2129</v>
      </c>
      <c r="N163">
        <f>_xlfn.XLOOKUP(M163,'QUADROS QUE FALTARAM'!F:F,'QUADROS QUE FALTARAM'!B:B,0)</f>
        <v>0</v>
      </c>
    </row>
    <row r="164" spans="1:14" x14ac:dyDescent="0.3">
      <c r="A164" s="1" t="s">
        <v>2720</v>
      </c>
      <c r="B164" s="1" t="s">
        <v>596</v>
      </c>
      <c r="C164" s="59">
        <v>67568401.680000007</v>
      </c>
      <c r="D164" s="62">
        <v>31291461.469999999</v>
      </c>
      <c r="E164" s="62">
        <v>62973535.659999996</v>
      </c>
      <c r="F164" s="59">
        <v>35886327.490000002</v>
      </c>
      <c r="J164" s="67">
        <v>0</v>
      </c>
      <c r="N164">
        <f>_xlfn.XLOOKUP(M164,'QUADROS QUE FALTARAM'!F:F,'QUADROS QUE FALTARAM'!B:B,0)</f>
        <v>0</v>
      </c>
    </row>
    <row r="165" spans="1:14" x14ac:dyDescent="0.3">
      <c r="A165" s="1" t="s">
        <v>2722</v>
      </c>
      <c r="B165" s="1" t="s">
        <v>600</v>
      </c>
      <c r="C165" s="59">
        <v>6256695.2999999998</v>
      </c>
      <c r="D165" s="62">
        <v>1248100.3799999999</v>
      </c>
      <c r="E165" s="62">
        <v>12296.38</v>
      </c>
      <c r="F165" s="59">
        <v>7492499.2999999998</v>
      </c>
      <c r="J165" s="67">
        <v>0</v>
      </c>
      <c r="N165">
        <f>_xlfn.XLOOKUP(M165,'QUADROS QUE FALTARAM'!F:F,'QUADROS QUE FALTARAM'!B:B,0)</f>
        <v>0</v>
      </c>
    </row>
    <row r="166" spans="1:14" x14ac:dyDescent="0.3">
      <c r="A166" s="1" t="s">
        <v>2725</v>
      </c>
      <c r="B166" s="1" t="s">
        <v>603</v>
      </c>
      <c r="C166" s="59">
        <v>4618.91</v>
      </c>
      <c r="D166" s="62">
        <v>0</v>
      </c>
      <c r="E166" s="62">
        <v>0</v>
      </c>
      <c r="F166" s="59">
        <v>4618.91</v>
      </c>
      <c r="J166" s="67">
        <v>0</v>
      </c>
      <c r="N166">
        <f>_xlfn.XLOOKUP(M166,'QUADROS QUE FALTARAM'!F:F,'QUADROS QUE FALTARAM'!B:B,0)</f>
        <v>0</v>
      </c>
    </row>
    <row r="167" spans="1:14" x14ac:dyDescent="0.3">
      <c r="A167" t="s">
        <v>2726</v>
      </c>
      <c r="B167" t="s">
        <v>607</v>
      </c>
      <c r="C167" s="54">
        <v>530.16</v>
      </c>
      <c r="D167" s="20">
        <v>0</v>
      </c>
      <c r="E167" s="20">
        <v>0</v>
      </c>
      <c r="F167" s="20">
        <v>0</v>
      </c>
      <c r="J167" s="67">
        <v>0</v>
      </c>
      <c r="N167">
        <f>_xlfn.XLOOKUP(M167,'QUADROS QUE FALTARAM'!F:F,'QUADROS QUE FALTARAM'!B:B,0)</f>
        <v>0</v>
      </c>
    </row>
    <row r="168" spans="1:14" x14ac:dyDescent="0.3">
      <c r="A168" t="s">
        <v>2727</v>
      </c>
      <c r="B168" t="s">
        <v>610</v>
      </c>
      <c r="C168" s="54">
        <v>4088.75</v>
      </c>
      <c r="D168" s="20">
        <v>0</v>
      </c>
      <c r="E168" s="20">
        <v>0</v>
      </c>
      <c r="F168" s="54">
        <v>4088.75</v>
      </c>
      <c r="J168" s="67">
        <v>0</v>
      </c>
      <c r="N168">
        <f>_xlfn.XLOOKUP(M168,'QUADROS QUE FALTARAM'!F:F,'QUADROS QUE FALTARAM'!B:B,0)</f>
        <v>0</v>
      </c>
    </row>
    <row r="169" spans="1:14" x14ac:dyDescent="0.3">
      <c r="A169" s="1" t="s">
        <v>2728</v>
      </c>
      <c r="B169" s="1" t="s">
        <v>613</v>
      </c>
      <c r="C169" s="59">
        <v>6252076.3899999997</v>
      </c>
      <c r="D169" s="62">
        <v>1248100.3799999999</v>
      </c>
      <c r="E169" s="62">
        <v>12296.38</v>
      </c>
      <c r="F169" s="59">
        <v>7487880.3899999997</v>
      </c>
      <c r="J169" s="67">
        <v>0</v>
      </c>
      <c r="N169">
        <f>_xlfn.XLOOKUP(M169,'QUADROS QUE FALTARAM'!F:F,'QUADROS QUE FALTARAM'!B:B,0)</f>
        <v>0</v>
      </c>
    </row>
    <row r="170" spans="1:14" x14ac:dyDescent="0.3">
      <c r="A170" t="s">
        <v>2730</v>
      </c>
      <c r="B170" t="s">
        <v>617</v>
      </c>
      <c r="C170" s="54">
        <v>4270804.41</v>
      </c>
      <c r="D170" s="20">
        <v>1165954.46</v>
      </c>
      <c r="E170" s="20">
        <v>0</v>
      </c>
      <c r="F170" s="54">
        <v>5436758.8700000001</v>
      </c>
      <c r="J170" s="67">
        <v>0</v>
      </c>
      <c r="N170">
        <f>_xlfn.XLOOKUP(M170,'QUADROS QUE FALTARAM'!F:F,'QUADROS QUE FALTARAM'!B:B,0)</f>
        <v>0</v>
      </c>
    </row>
    <row r="171" spans="1:14" x14ac:dyDescent="0.3">
      <c r="A171" t="s">
        <v>2731</v>
      </c>
      <c r="B171" t="s">
        <v>621</v>
      </c>
      <c r="C171" s="54">
        <v>1981271.98</v>
      </c>
      <c r="D171" s="20">
        <v>82145.919999999998</v>
      </c>
      <c r="E171" s="20">
        <v>12296.38</v>
      </c>
      <c r="F171" s="54">
        <v>2051121.52</v>
      </c>
      <c r="J171" s="67">
        <v>0</v>
      </c>
      <c r="N171">
        <f>_xlfn.XLOOKUP(M171,'QUADROS QUE FALTARAM'!F:F,'QUADROS QUE FALTARAM'!B:B,0)</f>
        <v>0</v>
      </c>
    </row>
    <row r="172" spans="1:14" x14ac:dyDescent="0.3">
      <c r="A172" s="1" t="s">
        <v>2732</v>
      </c>
      <c r="B172" s="1" t="s">
        <v>625</v>
      </c>
      <c r="C172" s="59">
        <v>52634.400000000001</v>
      </c>
      <c r="D172" s="62">
        <v>0</v>
      </c>
      <c r="E172" s="62">
        <v>0</v>
      </c>
      <c r="F172" s="59">
        <v>52634.400000000001</v>
      </c>
      <c r="J172" s="67">
        <v>0</v>
      </c>
      <c r="N172">
        <f>_xlfn.XLOOKUP(M172,'QUADROS QUE FALTARAM'!F:F,'QUADROS QUE FALTARAM'!B:B,0)</f>
        <v>0</v>
      </c>
    </row>
    <row r="173" spans="1:14" x14ac:dyDescent="0.3">
      <c r="A173" s="1" t="s">
        <v>2734</v>
      </c>
      <c r="B173" s="1" t="s">
        <v>629</v>
      </c>
      <c r="C173" s="59">
        <v>42022.61</v>
      </c>
      <c r="D173" s="62">
        <v>0</v>
      </c>
      <c r="E173" s="62">
        <v>0</v>
      </c>
      <c r="F173" s="59">
        <v>42022.61</v>
      </c>
      <c r="J173" s="67">
        <v>0</v>
      </c>
      <c r="N173">
        <f>_xlfn.XLOOKUP(M173,'QUADROS QUE FALTARAM'!F:F,'QUADROS QUE FALTARAM'!B:B,0)</f>
        <v>0</v>
      </c>
    </row>
    <row r="174" spans="1:14" x14ac:dyDescent="0.3">
      <c r="A174" t="s">
        <v>2735</v>
      </c>
      <c r="B174" t="s">
        <v>633</v>
      </c>
      <c r="C174" s="54">
        <v>1066.44</v>
      </c>
      <c r="D174" s="20">
        <v>0</v>
      </c>
      <c r="E174" s="20">
        <v>0</v>
      </c>
      <c r="F174" s="54">
        <v>1066.44</v>
      </c>
      <c r="J174" s="67">
        <v>0</v>
      </c>
      <c r="N174">
        <f>_xlfn.XLOOKUP(M174,'QUADROS QUE FALTARAM'!F:F,'QUADROS QUE FALTARAM'!B:B,0)</f>
        <v>0</v>
      </c>
    </row>
    <row r="175" spans="1:14" x14ac:dyDescent="0.3">
      <c r="A175" t="s">
        <v>2736</v>
      </c>
      <c r="B175" t="s">
        <v>636</v>
      </c>
      <c r="C175" s="54">
        <v>450.01</v>
      </c>
      <c r="D175" s="20">
        <v>0</v>
      </c>
      <c r="E175" s="20">
        <v>0</v>
      </c>
      <c r="F175" s="54">
        <v>450.01</v>
      </c>
      <c r="J175" s="67">
        <v>0</v>
      </c>
      <c r="N175">
        <f>_xlfn.XLOOKUP(M175,'QUADROS QUE FALTARAM'!F:F,'QUADROS QUE FALTARAM'!B:B,0)</f>
        <v>0</v>
      </c>
    </row>
    <row r="176" spans="1:14" x14ac:dyDescent="0.3">
      <c r="A176" t="s">
        <v>2737</v>
      </c>
      <c r="B176" t="s">
        <v>639</v>
      </c>
      <c r="C176" s="54">
        <v>2725.64</v>
      </c>
      <c r="D176" s="20">
        <v>0</v>
      </c>
      <c r="E176" s="20">
        <v>0</v>
      </c>
      <c r="F176" s="54">
        <v>2725.64</v>
      </c>
      <c r="J176" s="67">
        <v>0</v>
      </c>
      <c r="N176">
        <f>_xlfn.XLOOKUP(M176,'QUADROS QUE FALTARAM'!F:F,'QUADROS QUE FALTARAM'!B:B,0)</f>
        <v>0</v>
      </c>
    </row>
    <row r="177" spans="1:14" x14ac:dyDescent="0.3">
      <c r="A177" t="s">
        <v>2738</v>
      </c>
      <c r="B177" t="s">
        <v>642</v>
      </c>
      <c r="C177" s="54">
        <v>34997.629999999997</v>
      </c>
      <c r="D177" s="20">
        <v>0</v>
      </c>
      <c r="E177" s="20">
        <v>0</v>
      </c>
      <c r="F177" s="54">
        <v>34997.629999999997</v>
      </c>
      <c r="J177" s="67">
        <v>0</v>
      </c>
      <c r="N177">
        <f>_xlfn.XLOOKUP(M177,'QUADROS QUE FALTARAM'!F:F,'QUADROS QUE FALTARAM'!B:B,0)</f>
        <v>0</v>
      </c>
    </row>
    <row r="178" spans="1:14" x14ac:dyDescent="0.3">
      <c r="A178" t="s">
        <v>2739</v>
      </c>
      <c r="B178" t="s">
        <v>645</v>
      </c>
      <c r="C178" s="54">
        <v>62.89</v>
      </c>
      <c r="D178" s="20">
        <v>0</v>
      </c>
      <c r="E178" s="20">
        <v>0</v>
      </c>
      <c r="F178" s="54">
        <v>62.89</v>
      </c>
      <c r="J178" s="67">
        <v>0</v>
      </c>
      <c r="N178">
        <f>_xlfn.XLOOKUP(M178,'QUADROS QUE FALTARAM'!F:F,'QUADROS QUE FALTARAM'!B:B,0)</f>
        <v>0</v>
      </c>
    </row>
    <row r="179" spans="1:14" x14ac:dyDescent="0.3">
      <c r="A179" t="s">
        <v>2740</v>
      </c>
      <c r="B179" t="s">
        <v>648</v>
      </c>
      <c r="C179" s="54">
        <v>2720</v>
      </c>
      <c r="D179" s="20">
        <v>0</v>
      </c>
      <c r="E179" s="20">
        <v>0</v>
      </c>
      <c r="F179" s="54">
        <v>2720</v>
      </c>
      <c r="J179" s="67">
        <v>0</v>
      </c>
      <c r="N179">
        <f>_xlfn.XLOOKUP(M179,'QUADROS QUE FALTARAM'!F:F,'QUADROS QUE FALTARAM'!B:B,0)</f>
        <v>0</v>
      </c>
    </row>
    <row r="180" spans="1:14" x14ac:dyDescent="0.3">
      <c r="A180" s="1" t="s">
        <v>2741</v>
      </c>
      <c r="B180" s="1" t="s">
        <v>651</v>
      </c>
      <c r="C180" s="59">
        <v>10611.79</v>
      </c>
      <c r="D180" s="62">
        <v>0</v>
      </c>
      <c r="E180" s="62">
        <v>0</v>
      </c>
      <c r="F180" s="59">
        <v>10611.79</v>
      </c>
      <c r="J180" s="67">
        <v>0</v>
      </c>
      <c r="N180">
        <f>_xlfn.XLOOKUP(M180,'QUADROS QUE FALTARAM'!F:F,'QUADROS QUE FALTARAM'!B:B,0)</f>
        <v>0</v>
      </c>
    </row>
    <row r="181" spans="1:14" x14ac:dyDescent="0.3">
      <c r="A181" t="s">
        <v>2742</v>
      </c>
      <c r="B181" t="s">
        <v>655</v>
      </c>
      <c r="C181" s="54">
        <v>3864.04</v>
      </c>
      <c r="D181" s="20">
        <v>0</v>
      </c>
      <c r="E181" s="20">
        <v>0</v>
      </c>
      <c r="F181" s="54">
        <v>3864.04</v>
      </c>
      <c r="J181" s="67">
        <v>0</v>
      </c>
      <c r="N181">
        <f>_xlfn.XLOOKUP(M181,'QUADROS QUE FALTARAM'!F:F,'QUADROS QUE FALTARAM'!B:B,0)</f>
        <v>0</v>
      </c>
    </row>
    <row r="182" spans="1:14" x14ac:dyDescent="0.3">
      <c r="A182" t="s">
        <v>2743</v>
      </c>
      <c r="B182" t="s">
        <v>658</v>
      </c>
      <c r="C182" s="54">
        <v>2355.9899999999998</v>
      </c>
      <c r="D182" s="20">
        <v>0</v>
      </c>
      <c r="E182" s="20">
        <v>0</v>
      </c>
      <c r="F182" s="54">
        <v>2355.9899999999998</v>
      </c>
      <c r="J182" s="67">
        <v>0</v>
      </c>
      <c r="N182">
        <f>_xlfn.XLOOKUP(M182,'QUADROS QUE FALTARAM'!F:F,'QUADROS QUE FALTARAM'!B:B,0)</f>
        <v>0</v>
      </c>
    </row>
    <row r="183" spans="1:14" x14ac:dyDescent="0.3">
      <c r="A183" t="s">
        <v>2744</v>
      </c>
      <c r="B183" t="s">
        <v>661</v>
      </c>
      <c r="C183" s="54">
        <v>4391.76</v>
      </c>
      <c r="D183" s="20">
        <v>0</v>
      </c>
      <c r="E183" s="20">
        <v>0</v>
      </c>
      <c r="F183" s="54">
        <v>4391.76</v>
      </c>
      <c r="J183" s="67">
        <v>0</v>
      </c>
      <c r="N183">
        <f>_xlfn.XLOOKUP(M183,'QUADROS QUE FALTARAM'!F:F,'QUADROS QUE FALTARAM'!B:B,0)</f>
        <v>0</v>
      </c>
    </row>
    <row r="184" spans="1:14" x14ac:dyDescent="0.3">
      <c r="A184" s="180" t="s">
        <v>2745</v>
      </c>
      <c r="B184" s="180" t="s">
        <v>664</v>
      </c>
      <c r="C184" s="181">
        <v>61259071.979999997</v>
      </c>
      <c r="D184" s="182">
        <v>30043361.09</v>
      </c>
      <c r="E184" s="182">
        <v>62961239.280000001</v>
      </c>
      <c r="F184" s="181">
        <v>28341193.789999999</v>
      </c>
      <c r="J184" s="67">
        <v>0</v>
      </c>
      <c r="N184">
        <f>_xlfn.XLOOKUP(M184,'QUADROS QUE FALTARAM'!F:F,'QUADROS QUE FALTARAM'!B:B,0)</f>
        <v>0</v>
      </c>
    </row>
    <row r="185" spans="1:14" x14ac:dyDescent="0.3">
      <c r="A185" s="51" t="s">
        <v>2748</v>
      </c>
      <c r="B185" s="51" t="s">
        <v>667</v>
      </c>
      <c r="C185" s="59">
        <v>61000000</v>
      </c>
      <c r="D185" s="62">
        <v>22333293.699999999</v>
      </c>
      <c r="E185" s="62">
        <v>52012534.219999999</v>
      </c>
      <c r="F185" s="59">
        <v>31320759.48</v>
      </c>
      <c r="J185" s="67">
        <v>0</v>
      </c>
      <c r="N185">
        <f>_xlfn.XLOOKUP(M185,'QUADROS QUE FALTARAM'!F:F,'QUADROS QUE FALTARAM'!B:B,0)</f>
        <v>0</v>
      </c>
    </row>
    <row r="186" spans="1:14" x14ac:dyDescent="0.3">
      <c r="A186" t="s">
        <v>2750</v>
      </c>
      <c r="B186" t="s">
        <v>671</v>
      </c>
      <c r="C186" s="54">
        <v>12002725.800000001</v>
      </c>
      <c r="D186" s="20">
        <v>376132</v>
      </c>
      <c r="E186" s="20">
        <v>0</v>
      </c>
      <c r="F186" s="54">
        <v>12378857.800000001</v>
      </c>
      <c r="J186" s="67">
        <v>0</v>
      </c>
      <c r="N186">
        <f>_xlfn.XLOOKUP(M186,'QUADROS QUE FALTARAM'!F:F,'QUADROS QUE FALTARAM'!B:B,0)</f>
        <v>0</v>
      </c>
    </row>
    <row r="187" spans="1:14" x14ac:dyDescent="0.3">
      <c r="A187" t="s">
        <v>2752</v>
      </c>
      <c r="B187" t="s">
        <v>674</v>
      </c>
      <c r="C187" s="54">
        <v>3887289.28</v>
      </c>
      <c r="D187" s="20">
        <v>3504764.89</v>
      </c>
      <c r="E187" s="20">
        <v>0</v>
      </c>
      <c r="F187" s="54">
        <v>7392054.1699999999</v>
      </c>
      <c r="J187" s="67">
        <v>0</v>
      </c>
      <c r="N187">
        <f>_xlfn.XLOOKUP(M187,'QUADROS QUE FALTARAM'!F:F,'QUADROS QUE FALTARAM'!B:B,0)</f>
        <v>0</v>
      </c>
    </row>
    <row r="188" spans="1:14" x14ac:dyDescent="0.3">
      <c r="A188" t="s">
        <v>2753</v>
      </c>
      <c r="B188" t="s">
        <v>678</v>
      </c>
      <c r="C188" s="54">
        <v>488356.86</v>
      </c>
      <c r="D188" s="20">
        <v>440300.64</v>
      </c>
      <c r="E188" s="20">
        <v>0</v>
      </c>
      <c r="F188" s="54">
        <v>928657.5</v>
      </c>
      <c r="J188" s="67">
        <v>0</v>
      </c>
      <c r="N188">
        <f>_xlfn.XLOOKUP(M188,'QUADROS QUE FALTARAM'!F:F,'QUADROS QUE FALTARAM'!B:B,0)</f>
        <v>0</v>
      </c>
    </row>
    <row r="189" spans="1:14" x14ac:dyDescent="0.3">
      <c r="A189" t="s">
        <v>2754</v>
      </c>
      <c r="B189" t="s">
        <v>682</v>
      </c>
      <c r="C189" s="54">
        <v>139449.47</v>
      </c>
      <c r="D189" s="20">
        <v>125727.1</v>
      </c>
      <c r="E189" s="20">
        <v>0</v>
      </c>
      <c r="F189" s="54">
        <v>265176.57</v>
      </c>
      <c r="J189" s="67">
        <v>0</v>
      </c>
      <c r="N189">
        <f>_xlfn.XLOOKUP(M189,'QUADROS QUE FALTARAM'!F:F,'QUADROS QUE FALTARAM'!B:B,0)</f>
        <v>0</v>
      </c>
    </row>
    <row r="190" spans="1:14" x14ac:dyDescent="0.3">
      <c r="A190" t="s">
        <v>2755</v>
      </c>
      <c r="B190" t="s">
        <v>686</v>
      </c>
      <c r="C190" s="54">
        <v>144724.13</v>
      </c>
      <c r="D190" s="20">
        <v>130482.7</v>
      </c>
      <c r="E190" s="20">
        <v>0</v>
      </c>
      <c r="F190" s="54">
        <v>275206.83</v>
      </c>
      <c r="J190" s="67">
        <v>0</v>
      </c>
      <c r="N190">
        <f>_xlfn.XLOOKUP(M190,'QUADROS QUE FALTARAM'!F:F,'QUADROS QUE FALTARAM'!B:B,0)</f>
        <v>0</v>
      </c>
    </row>
    <row r="191" spans="1:14" x14ac:dyDescent="0.3">
      <c r="A191" t="s">
        <v>2756</v>
      </c>
      <c r="B191" t="s">
        <v>690</v>
      </c>
      <c r="C191" s="54">
        <v>168317.28</v>
      </c>
      <c r="D191" s="20">
        <v>151754.20000000001</v>
      </c>
      <c r="E191" s="20">
        <v>0</v>
      </c>
      <c r="F191" s="54">
        <v>320071.48</v>
      </c>
      <c r="J191" s="67">
        <v>0</v>
      </c>
      <c r="N191">
        <f>_xlfn.XLOOKUP(M191,'QUADROS QUE FALTARAM'!F:F,'QUADROS QUE FALTARAM'!B:B,0)</f>
        <v>0</v>
      </c>
    </row>
    <row r="192" spans="1:14" x14ac:dyDescent="0.3">
      <c r="A192" t="s">
        <v>2757</v>
      </c>
      <c r="B192" t="s">
        <v>694</v>
      </c>
      <c r="C192" s="54">
        <v>12550576.34</v>
      </c>
      <c r="D192" s="20">
        <v>6016200.1799999997</v>
      </c>
      <c r="E192" s="20">
        <v>6016200.1799999997</v>
      </c>
      <c r="F192" s="54">
        <v>12550576.34</v>
      </c>
      <c r="J192" s="67">
        <v>0</v>
      </c>
      <c r="N192">
        <f>_xlfn.XLOOKUP(M192,'QUADROS QUE FALTARAM'!F:F,'QUADROS QUE FALTARAM'!B:B,0)</f>
        <v>0</v>
      </c>
    </row>
    <row r="193" spans="1:14" x14ac:dyDescent="0.3">
      <c r="A193" t="s">
        <v>2758</v>
      </c>
      <c r="B193" t="s">
        <v>697</v>
      </c>
      <c r="C193" s="54">
        <v>128093.66</v>
      </c>
      <c r="D193" s="20">
        <v>115488.74</v>
      </c>
      <c r="E193" s="20">
        <v>0</v>
      </c>
      <c r="F193" s="54">
        <v>243582.4</v>
      </c>
      <c r="J193" s="67">
        <v>0</v>
      </c>
      <c r="N193">
        <f>_xlfn.XLOOKUP(M193,'QUADROS QUE FALTARAM'!F:F,'QUADROS QUE FALTARAM'!B:B,0)</f>
        <v>0</v>
      </c>
    </row>
    <row r="194" spans="1:14" x14ac:dyDescent="0.3">
      <c r="A194" t="s">
        <v>2759</v>
      </c>
      <c r="B194" t="s">
        <v>701</v>
      </c>
      <c r="C194" s="54">
        <v>840741.1</v>
      </c>
      <c r="D194" s="20">
        <v>758008.9</v>
      </c>
      <c r="E194" s="20">
        <v>0</v>
      </c>
      <c r="F194" s="54">
        <v>1598750</v>
      </c>
      <c r="J194" s="67">
        <v>0</v>
      </c>
      <c r="N194">
        <f>_xlfn.XLOOKUP(M194,'QUADROS QUE FALTARAM'!F:F,'QUADROS QUE FALTARAM'!B:B,0)</f>
        <v>0</v>
      </c>
    </row>
    <row r="195" spans="1:14" x14ac:dyDescent="0.3">
      <c r="A195" t="s">
        <v>2760</v>
      </c>
      <c r="B195" t="s">
        <v>705</v>
      </c>
      <c r="C195" s="54">
        <v>0</v>
      </c>
      <c r="D195" s="20">
        <v>889821.57</v>
      </c>
      <c r="E195" s="20">
        <v>0</v>
      </c>
      <c r="F195" s="54">
        <v>889821.57</v>
      </c>
      <c r="J195" s="67">
        <v>0</v>
      </c>
      <c r="N195">
        <f>_xlfn.XLOOKUP(M195,'QUADROS QUE FALTARAM'!F:F,'QUADROS QUE FALTARAM'!B:B,0)</f>
        <v>0</v>
      </c>
    </row>
    <row r="196" spans="1:14" x14ac:dyDescent="0.3">
      <c r="A196" t="s">
        <v>2761</v>
      </c>
      <c r="B196" t="s">
        <v>708</v>
      </c>
      <c r="C196" s="54">
        <v>36446697.859999999</v>
      </c>
      <c r="D196" s="20">
        <v>0</v>
      </c>
      <c r="E196" s="20">
        <v>36446697.859999999</v>
      </c>
      <c r="F196" s="54">
        <v>0</v>
      </c>
      <c r="J196" s="67">
        <v>0</v>
      </c>
      <c r="N196">
        <f>_xlfn.XLOOKUP(M196,'QUADROS QUE FALTARAM'!F:F,'QUADROS QUE FALTARAM'!B:B,0)</f>
        <v>0</v>
      </c>
    </row>
    <row r="197" spans="1:14" x14ac:dyDescent="0.3">
      <c r="A197" t="s">
        <v>2762</v>
      </c>
      <c r="B197" t="s">
        <v>711</v>
      </c>
      <c r="C197" s="54">
        <v>1828160.71</v>
      </c>
      <c r="D197" s="20">
        <v>0</v>
      </c>
      <c r="E197" s="20">
        <v>1828160.71</v>
      </c>
      <c r="F197" s="54">
        <v>0</v>
      </c>
      <c r="J197" s="67">
        <v>0</v>
      </c>
      <c r="N197">
        <f>_xlfn.XLOOKUP(M197,'QUADROS QUE FALTARAM'!F:F,'QUADROS QUE FALTARAM'!B:B,0)</f>
        <v>0</v>
      </c>
    </row>
    <row r="198" spans="1:14" x14ac:dyDescent="0.3">
      <c r="A198" t="s">
        <v>2763</v>
      </c>
      <c r="B198" t="s">
        <v>714</v>
      </c>
      <c r="C198" s="54">
        <v>56843.14</v>
      </c>
      <c r="D198" s="20">
        <v>0</v>
      </c>
      <c r="E198" s="20">
        <v>56843.14</v>
      </c>
      <c r="F198" s="54">
        <v>0</v>
      </c>
      <c r="J198" s="67">
        <v>0</v>
      </c>
      <c r="N198">
        <f>_xlfn.XLOOKUP(M198,'QUADROS QUE FALTARAM'!F:F,'QUADROS QUE FALTARAM'!B:B,0)</f>
        <v>0</v>
      </c>
    </row>
    <row r="199" spans="1:14" x14ac:dyDescent="0.3">
      <c r="A199" t="s">
        <v>2764</v>
      </c>
      <c r="B199" t="s">
        <v>717</v>
      </c>
      <c r="C199" s="54">
        <v>209478.53</v>
      </c>
      <c r="D199" s="20">
        <v>0</v>
      </c>
      <c r="E199" s="20">
        <v>209478.53</v>
      </c>
      <c r="F199" s="54">
        <v>0</v>
      </c>
      <c r="J199" s="67">
        <v>0</v>
      </c>
      <c r="N199">
        <f>_xlfn.XLOOKUP(M199,'QUADROS QUE FALTARAM'!F:F,'QUADROS QUE FALTARAM'!B:B,0)</f>
        <v>0</v>
      </c>
    </row>
    <row r="200" spans="1:14" x14ac:dyDescent="0.3">
      <c r="A200" t="s">
        <v>2765</v>
      </c>
      <c r="B200" t="s">
        <v>720</v>
      </c>
      <c r="C200" s="54">
        <v>56739.38</v>
      </c>
      <c r="D200" s="20">
        <v>0</v>
      </c>
      <c r="E200" s="20">
        <v>56739.38</v>
      </c>
      <c r="F200" s="54">
        <v>0</v>
      </c>
      <c r="J200" s="67">
        <v>0</v>
      </c>
      <c r="N200">
        <f>_xlfn.XLOOKUP(M200,'QUADROS QUE FALTARAM'!F:F,'QUADROS QUE FALTARAM'!B:B,0)</f>
        <v>0</v>
      </c>
    </row>
    <row r="201" spans="1:14" x14ac:dyDescent="0.3">
      <c r="A201" t="s">
        <v>2766</v>
      </c>
      <c r="B201" t="s">
        <v>723</v>
      </c>
      <c r="C201" s="54">
        <v>74806.34</v>
      </c>
      <c r="D201" s="20">
        <v>0</v>
      </c>
      <c r="E201" s="20">
        <v>74806.34</v>
      </c>
      <c r="F201" s="54">
        <v>0</v>
      </c>
      <c r="J201" s="67">
        <v>0</v>
      </c>
      <c r="N201">
        <f>_xlfn.XLOOKUP(M201,'QUADROS QUE FALTARAM'!F:F,'QUADROS QUE FALTARAM'!B:B,0)</f>
        <v>0</v>
      </c>
    </row>
    <row r="202" spans="1:14" x14ac:dyDescent="0.3">
      <c r="A202" t="s">
        <v>2767</v>
      </c>
      <c r="B202" t="s">
        <v>726</v>
      </c>
      <c r="C202" s="54">
        <v>931275.9</v>
      </c>
      <c r="D202" s="20">
        <v>0</v>
      </c>
      <c r="E202" s="20">
        <v>931275.9</v>
      </c>
      <c r="F202" s="54">
        <v>0</v>
      </c>
      <c r="J202" s="67">
        <v>0</v>
      </c>
      <c r="N202">
        <f>_xlfn.XLOOKUP(M202,'QUADROS QUE FALTARAM'!F:F,'QUADROS QUE FALTARAM'!B:B,0)</f>
        <v>0</v>
      </c>
    </row>
    <row r="203" spans="1:14" x14ac:dyDescent="0.3">
      <c r="A203" t="s">
        <v>2768</v>
      </c>
      <c r="B203" t="s">
        <v>729</v>
      </c>
      <c r="C203" s="54">
        <v>-8894738.5</v>
      </c>
      <c r="D203" s="20">
        <v>8894738.5</v>
      </c>
      <c r="E203" s="20">
        <v>0</v>
      </c>
      <c r="F203" s="54">
        <v>0</v>
      </c>
      <c r="J203" s="67">
        <v>0</v>
      </c>
      <c r="N203">
        <f>_xlfn.XLOOKUP(M203,'QUADROS QUE FALTARAM'!F:F,'QUADROS QUE FALTARAM'!B:B,0)</f>
        <v>0</v>
      </c>
    </row>
    <row r="204" spans="1:14" x14ac:dyDescent="0.3">
      <c r="A204" t="s">
        <v>2769</v>
      </c>
      <c r="B204" t="s">
        <v>732</v>
      </c>
      <c r="C204" s="54">
        <v>-59537.279999999999</v>
      </c>
      <c r="D204" s="20">
        <v>59537.279999999999</v>
      </c>
      <c r="E204" s="20">
        <v>0</v>
      </c>
      <c r="F204" s="54">
        <v>0</v>
      </c>
      <c r="J204" s="67">
        <v>0</v>
      </c>
      <c r="N204">
        <f>_xlfn.XLOOKUP(M204,'QUADROS QUE FALTARAM'!F:F,'QUADROS QUE FALTARAM'!B:B,0)</f>
        <v>0</v>
      </c>
    </row>
    <row r="205" spans="1:14" x14ac:dyDescent="0.3">
      <c r="A205" t="s">
        <v>2770</v>
      </c>
      <c r="B205" t="s">
        <v>2188</v>
      </c>
      <c r="C205" s="54">
        <v>0</v>
      </c>
      <c r="D205" s="20">
        <v>870337</v>
      </c>
      <c r="E205" s="20">
        <v>376132</v>
      </c>
      <c r="F205" s="54">
        <v>494205</v>
      </c>
      <c r="J205" s="67" t="s">
        <v>2129</v>
      </c>
      <c r="N205">
        <f>_xlfn.XLOOKUP(M205,'QUADROS QUE FALTARAM'!F:F,'QUADROS QUE FALTARAM'!B:B,0)</f>
        <v>0</v>
      </c>
    </row>
    <row r="206" spans="1:14" x14ac:dyDescent="0.3">
      <c r="A206" s="66" t="s">
        <v>2772</v>
      </c>
      <c r="B206" s="66" t="s">
        <v>2189</v>
      </c>
      <c r="C206" s="88">
        <v>0</v>
      </c>
      <c r="D206" s="89">
        <v>0</v>
      </c>
      <c r="E206" s="89">
        <v>6016200.1799999997</v>
      </c>
      <c r="F206" s="88">
        <v>-6016200.1799999997</v>
      </c>
      <c r="J206" s="67" t="s">
        <v>2129</v>
      </c>
      <c r="N206">
        <f>_xlfn.XLOOKUP(M206,'QUADROS QUE FALTARAM'!F:F,'QUADROS QUE FALTARAM'!B:B,0)</f>
        <v>0</v>
      </c>
    </row>
    <row r="207" spans="1:14" x14ac:dyDescent="0.3">
      <c r="A207" s="1" t="s">
        <v>2773</v>
      </c>
      <c r="B207" s="1" t="s">
        <v>735</v>
      </c>
      <c r="C207" s="59">
        <v>18340187.350000001</v>
      </c>
      <c r="D207" s="62">
        <v>2780112.23</v>
      </c>
      <c r="E207" s="62">
        <v>218568.11</v>
      </c>
      <c r="F207" s="59">
        <v>20901731.469999999</v>
      </c>
      <c r="J207" s="67">
        <v>0</v>
      </c>
      <c r="N207">
        <f>_xlfn.XLOOKUP(M207,'QUADROS QUE FALTARAM'!F:F,'QUADROS QUE FALTARAM'!B:B,0)</f>
        <v>0</v>
      </c>
    </row>
    <row r="208" spans="1:14" x14ac:dyDescent="0.3">
      <c r="A208" t="s">
        <v>2775</v>
      </c>
      <c r="B208" t="s">
        <v>739</v>
      </c>
      <c r="C208" s="54">
        <v>13817001.050000001</v>
      </c>
      <c r="D208" s="20">
        <v>267601.31</v>
      </c>
      <c r="E208" s="20">
        <v>0</v>
      </c>
      <c r="F208" s="54">
        <v>14084602.359999999</v>
      </c>
      <c r="J208" s="67">
        <v>0</v>
      </c>
      <c r="N208">
        <f>_xlfn.XLOOKUP(M208,'QUADROS QUE FALTARAM'!F:F,'QUADROS QUE FALTARAM'!B:B,0)</f>
        <v>0</v>
      </c>
    </row>
    <row r="209" spans="1:14" x14ac:dyDescent="0.3">
      <c r="A209" t="s">
        <v>2776</v>
      </c>
      <c r="B209" t="s">
        <v>743</v>
      </c>
      <c r="C209" s="54">
        <v>3504751.94</v>
      </c>
      <c r="D209" s="20">
        <v>2308423.5</v>
      </c>
      <c r="E209" s="20">
        <v>0</v>
      </c>
      <c r="F209" s="54">
        <v>5813175.4400000004</v>
      </c>
      <c r="J209" s="67">
        <v>0</v>
      </c>
      <c r="N209">
        <f>_xlfn.XLOOKUP(M209,'QUADROS QUE FALTARAM'!F:F,'QUADROS QUE FALTARAM'!B:B,0)</f>
        <v>0</v>
      </c>
    </row>
    <row r="210" spans="1:14" x14ac:dyDescent="0.3">
      <c r="A210" t="s">
        <v>2777</v>
      </c>
      <c r="B210" t="s">
        <v>746</v>
      </c>
      <c r="C210" s="54">
        <v>514640.71</v>
      </c>
      <c r="D210" s="20">
        <v>204087.42</v>
      </c>
      <c r="E210" s="20">
        <v>0</v>
      </c>
      <c r="F210" s="54">
        <v>718728.13</v>
      </c>
      <c r="J210" s="67">
        <v>0</v>
      </c>
      <c r="N210">
        <f>_xlfn.XLOOKUP(M210,'QUADROS QUE FALTARAM'!F:F,'QUADROS QUE FALTARAM'!B:B,0)</f>
        <v>0</v>
      </c>
    </row>
    <row r="211" spans="1:14" x14ac:dyDescent="0.3">
      <c r="A211" t="s">
        <v>2778</v>
      </c>
      <c r="B211" t="s">
        <v>749</v>
      </c>
      <c r="C211" s="54">
        <v>27047.66</v>
      </c>
      <c r="D211" s="20">
        <v>0</v>
      </c>
      <c r="E211" s="20">
        <v>18997.66</v>
      </c>
      <c r="F211" s="54">
        <v>8050</v>
      </c>
      <c r="J211" s="67">
        <v>0</v>
      </c>
      <c r="N211">
        <f>_xlfn.XLOOKUP(M211,'QUADROS QUE FALTARAM'!F:F,'QUADROS QUE FALTARAM'!B:B,0)</f>
        <v>0</v>
      </c>
    </row>
    <row r="212" spans="1:14" x14ac:dyDescent="0.3">
      <c r="A212" t="s">
        <v>2779</v>
      </c>
      <c r="B212" t="s">
        <v>752</v>
      </c>
      <c r="C212" s="54">
        <v>407630.55</v>
      </c>
      <c r="D212" s="20">
        <v>0</v>
      </c>
      <c r="E212" s="20">
        <v>147845.88</v>
      </c>
      <c r="F212" s="54">
        <v>259784.67</v>
      </c>
      <c r="J212" s="67">
        <v>0</v>
      </c>
      <c r="N212">
        <f>_xlfn.XLOOKUP(M212,'QUADROS QUE FALTARAM'!F:F,'QUADROS QUE FALTARAM'!B:B,0)</f>
        <v>0</v>
      </c>
    </row>
    <row r="213" spans="1:14" x14ac:dyDescent="0.3">
      <c r="A213" t="s">
        <v>2780</v>
      </c>
      <c r="B213" t="s">
        <v>755</v>
      </c>
      <c r="C213" s="54">
        <v>9299.7900000000009</v>
      </c>
      <c r="D213" s="20">
        <v>0</v>
      </c>
      <c r="E213" s="20">
        <v>7017.3</v>
      </c>
      <c r="F213" s="54">
        <v>2282.4899999999998</v>
      </c>
      <c r="J213" s="67">
        <v>0</v>
      </c>
      <c r="N213">
        <f>_xlfn.XLOOKUP(M213,'QUADROS QUE FALTARAM'!F:F,'QUADROS QUE FALTARAM'!B:B,0)</f>
        <v>0</v>
      </c>
    </row>
    <row r="214" spans="1:14" x14ac:dyDescent="0.3">
      <c r="A214" t="s">
        <v>2781</v>
      </c>
      <c r="B214" t="s">
        <v>758</v>
      </c>
      <c r="C214" s="54">
        <v>50786.65</v>
      </c>
      <c r="D214" s="20">
        <v>0</v>
      </c>
      <c r="E214" s="20">
        <v>35678.269999999997</v>
      </c>
      <c r="F214" s="54">
        <v>15108.38</v>
      </c>
      <c r="J214" s="67">
        <v>0</v>
      </c>
      <c r="N214">
        <f>_xlfn.XLOOKUP(M214,'QUADROS QUE FALTARAM'!F:F,'QUADROS QUE FALTARAM'!B:B,0)</f>
        <v>0</v>
      </c>
    </row>
    <row r="215" spans="1:14" x14ac:dyDescent="0.3">
      <c r="A215" t="s">
        <v>2782</v>
      </c>
      <c r="B215" t="s">
        <v>761</v>
      </c>
      <c r="C215" s="54">
        <v>9029</v>
      </c>
      <c r="D215" s="20">
        <v>0</v>
      </c>
      <c r="E215" s="20">
        <v>9029</v>
      </c>
      <c r="F215" s="54">
        <v>0</v>
      </c>
      <c r="J215" s="67">
        <v>0</v>
      </c>
      <c r="N215">
        <f>_xlfn.XLOOKUP(M215,'QUADROS QUE FALTARAM'!F:F,'QUADROS QUE FALTARAM'!B:B,0)</f>
        <v>0</v>
      </c>
    </row>
    <row r="216" spans="1:14" x14ac:dyDescent="0.3">
      <c r="A216" s="1" t="s">
        <v>2783</v>
      </c>
      <c r="B216" s="1" t="s">
        <v>764</v>
      </c>
      <c r="C216" s="59">
        <v>511296.63</v>
      </c>
      <c r="D216" s="62">
        <v>352159.59</v>
      </c>
      <c r="E216" s="62">
        <v>176264.87</v>
      </c>
      <c r="F216" s="59">
        <v>687191.35</v>
      </c>
      <c r="J216" s="67">
        <v>0</v>
      </c>
      <c r="N216">
        <f>_xlfn.XLOOKUP(M216,'QUADROS QUE FALTARAM'!F:F,'QUADROS QUE FALTARAM'!B:B,0)</f>
        <v>0</v>
      </c>
    </row>
    <row r="217" spans="1:14" x14ac:dyDescent="0.3">
      <c r="A217" t="s">
        <v>2785</v>
      </c>
      <c r="B217" t="s">
        <v>768</v>
      </c>
      <c r="C217" s="54">
        <v>120705.73</v>
      </c>
      <c r="D217" s="20">
        <v>0</v>
      </c>
      <c r="E217" s="20">
        <v>48673.2</v>
      </c>
      <c r="F217" s="54">
        <v>72032.53</v>
      </c>
      <c r="J217" s="67">
        <v>0</v>
      </c>
      <c r="N217">
        <f>_xlfn.XLOOKUP(M217,'QUADROS QUE FALTARAM'!F:F,'QUADROS QUE FALTARAM'!B:B,0)</f>
        <v>0</v>
      </c>
    </row>
    <row r="218" spans="1:14" x14ac:dyDescent="0.3">
      <c r="A218" t="s">
        <v>2786</v>
      </c>
      <c r="B218" t="s">
        <v>771</v>
      </c>
      <c r="C218" s="54">
        <v>133637.76999999999</v>
      </c>
      <c r="D218" s="20">
        <v>0</v>
      </c>
      <c r="E218" s="20">
        <v>108367.77</v>
      </c>
      <c r="F218" s="54">
        <v>25270</v>
      </c>
      <c r="J218" s="67">
        <v>0</v>
      </c>
      <c r="N218">
        <f>_xlfn.XLOOKUP(M218,'QUADROS QUE FALTARAM'!F:F,'QUADROS QUE FALTARAM'!B:B,0)</f>
        <v>0</v>
      </c>
    </row>
    <row r="219" spans="1:14" x14ac:dyDescent="0.3">
      <c r="A219" t="s">
        <v>2787</v>
      </c>
      <c r="B219" t="s">
        <v>774</v>
      </c>
      <c r="C219" s="54">
        <v>14324.91</v>
      </c>
      <c r="D219" s="20">
        <v>331178.59000000003</v>
      </c>
      <c r="E219" s="20">
        <v>0</v>
      </c>
      <c r="F219" s="54">
        <v>345503.5</v>
      </c>
      <c r="J219" s="67">
        <v>0</v>
      </c>
      <c r="N219">
        <f>_xlfn.XLOOKUP(M219,'QUADROS QUE FALTARAM'!F:F,'QUADROS QUE FALTARAM'!B:B,0)</f>
        <v>0</v>
      </c>
    </row>
    <row r="220" spans="1:14" x14ac:dyDescent="0.3">
      <c r="A220" t="s">
        <v>2788</v>
      </c>
      <c r="B220" t="s">
        <v>777</v>
      </c>
      <c r="C220" s="54">
        <v>222607.32</v>
      </c>
      <c r="D220" s="20">
        <v>20981</v>
      </c>
      <c r="E220" s="20">
        <v>0</v>
      </c>
      <c r="F220" s="54">
        <v>243588.32</v>
      </c>
      <c r="J220" s="67">
        <v>0</v>
      </c>
      <c r="N220">
        <f>_xlfn.XLOOKUP(M220,'QUADROS QUE FALTARAM'!F:F,'QUADROS QUE FALTARAM'!B:B,0)</f>
        <v>0</v>
      </c>
    </row>
    <row r="221" spans="1:14" x14ac:dyDescent="0.3">
      <c r="A221" t="s">
        <v>2789</v>
      </c>
      <c r="B221" t="s">
        <v>780</v>
      </c>
      <c r="C221" s="54">
        <v>20020.900000000001</v>
      </c>
      <c r="D221" s="20">
        <v>0</v>
      </c>
      <c r="E221" s="20">
        <v>19223.900000000001</v>
      </c>
      <c r="F221" s="54">
        <v>797</v>
      </c>
      <c r="J221" s="67">
        <v>0</v>
      </c>
      <c r="N221">
        <f>_xlfn.XLOOKUP(M221,'QUADROS QUE FALTARAM'!F:F,'QUADROS QUE FALTARAM'!B:B,0)</f>
        <v>0</v>
      </c>
    </row>
    <row r="222" spans="1:14" x14ac:dyDescent="0.3">
      <c r="A222" s="1" t="s">
        <v>2790</v>
      </c>
      <c r="B222" s="1" t="s">
        <v>783</v>
      </c>
      <c r="C222" s="59">
        <v>0</v>
      </c>
      <c r="D222" s="62">
        <v>3202809.3</v>
      </c>
      <c r="E222" s="62">
        <v>0</v>
      </c>
      <c r="F222" s="59">
        <v>3202809.3</v>
      </c>
      <c r="J222" s="67">
        <v>0</v>
      </c>
      <c r="N222">
        <f>_xlfn.XLOOKUP(M222,'QUADROS QUE FALTARAM'!F:F,'QUADROS QUE FALTARAM'!B:B,0)</f>
        <v>0</v>
      </c>
    </row>
    <row r="223" spans="1:14" x14ac:dyDescent="0.3">
      <c r="A223" t="s">
        <v>2792</v>
      </c>
      <c r="B223" t="s">
        <v>786</v>
      </c>
      <c r="C223" s="54">
        <v>738439.71</v>
      </c>
      <c r="D223" s="20">
        <v>798629.93</v>
      </c>
      <c r="E223" s="20">
        <v>0</v>
      </c>
      <c r="F223" s="54">
        <v>1537069.64</v>
      </c>
      <c r="J223" s="67">
        <v>0</v>
      </c>
      <c r="N223">
        <f>_xlfn.XLOOKUP(M223,'QUADROS QUE FALTARAM'!F:F,'QUADROS QUE FALTARAM'!B:B,0)</f>
        <v>0</v>
      </c>
    </row>
    <row r="224" spans="1:14" x14ac:dyDescent="0.3">
      <c r="A224" t="s">
        <v>2793</v>
      </c>
      <c r="B224" t="s">
        <v>790</v>
      </c>
      <c r="C224" s="54">
        <v>127250.69</v>
      </c>
      <c r="D224" s="20">
        <v>137622.89000000001</v>
      </c>
      <c r="E224" s="20">
        <v>0</v>
      </c>
      <c r="F224" s="54">
        <v>264873.58</v>
      </c>
      <c r="J224" s="67">
        <v>0</v>
      </c>
      <c r="N224">
        <f>_xlfn.XLOOKUP(M224,'QUADROS QUE FALTARAM'!F:F,'QUADROS QUE FALTARAM'!B:B,0)</f>
        <v>0</v>
      </c>
    </row>
    <row r="225" spans="1:14" x14ac:dyDescent="0.3">
      <c r="A225" t="s">
        <v>2794</v>
      </c>
      <c r="B225" t="s">
        <v>794</v>
      </c>
      <c r="C225" s="54">
        <v>543276.38</v>
      </c>
      <c r="D225" s="20">
        <v>587558.81999999995</v>
      </c>
      <c r="E225" s="20">
        <v>0</v>
      </c>
      <c r="F225" s="54">
        <v>1130835.2</v>
      </c>
      <c r="J225" s="67">
        <v>0</v>
      </c>
      <c r="N225">
        <f>_xlfn.XLOOKUP(M225,'QUADROS QUE FALTARAM'!F:F,'QUADROS QUE FALTARAM'!B:B,0)</f>
        <v>0</v>
      </c>
    </row>
    <row r="226" spans="1:14" x14ac:dyDescent="0.3">
      <c r="A226" t="s">
        <v>2795</v>
      </c>
      <c r="B226" t="s">
        <v>798</v>
      </c>
      <c r="C226" s="54">
        <v>432.38</v>
      </c>
      <c r="D226" s="20">
        <v>467.62</v>
      </c>
      <c r="E226" s="20">
        <v>0</v>
      </c>
      <c r="F226" s="54">
        <v>900</v>
      </c>
      <c r="J226" s="67">
        <v>0</v>
      </c>
      <c r="N226">
        <f>_xlfn.XLOOKUP(M226,'QUADROS QUE FALTARAM'!F:F,'QUADROS QUE FALTARAM'!B:B,0)</f>
        <v>0</v>
      </c>
    </row>
    <row r="227" spans="1:14" x14ac:dyDescent="0.3">
      <c r="A227" t="s">
        <v>2796</v>
      </c>
      <c r="B227" t="s">
        <v>802</v>
      </c>
      <c r="C227" s="54">
        <v>129295.98</v>
      </c>
      <c r="D227" s="20">
        <v>139834.9</v>
      </c>
      <c r="E227" s="20">
        <v>0</v>
      </c>
      <c r="F227" s="54">
        <v>269130.88</v>
      </c>
      <c r="J227" s="67">
        <v>0</v>
      </c>
      <c r="N227">
        <f>_xlfn.XLOOKUP(M227,'QUADROS QUE FALTARAM'!F:F,'QUADROS QUE FALTARAM'!B:B,0)</f>
        <v>0</v>
      </c>
    </row>
    <row r="228" spans="1:14" x14ac:dyDescent="0.3">
      <c r="A228" t="s">
        <v>2797</v>
      </c>
      <c r="B228" t="s">
        <v>806</v>
      </c>
      <c r="C228" s="54">
        <v>-738439.71</v>
      </c>
      <c r="D228" s="20">
        <v>738439.71</v>
      </c>
      <c r="E228" s="20">
        <v>0</v>
      </c>
      <c r="F228" s="54">
        <v>0</v>
      </c>
      <c r="J228" s="67">
        <v>0</v>
      </c>
      <c r="N228">
        <f>_xlfn.XLOOKUP(M228,'QUADROS QUE FALTARAM'!F:F,'QUADROS QUE FALTARAM'!B:B,0)</f>
        <v>0</v>
      </c>
    </row>
    <row r="229" spans="1:14" x14ac:dyDescent="0.3">
      <c r="A229" t="s">
        <v>2798</v>
      </c>
      <c r="B229" t="s">
        <v>809</v>
      </c>
      <c r="C229" s="54">
        <v>-127250.69</v>
      </c>
      <c r="D229" s="20">
        <v>127250.69</v>
      </c>
      <c r="E229" s="20">
        <v>0</v>
      </c>
      <c r="F229" s="54">
        <v>0</v>
      </c>
      <c r="J229" s="67">
        <v>0</v>
      </c>
      <c r="N229">
        <f>_xlfn.XLOOKUP(M229,'QUADROS QUE FALTARAM'!F:F,'QUADROS QUE FALTARAM'!B:B,0)</f>
        <v>0</v>
      </c>
    </row>
    <row r="230" spans="1:14" x14ac:dyDescent="0.3">
      <c r="A230" t="s">
        <v>2799</v>
      </c>
      <c r="B230" t="s">
        <v>812</v>
      </c>
      <c r="C230" s="54">
        <v>-543276.38</v>
      </c>
      <c r="D230" s="20">
        <v>543276.38</v>
      </c>
      <c r="E230" s="20">
        <v>0</v>
      </c>
      <c r="F230" s="54">
        <v>0</v>
      </c>
      <c r="J230" s="67">
        <v>0</v>
      </c>
      <c r="N230">
        <f>_xlfn.XLOOKUP(M230,'QUADROS QUE FALTARAM'!F:F,'QUADROS QUE FALTARAM'!B:B,0)</f>
        <v>0</v>
      </c>
    </row>
    <row r="231" spans="1:14" x14ac:dyDescent="0.3">
      <c r="A231" t="s">
        <v>2800</v>
      </c>
      <c r="B231" t="s">
        <v>815</v>
      </c>
      <c r="C231" s="54">
        <v>-432.38</v>
      </c>
      <c r="D231" s="20">
        <v>432.38</v>
      </c>
      <c r="E231" s="20">
        <v>0</v>
      </c>
      <c r="F231" s="54">
        <v>0</v>
      </c>
      <c r="J231" s="67">
        <v>0</v>
      </c>
      <c r="N231">
        <f>_xlfn.XLOOKUP(M231,'QUADROS QUE FALTARAM'!F:F,'QUADROS QUE FALTARAM'!B:B,0)</f>
        <v>0</v>
      </c>
    </row>
    <row r="232" spans="1:14" x14ac:dyDescent="0.3">
      <c r="A232" t="s">
        <v>2801</v>
      </c>
      <c r="B232" t="s">
        <v>818</v>
      </c>
      <c r="C232" s="54">
        <v>-129295.98</v>
      </c>
      <c r="D232" s="20">
        <v>129295.98</v>
      </c>
      <c r="E232" s="20">
        <v>0</v>
      </c>
      <c r="F232" s="54">
        <v>0</v>
      </c>
      <c r="J232" s="67">
        <v>0</v>
      </c>
      <c r="N232">
        <f>_xlfn.XLOOKUP(M232,'QUADROS QUE FALTARAM'!F:F,'QUADROS QUE FALTARAM'!B:B,0)</f>
        <v>0</v>
      </c>
    </row>
    <row r="233" spans="1:14" x14ac:dyDescent="0.3">
      <c r="A233" s="1" t="s">
        <v>2802</v>
      </c>
      <c r="B233" s="1" t="s">
        <v>821</v>
      </c>
      <c r="C233" s="59">
        <v>32880.080000000002</v>
      </c>
      <c r="D233" s="62">
        <v>0</v>
      </c>
      <c r="E233" s="62">
        <v>0</v>
      </c>
      <c r="F233" s="59">
        <v>32880.080000000002</v>
      </c>
      <c r="J233" s="67">
        <v>0</v>
      </c>
      <c r="N233">
        <f>_xlfn.XLOOKUP(M233,'QUADROS QUE FALTARAM'!F:F,'QUADROS QUE FALTARAM'!B:B,0)</f>
        <v>0</v>
      </c>
    </row>
    <row r="234" spans="1:14" x14ac:dyDescent="0.3">
      <c r="A234" t="s">
        <v>2803</v>
      </c>
      <c r="B234" t="s">
        <v>825</v>
      </c>
      <c r="C234" s="54">
        <v>8945.5</v>
      </c>
      <c r="D234" s="20">
        <v>0</v>
      </c>
      <c r="E234" s="20">
        <v>0</v>
      </c>
      <c r="F234" s="54">
        <v>8945.5</v>
      </c>
      <c r="J234" s="67">
        <v>0</v>
      </c>
      <c r="N234">
        <f>_xlfn.XLOOKUP(M234,'QUADROS QUE FALTARAM'!F:F,'QUADROS QUE FALTARAM'!B:B,0)</f>
        <v>0</v>
      </c>
    </row>
    <row r="235" spans="1:14" x14ac:dyDescent="0.3">
      <c r="A235" t="s">
        <v>2804</v>
      </c>
      <c r="B235" t="s">
        <v>828</v>
      </c>
      <c r="C235" s="54">
        <v>19674.09</v>
      </c>
      <c r="D235" s="20">
        <v>0</v>
      </c>
      <c r="E235" s="20">
        <v>0</v>
      </c>
      <c r="F235" s="54">
        <v>19674.09</v>
      </c>
      <c r="J235" s="67">
        <v>0</v>
      </c>
      <c r="N235">
        <f>_xlfn.XLOOKUP(M235,'QUADROS QUE FALTARAM'!F:F,'QUADROS QUE FALTARAM'!B:B,0)</f>
        <v>0</v>
      </c>
    </row>
    <row r="236" spans="1:14" x14ac:dyDescent="0.3">
      <c r="A236" t="s">
        <v>2805</v>
      </c>
      <c r="B236" t="s">
        <v>831</v>
      </c>
      <c r="C236" s="54">
        <v>4260.49</v>
      </c>
      <c r="D236" s="20">
        <v>0</v>
      </c>
      <c r="E236" s="20">
        <v>0</v>
      </c>
      <c r="F236" s="54">
        <v>4260.49</v>
      </c>
      <c r="J236" s="67">
        <v>0</v>
      </c>
      <c r="N236">
        <f>_xlfn.XLOOKUP(M236,'QUADROS QUE FALTARAM'!F:F,'QUADROS QUE FALTARAM'!B:B,0)</f>
        <v>0</v>
      </c>
    </row>
    <row r="237" spans="1:14" x14ac:dyDescent="0.3">
      <c r="A237" s="1" t="s">
        <v>2806</v>
      </c>
      <c r="B237" s="1" t="s">
        <v>834</v>
      </c>
      <c r="C237" s="59">
        <v>788886.11</v>
      </c>
      <c r="D237" s="62">
        <v>57900</v>
      </c>
      <c r="E237" s="62">
        <v>0</v>
      </c>
      <c r="F237" s="59">
        <v>846786.11</v>
      </c>
      <c r="J237" s="67">
        <v>0</v>
      </c>
      <c r="N237">
        <f>_xlfn.XLOOKUP(M237,'QUADROS QUE FALTARAM'!F:F,'QUADROS QUE FALTARAM'!B:B,0)</f>
        <v>0</v>
      </c>
    </row>
    <row r="238" spans="1:14" x14ac:dyDescent="0.3">
      <c r="A238" t="s">
        <v>2807</v>
      </c>
      <c r="B238" t="s">
        <v>838</v>
      </c>
      <c r="C238" s="54">
        <v>788886.11</v>
      </c>
      <c r="D238" s="20">
        <v>57900</v>
      </c>
      <c r="E238" s="20">
        <v>0</v>
      </c>
      <c r="F238" s="54">
        <v>846786.11</v>
      </c>
      <c r="J238" s="67">
        <v>0</v>
      </c>
      <c r="N238">
        <f>_xlfn.XLOOKUP(M238,'QUADROS QUE FALTARAM'!F:F,'QUADROS QUE FALTARAM'!B:B,0)</f>
        <v>0</v>
      </c>
    </row>
    <row r="239" spans="1:14" x14ac:dyDescent="0.3">
      <c r="A239" s="1" t="s">
        <v>2808</v>
      </c>
      <c r="B239" s="1" t="s">
        <v>840</v>
      </c>
      <c r="C239" s="59">
        <v>641310.31000000006</v>
      </c>
      <c r="D239" s="62">
        <v>74101.070000000007</v>
      </c>
      <c r="E239" s="62">
        <v>266342.68</v>
      </c>
      <c r="F239" s="59">
        <v>449068.7</v>
      </c>
      <c r="J239" s="67">
        <v>0</v>
      </c>
      <c r="N239">
        <f>_xlfn.XLOOKUP(M239,'QUADROS QUE FALTARAM'!F:F,'QUADROS QUE FALTARAM'!B:B,0)</f>
        <v>0</v>
      </c>
    </row>
    <row r="240" spans="1:14" x14ac:dyDescent="0.3">
      <c r="A240" t="s">
        <v>2809</v>
      </c>
      <c r="B240" t="s">
        <v>844</v>
      </c>
      <c r="C240" s="54">
        <v>223286.58</v>
      </c>
      <c r="D240" s="20">
        <v>0</v>
      </c>
      <c r="E240" s="20">
        <v>41221.440000000002</v>
      </c>
      <c r="F240" s="54">
        <v>182065.14</v>
      </c>
      <c r="J240" s="67">
        <v>0</v>
      </c>
      <c r="N240">
        <f>_xlfn.XLOOKUP(M240,'QUADROS QUE FALTARAM'!F:F,'QUADROS QUE FALTARAM'!B:B,0)</f>
        <v>0</v>
      </c>
    </row>
    <row r="241" spans="1:14" x14ac:dyDescent="0.3">
      <c r="A241" t="s">
        <v>2810</v>
      </c>
      <c r="B241" t="s">
        <v>847</v>
      </c>
      <c r="C241" s="54">
        <v>13732.65</v>
      </c>
      <c r="D241" s="20">
        <v>56048.41</v>
      </c>
      <c r="E241" s="20">
        <v>0</v>
      </c>
      <c r="F241" s="54">
        <v>69781.06</v>
      </c>
      <c r="J241" s="67">
        <v>0</v>
      </c>
      <c r="N241">
        <f>_xlfn.XLOOKUP(M241,'QUADROS QUE FALTARAM'!F:F,'QUADROS QUE FALTARAM'!B:B,0)</f>
        <v>0</v>
      </c>
    </row>
    <row r="242" spans="1:14" x14ac:dyDescent="0.3">
      <c r="A242" t="s">
        <v>2811</v>
      </c>
      <c r="B242" t="s">
        <v>850</v>
      </c>
      <c r="C242" s="54">
        <v>630.28</v>
      </c>
      <c r="D242" s="20">
        <v>8974.66</v>
      </c>
      <c r="E242" s="20">
        <v>0</v>
      </c>
      <c r="F242" s="54">
        <v>9604.94</v>
      </c>
      <c r="J242" s="67">
        <v>0</v>
      </c>
      <c r="N242">
        <f>_xlfn.XLOOKUP(M242,'QUADROS QUE FALTARAM'!F:F,'QUADROS QUE FALTARAM'!B:B,0)</f>
        <v>0</v>
      </c>
    </row>
    <row r="243" spans="1:14" x14ac:dyDescent="0.3">
      <c r="A243" s="194" t="s">
        <v>2812</v>
      </c>
      <c r="B243" t="s">
        <v>853</v>
      </c>
      <c r="C243" s="54">
        <v>400252.21</v>
      </c>
      <c r="D243" s="193">
        <v>9078</v>
      </c>
      <c r="E243" s="20">
        <v>221712.65</v>
      </c>
      <c r="F243" s="54">
        <v>187617.56</v>
      </c>
      <c r="J243" s="67">
        <v>0</v>
      </c>
      <c r="N243">
        <f>_xlfn.XLOOKUP(M243,'QUADROS QUE FALTARAM'!F:F,'QUADROS QUE FALTARAM'!B:B,0)</f>
        <v>0</v>
      </c>
    </row>
    <row r="244" spans="1:14" x14ac:dyDescent="0.3">
      <c r="A244" t="s">
        <v>2813</v>
      </c>
      <c r="B244" t="s">
        <v>856</v>
      </c>
      <c r="C244" s="54">
        <v>3408.59</v>
      </c>
      <c r="D244" s="20">
        <v>0</v>
      </c>
      <c r="E244" s="20">
        <v>3408.59</v>
      </c>
      <c r="F244" s="54">
        <v>0</v>
      </c>
      <c r="J244" s="67">
        <v>0</v>
      </c>
      <c r="N244">
        <f>_xlfn.XLOOKUP(M244,'QUADROS QUE FALTARAM'!F:F,'QUADROS QUE FALTARAM'!B:B,0)</f>
        <v>0</v>
      </c>
    </row>
    <row r="245" spans="1:14" x14ac:dyDescent="0.3">
      <c r="A245" s="1" t="s">
        <v>2814</v>
      </c>
      <c r="B245" s="1" t="s">
        <v>859</v>
      </c>
      <c r="C245" s="59">
        <v>337165.95</v>
      </c>
      <c r="D245" s="62">
        <v>0</v>
      </c>
      <c r="E245" s="62">
        <v>0</v>
      </c>
      <c r="F245" s="59">
        <v>337165.95</v>
      </c>
      <c r="J245" s="67">
        <v>0</v>
      </c>
      <c r="N245">
        <f>_xlfn.XLOOKUP(M245,'QUADROS QUE FALTARAM'!F:F,'QUADROS QUE FALTARAM'!B:B,0)</f>
        <v>0</v>
      </c>
    </row>
    <row r="246" spans="1:14" x14ac:dyDescent="0.3">
      <c r="A246" t="s">
        <v>2815</v>
      </c>
      <c r="B246" t="s">
        <v>863</v>
      </c>
      <c r="C246" s="54">
        <v>5210.63</v>
      </c>
      <c r="D246" s="20">
        <v>0</v>
      </c>
      <c r="E246" s="20">
        <v>0</v>
      </c>
      <c r="F246" s="54">
        <v>5210.63</v>
      </c>
      <c r="J246" s="67">
        <v>0</v>
      </c>
      <c r="N246">
        <f>_xlfn.XLOOKUP(M246,'QUADROS QUE FALTARAM'!F:F,'QUADROS QUE FALTARAM'!B:B,0)</f>
        <v>0</v>
      </c>
    </row>
    <row r="247" spans="1:14" x14ac:dyDescent="0.3">
      <c r="A247" t="s">
        <v>2816</v>
      </c>
      <c r="B247" t="s">
        <v>866</v>
      </c>
      <c r="C247" s="54">
        <v>490</v>
      </c>
      <c r="D247" s="20">
        <v>0</v>
      </c>
      <c r="E247" s="20">
        <v>0</v>
      </c>
      <c r="F247" s="54">
        <v>490</v>
      </c>
      <c r="J247" s="67">
        <v>0</v>
      </c>
      <c r="N247">
        <f>_xlfn.XLOOKUP(M247,'QUADROS QUE FALTARAM'!F:F,'QUADROS QUE FALTARAM'!B:B,0)</f>
        <v>0</v>
      </c>
    </row>
    <row r="248" spans="1:14" x14ac:dyDescent="0.3">
      <c r="A248" t="s">
        <v>2817</v>
      </c>
      <c r="B248" t="s">
        <v>869</v>
      </c>
      <c r="C248" s="54">
        <v>331465.32</v>
      </c>
      <c r="D248" s="20">
        <v>0</v>
      </c>
      <c r="E248" s="20">
        <v>0</v>
      </c>
      <c r="F248" s="54">
        <v>331465.32</v>
      </c>
      <c r="J248" s="67">
        <v>0</v>
      </c>
      <c r="N248">
        <f>_xlfn.XLOOKUP(M248,'QUADROS QUE FALTARAM'!F:F,'QUADROS QUE FALTARAM'!B:B,0)</f>
        <v>0</v>
      </c>
    </row>
    <row r="249" spans="1:14" x14ac:dyDescent="0.3">
      <c r="A249" s="1" t="s">
        <v>2818</v>
      </c>
      <c r="B249" s="1" t="s">
        <v>872</v>
      </c>
      <c r="C249" s="59">
        <v>4569.91</v>
      </c>
      <c r="D249" s="62">
        <v>0</v>
      </c>
      <c r="E249" s="62">
        <v>0</v>
      </c>
      <c r="F249" s="59">
        <v>4569.91</v>
      </c>
      <c r="J249" s="67">
        <v>0</v>
      </c>
      <c r="N249">
        <f>_xlfn.XLOOKUP(M249,'QUADROS QUE FALTARAM'!F:F,'QUADROS QUE FALTARAM'!B:B,0)</f>
        <v>0</v>
      </c>
    </row>
    <row r="250" spans="1:14" x14ac:dyDescent="0.3">
      <c r="A250" t="s">
        <v>2819</v>
      </c>
      <c r="B250" t="s">
        <v>876</v>
      </c>
      <c r="C250" s="54">
        <v>4569.91</v>
      </c>
      <c r="D250" s="20">
        <v>0</v>
      </c>
      <c r="E250" s="20">
        <v>0</v>
      </c>
      <c r="F250" s="54">
        <v>4569.91</v>
      </c>
      <c r="J250" s="67">
        <v>0</v>
      </c>
      <c r="N250">
        <f>_xlfn.XLOOKUP(M250,'QUADROS QUE FALTARAM'!F:F,'QUADROS QUE FALTARAM'!B:B,0)</f>
        <v>0</v>
      </c>
    </row>
    <row r="251" spans="1:14" x14ac:dyDescent="0.3">
      <c r="A251" s="51" t="s">
        <v>2820</v>
      </c>
      <c r="B251" s="51" t="s">
        <v>878</v>
      </c>
      <c r="C251" s="59">
        <v>-20397224.359999999</v>
      </c>
      <c r="D251" s="62">
        <v>1242985.2</v>
      </c>
      <c r="E251" s="62">
        <v>10287529.4</v>
      </c>
      <c r="F251" s="59">
        <v>-29441768.559999999</v>
      </c>
      <c r="J251" s="67">
        <v>0</v>
      </c>
      <c r="N251">
        <f>_xlfn.XLOOKUP(M251,'QUADROS QUE FALTARAM'!F:F,'QUADROS QUE FALTARAM'!B:B,0)</f>
        <v>0</v>
      </c>
    </row>
    <row r="252" spans="1:14" x14ac:dyDescent="0.3">
      <c r="A252" t="s">
        <v>2821</v>
      </c>
      <c r="B252" t="s">
        <v>882</v>
      </c>
      <c r="C252" s="54">
        <v>0</v>
      </c>
      <c r="D252" s="20">
        <v>0</v>
      </c>
      <c r="E252" s="20">
        <v>6711170.5700000003</v>
      </c>
      <c r="F252" s="54">
        <v>-6711170.5700000003</v>
      </c>
      <c r="J252" s="67">
        <v>0</v>
      </c>
      <c r="N252">
        <f>_xlfn.XLOOKUP(M252,'QUADROS QUE FALTARAM'!F:F,'QUADROS QUE FALTARAM'!B:B,0)</f>
        <v>0</v>
      </c>
    </row>
    <row r="253" spans="1:14" x14ac:dyDescent="0.3">
      <c r="A253" t="s">
        <v>2822</v>
      </c>
      <c r="B253" t="s">
        <v>886</v>
      </c>
      <c r="C253" s="54">
        <v>-18334817.109999999</v>
      </c>
      <c r="D253" s="20">
        <v>475494.47</v>
      </c>
      <c r="E253" s="20">
        <v>0</v>
      </c>
      <c r="F253" s="54">
        <v>-17859322.640000001</v>
      </c>
      <c r="J253" s="67">
        <v>0</v>
      </c>
      <c r="N253">
        <f>_xlfn.XLOOKUP(M253,'QUADROS QUE FALTARAM'!F:F,'QUADROS QUE FALTARAM'!B:B,0)</f>
        <v>0</v>
      </c>
    </row>
    <row r="254" spans="1:14" x14ac:dyDescent="0.3">
      <c r="A254" t="s">
        <v>2823</v>
      </c>
      <c r="B254" t="s">
        <v>890</v>
      </c>
      <c r="C254" s="54">
        <v>-511296.63</v>
      </c>
      <c r="D254" s="20">
        <v>365935.78</v>
      </c>
      <c r="E254" s="20">
        <v>0</v>
      </c>
      <c r="F254" s="54">
        <v>-145360.85</v>
      </c>
      <c r="J254" s="67">
        <v>0</v>
      </c>
      <c r="N254">
        <f>_xlfn.XLOOKUP(M254,'QUADROS QUE FALTARAM'!F:F,'QUADROS QUE FALTARAM'!B:B,0)</f>
        <v>0</v>
      </c>
    </row>
    <row r="255" spans="1:14" x14ac:dyDescent="0.3">
      <c r="A255" t="s">
        <v>2824</v>
      </c>
      <c r="B255" t="s">
        <v>893</v>
      </c>
      <c r="C255" s="54">
        <v>0</v>
      </c>
      <c r="D255" s="20">
        <v>0</v>
      </c>
      <c r="E255" s="20">
        <v>3202809.3</v>
      </c>
      <c r="F255" s="54">
        <v>-3202809.3</v>
      </c>
      <c r="J255" s="67">
        <v>0</v>
      </c>
      <c r="N255">
        <f>_xlfn.XLOOKUP(M255,'QUADROS QUE FALTARAM'!F:F,'QUADROS QUE FALTARAM'!B:B,0)</f>
        <v>0</v>
      </c>
    </row>
    <row r="256" spans="1:14" x14ac:dyDescent="0.3">
      <c r="A256" t="s">
        <v>2825</v>
      </c>
      <c r="B256" t="s">
        <v>896</v>
      </c>
      <c r="C256" s="54">
        <v>-21248.27</v>
      </c>
      <c r="D256" s="20">
        <v>0</v>
      </c>
      <c r="E256" s="20">
        <v>6651.93</v>
      </c>
      <c r="F256" s="54">
        <v>-27900.2</v>
      </c>
      <c r="J256" s="67">
        <v>0</v>
      </c>
      <c r="N256">
        <f>_xlfn.XLOOKUP(M256,'QUADROS QUE FALTARAM'!F:F,'QUADROS QUE FALTARAM'!B:B,0)</f>
        <v>0</v>
      </c>
    </row>
    <row r="257" spans="1:14" x14ac:dyDescent="0.3">
      <c r="A257" t="s">
        <v>2826</v>
      </c>
      <c r="B257" t="s">
        <v>900</v>
      </c>
      <c r="C257" s="54">
        <v>-788886.11</v>
      </c>
      <c r="D257" s="20">
        <v>0</v>
      </c>
      <c r="E257" s="20">
        <v>965</v>
      </c>
      <c r="F257" s="54">
        <v>-789851.11</v>
      </c>
      <c r="J257" s="67">
        <v>0</v>
      </c>
      <c r="N257">
        <f>_xlfn.XLOOKUP(M257,'QUADROS QUE FALTARAM'!F:F,'QUADROS QUE FALTARAM'!B:B,0)</f>
        <v>0</v>
      </c>
    </row>
    <row r="258" spans="1:14" x14ac:dyDescent="0.3">
      <c r="A258" t="s">
        <v>2827</v>
      </c>
      <c r="B258" t="s">
        <v>903</v>
      </c>
      <c r="C258" s="54">
        <v>-641310.31000000006</v>
      </c>
      <c r="D258" s="20">
        <v>273122.37</v>
      </c>
      <c r="E258" s="20">
        <v>0</v>
      </c>
      <c r="F258" s="54">
        <v>-368187.94</v>
      </c>
      <c r="J258" s="67">
        <v>0</v>
      </c>
      <c r="N258">
        <f>_xlfn.XLOOKUP(M258,'QUADROS QUE FALTARAM'!F:F,'QUADROS QUE FALTARAM'!B:B,0)</f>
        <v>0</v>
      </c>
    </row>
    <row r="259" spans="1:14" x14ac:dyDescent="0.3">
      <c r="A259" t="s">
        <v>2828</v>
      </c>
      <c r="B259" t="s">
        <v>906</v>
      </c>
      <c r="C259" s="54">
        <v>-99665.93</v>
      </c>
      <c r="D259" s="20">
        <v>0</v>
      </c>
      <c r="E259" s="20">
        <v>237500.02</v>
      </c>
      <c r="F259" s="54">
        <v>-337165.95</v>
      </c>
      <c r="J259" s="67">
        <v>0</v>
      </c>
      <c r="N259">
        <f>_xlfn.XLOOKUP(M259,'QUADROS QUE FALTARAM'!F:F,'QUADROS QUE FALTARAM'!B:B,0)</f>
        <v>0</v>
      </c>
    </row>
    <row r="260" spans="1:14" x14ac:dyDescent="0.3">
      <c r="A260" t="s">
        <v>2829</v>
      </c>
      <c r="B260" t="s">
        <v>2218</v>
      </c>
      <c r="C260" s="54">
        <v>0</v>
      </c>
      <c r="D260" s="20">
        <v>73127.75</v>
      </c>
      <c r="E260" s="20">
        <v>73127.75</v>
      </c>
      <c r="F260" s="54">
        <v>0</v>
      </c>
      <c r="J260" s="67" t="s">
        <v>2129</v>
      </c>
      <c r="N260">
        <f>_xlfn.XLOOKUP(M260,'QUADROS QUE FALTARAM'!F:F,'QUADROS QUE FALTARAM'!B:B,0)</f>
        <v>0</v>
      </c>
    </row>
    <row r="261" spans="1:14" x14ac:dyDescent="0.3">
      <c r="A261" t="s">
        <v>2830</v>
      </c>
      <c r="B261" t="s">
        <v>2219</v>
      </c>
      <c r="C261" s="54">
        <v>0</v>
      </c>
      <c r="D261" s="20">
        <v>2273.9499999999998</v>
      </c>
      <c r="E261" s="20">
        <v>2273.9499999999998</v>
      </c>
      <c r="F261" s="54">
        <v>0</v>
      </c>
      <c r="J261" s="67" t="s">
        <v>2129</v>
      </c>
      <c r="N261">
        <f>_xlfn.XLOOKUP(M261,'QUADROS QUE FALTARAM'!F:F,'QUADROS QUE FALTARAM'!B:B,0)</f>
        <v>0</v>
      </c>
    </row>
    <row r="262" spans="1:14" x14ac:dyDescent="0.3">
      <c r="A262" t="s">
        <v>2831</v>
      </c>
      <c r="B262" t="s">
        <v>2220</v>
      </c>
      <c r="C262" s="54">
        <v>0</v>
      </c>
      <c r="D262" s="20">
        <v>9092.16</v>
      </c>
      <c r="E262" s="20">
        <v>9092.16</v>
      </c>
      <c r="F262" s="54">
        <v>0</v>
      </c>
      <c r="J262" s="67" t="s">
        <v>2129</v>
      </c>
      <c r="N262">
        <f>_xlfn.XLOOKUP(M262,'QUADROS QUE FALTARAM'!F:F,'QUADROS QUE FALTARAM'!B:B,0)</f>
        <v>0</v>
      </c>
    </row>
    <row r="263" spans="1:14" x14ac:dyDescent="0.3">
      <c r="A263" t="s">
        <v>2832</v>
      </c>
      <c r="B263" t="s">
        <v>2221</v>
      </c>
      <c r="C263" s="54">
        <v>0</v>
      </c>
      <c r="D263" s="20">
        <v>2982.06</v>
      </c>
      <c r="E263" s="20">
        <v>2982.06</v>
      </c>
      <c r="F263" s="54">
        <v>0</v>
      </c>
      <c r="J263" s="67" t="s">
        <v>2129</v>
      </c>
      <c r="N263">
        <f>_xlfn.XLOOKUP(M263,'QUADROS QUE FALTARAM'!F:F,'QUADROS QUE FALTARAM'!B:B,0)</f>
        <v>0</v>
      </c>
    </row>
    <row r="264" spans="1:14" x14ac:dyDescent="0.3">
      <c r="A264" t="s">
        <v>2833</v>
      </c>
      <c r="B264" t="s">
        <v>2222</v>
      </c>
      <c r="C264" s="54">
        <v>0</v>
      </c>
      <c r="D264" s="20">
        <v>3704.76</v>
      </c>
      <c r="E264" s="20">
        <v>3704.76</v>
      </c>
      <c r="F264" s="54">
        <v>0</v>
      </c>
      <c r="J264" s="67" t="s">
        <v>2129</v>
      </c>
      <c r="N264">
        <f>_xlfn.XLOOKUP(M264,'QUADROS QUE FALTARAM'!F:F,'QUADROS QUE FALTARAM'!B:B,0)</f>
        <v>0</v>
      </c>
    </row>
    <row r="265" spans="1:14" x14ac:dyDescent="0.3">
      <c r="A265" t="s">
        <v>2834</v>
      </c>
      <c r="B265" t="s">
        <v>2223</v>
      </c>
      <c r="C265" s="54">
        <v>0</v>
      </c>
      <c r="D265" s="20">
        <v>37251.9</v>
      </c>
      <c r="E265" s="20">
        <v>37251.9</v>
      </c>
      <c r="F265" s="54">
        <v>0</v>
      </c>
      <c r="J265" s="67" t="s">
        <v>2129</v>
      </c>
      <c r="N265">
        <f>_xlfn.XLOOKUP(M265,'QUADROS QUE FALTARAM'!F:F,'QUADROS QUE FALTARAM'!B:B,0)</f>
        <v>0</v>
      </c>
    </row>
    <row r="266" spans="1:14" hidden="1" x14ac:dyDescent="0.3"/>
    <row r="267" spans="1:14" x14ac:dyDescent="0.3">
      <c r="A267" s="51" t="s">
        <v>2835</v>
      </c>
      <c r="B267" s="51" t="s">
        <v>909</v>
      </c>
      <c r="C267" s="57">
        <v>-91091292.629999995</v>
      </c>
      <c r="D267" s="58">
        <v>152438814.34999999</v>
      </c>
      <c r="E267" s="58">
        <v>137158948.96000001</v>
      </c>
      <c r="F267" s="57">
        <v>-75811427.239999995</v>
      </c>
      <c r="J267" s="67">
        <v>0</v>
      </c>
      <c r="N267">
        <f>_xlfn.XLOOKUP(M267,'QUADROS QUE FALTARAM'!F:F,'QUADROS QUE FALTARAM'!B:B,0)</f>
        <v>0</v>
      </c>
    </row>
    <row r="268" spans="1:14" x14ac:dyDescent="0.3">
      <c r="A268" s="1" t="s">
        <v>2838</v>
      </c>
      <c r="B268" s="1" t="s">
        <v>913</v>
      </c>
      <c r="C268" s="59">
        <v>-34168771.090000004</v>
      </c>
      <c r="D268" s="62">
        <v>38782114.270000003</v>
      </c>
      <c r="E268" s="62">
        <v>41386391.229999997</v>
      </c>
      <c r="F268" s="59">
        <v>-36773048.049999997</v>
      </c>
      <c r="J268" s="67">
        <v>0</v>
      </c>
      <c r="N268">
        <f>_xlfn.XLOOKUP(M268,'QUADROS QUE FALTARAM'!F:F,'QUADROS QUE FALTARAM'!B:B,0)</f>
        <v>0</v>
      </c>
    </row>
    <row r="269" spans="1:14" x14ac:dyDescent="0.3">
      <c r="A269" s="1" t="s">
        <v>2840</v>
      </c>
      <c r="B269" s="1" t="s">
        <v>917</v>
      </c>
      <c r="C269" s="59">
        <v>-22361297.760000002</v>
      </c>
      <c r="D269" s="62">
        <v>13429452.789999999</v>
      </c>
      <c r="E269" s="62">
        <v>13979895.01</v>
      </c>
      <c r="F269" s="59">
        <v>-22911739.98</v>
      </c>
      <c r="J269" s="67">
        <v>0</v>
      </c>
      <c r="N269">
        <f>_xlfn.XLOOKUP(M269,'QUADROS QUE FALTARAM'!F:F,'QUADROS QUE FALTARAM'!B:B,0)</f>
        <v>0</v>
      </c>
    </row>
    <row r="270" spans="1:14" x14ac:dyDescent="0.3">
      <c r="A270" s="1" t="s">
        <v>2843</v>
      </c>
      <c r="B270" s="1" t="s">
        <v>920</v>
      </c>
      <c r="C270" s="59">
        <v>-288491.62</v>
      </c>
      <c r="D270" s="62">
        <v>0</v>
      </c>
      <c r="E270" s="62">
        <v>0</v>
      </c>
      <c r="F270" s="59">
        <v>-288491.62</v>
      </c>
      <c r="J270" s="67">
        <v>0</v>
      </c>
      <c r="N270">
        <f>_xlfn.XLOOKUP(M270,'QUADROS QUE FALTARAM'!F:F,'QUADROS QUE FALTARAM'!B:B,0)</f>
        <v>0</v>
      </c>
    </row>
    <row r="271" spans="1:14" x14ac:dyDescent="0.3">
      <c r="A271" t="s">
        <v>2844</v>
      </c>
      <c r="B271" t="s">
        <v>924</v>
      </c>
      <c r="C271" s="54">
        <v>-2428</v>
      </c>
      <c r="D271" s="20">
        <v>0</v>
      </c>
      <c r="E271" s="20">
        <v>0</v>
      </c>
      <c r="F271" s="54">
        <v>-2428</v>
      </c>
      <c r="J271" s="67">
        <v>0</v>
      </c>
      <c r="N271">
        <f>_xlfn.XLOOKUP(M271,'QUADROS QUE FALTARAM'!F:F,'QUADROS QUE FALTARAM'!B:B,0)</f>
        <v>0</v>
      </c>
    </row>
    <row r="272" spans="1:14" x14ac:dyDescent="0.3">
      <c r="A272" t="s">
        <v>2845</v>
      </c>
      <c r="B272" t="s">
        <v>927</v>
      </c>
      <c r="C272" s="54">
        <v>-118073.7</v>
      </c>
      <c r="D272" s="20">
        <v>0</v>
      </c>
      <c r="E272" s="20">
        <v>0</v>
      </c>
      <c r="F272" s="54">
        <v>-118073.7</v>
      </c>
      <c r="J272" s="67">
        <v>0</v>
      </c>
      <c r="N272">
        <f>_xlfn.XLOOKUP(M272,'QUADROS QUE FALTARAM'!F:F,'QUADROS QUE FALTARAM'!B:B,0)</f>
        <v>0</v>
      </c>
    </row>
    <row r="273" spans="1:14" x14ac:dyDescent="0.3">
      <c r="A273" t="s">
        <v>2846</v>
      </c>
      <c r="B273" t="s">
        <v>930</v>
      </c>
      <c r="C273" s="54">
        <v>-7300.9</v>
      </c>
      <c r="D273" s="20">
        <v>0</v>
      </c>
      <c r="E273" s="20">
        <v>0</v>
      </c>
      <c r="F273" s="54">
        <v>-7300.9</v>
      </c>
      <c r="J273" s="67">
        <v>0</v>
      </c>
      <c r="N273">
        <f>_xlfn.XLOOKUP(M273,'QUADROS QUE FALTARAM'!F:F,'QUADROS QUE FALTARAM'!B:B,0)</f>
        <v>0</v>
      </c>
    </row>
    <row r="274" spans="1:14" x14ac:dyDescent="0.3">
      <c r="A274" t="s">
        <v>2847</v>
      </c>
      <c r="B274" t="s">
        <v>933</v>
      </c>
      <c r="C274" s="54">
        <v>-30000</v>
      </c>
      <c r="D274" s="20">
        <v>0</v>
      </c>
      <c r="E274" s="20">
        <v>0</v>
      </c>
      <c r="F274" s="54">
        <v>-30000</v>
      </c>
      <c r="J274" s="67">
        <v>0</v>
      </c>
      <c r="N274">
        <f>_xlfn.XLOOKUP(M274,'QUADROS QUE FALTARAM'!F:F,'QUADROS QUE FALTARAM'!B:B,0)</f>
        <v>0</v>
      </c>
    </row>
    <row r="275" spans="1:14" x14ac:dyDescent="0.3">
      <c r="A275" t="s">
        <v>2848</v>
      </c>
      <c r="B275" t="s">
        <v>936</v>
      </c>
      <c r="C275" s="54">
        <v>-130689.02</v>
      </c>
      <c r="D275" s="20">
        <v>0</v>
      </c>
      <c r="E275" s="20">
        <v>0</v>
      </c>
      <c r="F275" s="54">
        <v>-130689.02</v>
      </c>
      <c r="J275" s="67">
        <v>0</v>
      </c>
      <c r="N275">
        <f>_xlfn.XLOOKUP(M275,'QUADROS QUE FALTARAM'!F:F,'QUADROS QUE FALTARAM'!B:B,0)</f>
        <v>0</v>
      </c>
    </row>
    <row r="276" spans="1:14" x14ac:dyDescent="0.3">
      <c r="A276" s="1" t="s">
        <v>2849</v>
      </c>
      <c r="B276" s="1" t="s">
        <v>939</v>
      </c>
      <c r="C276" s="59">
        <v>-152859.41</v>
      </c>
      <c r="D276" s="62">
        <v>246722.62</v>
      </c>
      <c r="E276" s="62">
        <v>123361.31</v>
      </c>
      <c r="F276" s="59">
        <v>-29498.1</v>
      </c>
      <c r="J276" s="67">
        <v>0</v>
      </c>
      <c r="N276">
        <f>_xlfn.XLOOKUP(M276,'QUADROS QUE FALTARAM'!F:F,'QUADROS QUE FALTARAM'!B:B,0)</f>
        <v>0</v>
      </c>
    </row>
    <row r="277" spans="1:14" x14ac:dyDescent="0.3">
      <c r="A277" t="s">
        <v>2851</v>
      </c>
      <c r="B277" t="s">
        <v>943</v>
      </c>
      <c r="C277" s="54">
        <v>-123361.31</v>
      </c>
      <c r="D277" s="20">
        <v>246722.62</v>
      </c>
      <c r="E277" s="20">
        <v>123361.31</v>
      </c>
      <c r="F277" s="54">
        <v>0</v>
      </c>
      <c r="J277" s="67">
        <v>0</v>
      </c>
      <c r="N277">
        <f>_xlfn.XLOOKUP(M277,'QUADROS QUE FALTARAM'!F:F,'QUADROS QUE FALTARAM'!B:B,0)</f>
        <v>0</v>
      </c>
    </row>
    <row r="278" spans="1:14" x14ac:dyDescent="0.3">
      <c r="A278" t="s">
        <v>2852</v>
      </c>
      <c r="B278" t="s">
        <v>949</v>
      </c>
      <c r="C278" s="54">
        <v>-18626.23</v>
      </c>
      <c r="D278" s="20">
        <v>0</v>
      </c>
      <c r="E278" s="20">
        <v>0</v>
      </c>
      <c r="F278" s="54">
        <v>-18626.23</v>
      </c>
      <c r="J278" s="67">
        <v>0</v>
      </c>
      <c r="N278">
        <f>_xlfn.XLOOKUP(M278,'QUADROS QUE FALTARAM'!F:F,'QUADROS QUE FALTARAM'!B:B,0)</f>
        <v>0</v>
      </c>
    </row>
    <row r="279" spans="1:14" x14ac:dyDescent="0.3">
      <c r="A279" t="s">
        <v>2853</v>
      </c>
      <c r="B279" t="s">
        <v>952</v>
      </c>
      <c r="C279" s="54">
        <v>-10871.87</v>
      </c>
      <c r="D279" s="20">
        <v>0</v>
      </c>
      <c r="E279" s="20">
        <v>0</v>
      </c>
      <c r="F279" s="54">
        <v>-10871.87</v>
      </c>
      <c r="J279" s="67">
        <v>0</v>
      </c>
      <c r="N279">
        <f>_xlfn.XLOOKUP(M279,'QUADROS QUE FALTARAM'!F:F,'QUADROS QUE FALTARAM'!B:B,0)</f>
        <v>0</v>
      </c>
    </row>
    <row r="280" spans="1:14" x14ac:dyDescent="0.3">
      <c r="A280" s="1" t="s">
        <v>2854</v>
      </c>
      <c r="B280" s="1" t="s">
        <v>955</v>
      </c>
      <c r="C280" s="59">
        <v>-19883248.27</v>
      </c>
      <c r="D280" s="62">
        <v>10188812.35</v>
      </c>
      <c r="E280" s="62">
        <v>11118171.09</v>
      </c>
      <c r="F280" s="59">
        <v>-20812607.010000002</v>
      </c>
      <c r="J280" s="67">
        <v>0</v>
      </c>
      <c r="N280">
        <f>_xlfn.XLOOKUP(M280,'QUADROS QUE FALTARAM'!F:F,'QUADROS QUE FALTARAM'!B:B,0)</f>
        <v>0</v>
      </c>
    </row>
    <row r="281" spans="1:14" x14ac:dyDescent="0.3">
      <c r="A281" t="s">
        <v>2855</v>
      </c>
      <c r="B281" t="s">
        <v>959</v>
      </c>
      <c r="C281" s="54">
        <v>-19883248.27</v>
      </c>
      <c r="D281" s="20">
        <v>10188812.35</v>
      </c>
      <c r="E281" s="20">
        <v>11118171.09</v>
      </c>
      <c r="F281" s="54">
        <v>-20812607.010000002</v>
      </c>
      <c r="J281" s="67">
        <v>0</v>
      </c>
      <c r="N281">
        <f>_xlfn.XLOOKUP(M281,'QUADROS QUE FALTARAM'!F:F,'QUADROS QUE FALTARAM'!B:B,0)</f>
        <v>0</v>
      </c>
    </row>
    <row r="282" spans="1:14" x14ac:dyDescent="0.3">
      <c r="A282" s="1" t="s">
        <v>2856</v>
      </c>
      <c r="B282" s="1" t="s">
        <v>962</v>
      </c>
      <c r="C282" s="59">
        <v>-320214.49</v>
      </c>
      <c r="D282" s="62">
        <v>75399</v>
      </c>
      <c r="E282" s="62">
        <v>56025.65</v>
      </c>
      <c r="F282" s="59">
        <v>-300841.14</v>
      </c>
      <c r="J282" s="67">
        <v>0</v>
      </c>
      <c r="N282">
        <f>_xlfn.XLOOKUP(M282,'QUADROS QUE FALTARAM'!F:F,'QUADROS QUE FALTARAM'!B:B,0)</f>
        <v>0</v>
      </c>
    </row>
    <row r="283" spans="1:14" x14ac:dyDescent="0.3">
      <c r="A283" t="s">
        <v>2858</v>
      </c>
      <c r="B283" t="s">
        <v>966</v>
      </c>
      <c r="C283" s="54">
        <v>-1076.93</v>
      </c>
      <c r="D283" s="20">
        <v>0</v>
      </c>
      <c r="E283" s="20">
        <v>0</v>
      </c>
      <c r="F283" s="54">
        <v>-1076.93</v>
      </c>
      <c r="J283" s="67">
        <v>0</v>
      </c>
      <c r="N283">
        <f>_xlfn.XLOOKUP(M283,'QUADROS QUE FALTARAM'!F:F,'QUADROS QUE FALTARAM'!B:B,0)</f>
        <v>0</v>
      </c>
    </row>
    <row r="284" spans="1:14" x14ac:dyDescent="0.3">
      <c r="A284" t="s">
        <v>2859</v>
      </c>
      <c r="B284" t="s">
        <v>971</v>
      </c>
      <c r="C284" s="54">
        <v>-31783.88</v>
      </c>
      <c r="D284" s="20">
        <v>0</v>
      </c>
      <c r="E284" s="20">
        <v>0</v>
      </c>
      <c r="F284" s="54">
        <v>-31783.88</v>
      </c>
      <c r="J284" s="67">
        <v>0</v>
      </c>
      <c r="N284">
        <f>_xlfn.XLOOKUP(M284,'QUADROS QUE FALTARAM'!F:F,'QUADROS QUE FALTARAM'!B:B,0)</f>
        <v>0</v>
      </c>
    </row>
    <row r="285" spans="1:14" x14ac:dyDescent="0.3">
      <c r="A285" t="s">
        <v>2860</v>
      </c>
      <c r="B285" t="s">
        <v>974</v>
      </c>
      <c r="C285" s="54">
        <v>-8698.98</v>
      </c>
      <c r="D285" s="20">
        <v>0</v>
      </c>
      <c r="E285" s="20">
        <v>0</v>
      </c>
      <c r="F285" s="54">
        <v>-8698.98</v>
      </c>
      <c r="J285" s="67">
        <v>0</v>
      </c>
      <c r="N285">
        <f>_xlfn.XLOOKUP(M285,'QUADROS QUE FALTARAM'!F:F,'QUADROS QUE FALTARAM'!B:B,0)</f>
        <v>0</v>
      </c>
    </row>
    <row r="286" spans="1:14" x14ac:dyDescent="0.3">
      <c r="A286" t="s">
        <v>2861</v>
      </c>
      <c r="B286" t="s">
        <v>977</v>
      </c>
      <c r="C286" s="54">
        <v>-2907.7</v>
      </c>
      <c r="D286" s="20">
        <v>0</v>
      </c>
      <c r="E286" s="20">
        <v>0</v>
      </c>
      <c r="F286" s="54">
        <v>-2907.7</v>
      </c>
      <c r="J286" s="67">
        <v>0</v>
      </c>
      <c r="N286">
        <f>_xlfn.XLOOKUP(M286,'QUADROS QUE FALTARAM'!F:F,'QUADROS QUE FALTARAM'!B:B,0)</f>
        <v>0</v>
      </c>
    </row>
    <row r="287" spans="1:14" x14ac:dyDescent="0.3">
      <c r="A287" t="s">
        <v>2862</v>
      </c>
      <c r="B287" t="s">
        <v>2225</v>
      </c>
      <c r="C287" s="54">
        <v>0</v>
      </c>
      <c r="D287" s="20">
        <v>2180</v>
      </c>
      <c r="E287" s="20">
        <v>2180</v>
      </c>
      <c r="F287" s="54">
        <v>0</v>
      </c>
      <c r="J287" s="67" t="s">
        <v>2129</v>
      </c>
      <c r="N287">
        <f>_xlfn.XLOOKUP(M287,'QUADROS QUE FALTARAM'!F:F,'QUADROS QUE FALTARAM'!B:B,0)</f>
        <v>0</v>
      </c>
    </row>
    <row r="288" spans="1:14" x14ac:dyDescent="0.3">
      <c r="A288" t="s">
        <v>2863</v>
      </c>
      <c r="B288" t="s">
        <v>983</v>
      </c>
      <c r="C288" s="54">
        <v>-2145.7399999999998</v>
      </c>
      <c r="D288" s="20">
        <v>0</v>
      </c>
      <c r="E288" s="20">
        <v>0</v>
      </c>
      <c r="F288" s="54">
        <v>-2145.7399999999998</v>
      </c>
      <c r="J288" s="67">
        <v>0</v>
      </c>
      <c r="N288">
        <f>_xlfn.XLOOKUP(M288,'QUADROS QUE FALTARAM'!F:F,'QUADROS QUE FALTARAM'!B:B,0)</f>
        <v>0</v>
      </c>
    </row>
    <row r="289" spans="1:14" x14ac:dyDescent="0.3">
      <c r="A289" t="s">
        <v>2864</v>
      </c>
      <c r="B289" t="s">
        <v>986</v>
      </c>
      <c r="C289" s="54">
        <v>-31786.59</v>
      </c>
      <c r="D289" s="20">
        <v>31786.59</v>
      </c>
      <c r="E289" s="20">
        <v>0</v>
      </c>
      <c r="F289" s="54">
        <v>0</v>
      </c>
      <c r="J289" s="67">
        <v>0</v>
      </c>
      <c r="N289">
        <f>_xlfn.XLOOKUP(M289,'QUADROS QUE FALTARAM'!F:F,'QUADROS QUE FALTARAM'!B:B,0)</f>
        <v>0</v>
      </c>
    </row>
    <row r="290" spans="1:14" x14ac:dyDescent="0.3">
      <c r="A290" t="s">
        <v>2865</v>
      </c>
      <c r="B290" t="s">
        <v>989</v>
      </c>
      <c r="C290" s="54">
        <v>-7084.03</v>
      </c>
      <c r="D290" s="20">
        <v>0</v>
      </c>
      <c r="E290" s="20">
        <v>2511.41</v>
      </c>
      <c r="F290" s="54">
        <v>-9595.44</v>
      </c>
      <c r="J290" s="67">
        <v>0</v>
      </c>
      <c r="N290">
        <f>_xlfn.XLOOKUP(M290,'QUADROS QUE FALTARAM'!F:F,'QUADROS QUE FALTARAM'!B:B,0)</f>
        <v>0</v>
      </c>
    </row>
    <row r="291" spans="1:14" x14ac:dyDescent="0.3">
      <c r="A291" t="s">
        <v>2866</v>
      </c>
      <c r="B291" t="s">
        <v>992</v>
      </c>
      <c r="C291" s="54">
        <v>-475.51</v>
      </c>
      <c r="D291" s="20">
        <v>2601.86</v>
      </c>
      <c r="E291" s="20">
        <v>15389.94</v>
      </c>
      <c r="F291" s="54">
        <v>-13263.59</v>
      </c>
      <c r="J291" s="67">
        <v>0</v>
      </c>
      <c r="N291">
        <f>_xlfn.XLOOKUP(M291,'QUADROS QUE FALTARAM'!F:F,'QUADROS QUE FALTARAM'!B:B,0)</f>
        <v>0</v>
      </c>
    </row>
    <row r="292" spans="1:14" x14ac:dyDescent="0.3">
      <c r="A292" t="s">
        <v>2867</v>
      </c>
      <c r="B292" t="s">
        <v>996</v>
      </c>
      <c r="C292" s="54">
        <v>-6658.94</v>
      </c>
      <c r="D292" s="20">
        <v>0</v>
      </c>
      <c r="E292" s="20">
        <v>0</v>
      </c>
      <c r="F292" s="54">
        <v>-6658.94</v>
      </c>
      <c r="J292" s="67">
        <v>0</v>
      </c>
      <c r="N292">
        <f>_xlfn.XLOOKUP(M292,'QUADROS QUE FALTARAM'!F:F,'QUADROS QUE FALTARAM'!B:B,0)</f>
        <v>0</v>
      </c>
    </row>
    <row r="293" spans="1:14" x14ac:dyDescent="0.3">
      <c r="A293" t="s">
        <v>2868</v>
      </c>
      <c r="B293" t="s">
        <v>999</v>
      </c>
      <c r="C293" s="54">
        <v>-103676.82</v>
      </c>
      <c r="D293" s="20">
        <v>0</v>
      </c>
      <c r="E293" s="20">
        <v>0</v>
      </c>
      <c r="F293" s="54">
        <v>-103676.82</v>
      </c>
      <c r="J293" s="67">
        <v>0</v>
      </c>
      <c r="N293">
        <f>_xlfn.XLOOKUP(M293,'QUADROS QUE FALTARAM'!F:F,'QUADROS QUE FALTARAM'!B:B,0)</f>
        <v>0</v>
      </c>
    </row>
    <row r="294" spans="1:14" x14ac:dyDescent="0.3">
      <c r="A294" t="s">
        <v>2869</v>
      </c>
      <c r="B294" t="s">
        <v>1002</v>
      </c>
      <c r="C294" s="54">
        <v>-2777.3</v>
      </c>
      <c r="D294" s="20">
        <v>0</v>
      </c>
      <c r="E294" s="20">
        <v>0</v>
      </c>
      <c r="F294" s="54">
        <v>-2777.3</v>
      </c>
      <c r="J294" s="67">
        <v>0</v>
      </c>
      <c r="N294">
        <f>_xlfn.XLOOKUP(M294,'QUADROS QUE FALTARAM'!F:F,'QUADROS QUE FALTARAM'!B:B,0)</f>
        <v>0</v>
      </c>
    </row>
    <row r="295" spans="1:14" x14ac:dyDescent="0.3">
      <c r="A295" t="s">
        <v>2870</v>
      </c>
      <c r="B295" t="s">
        <v>1005</v>
      </c>
      <c r="C295" s="54">
        <v>-79099.899999999994</v>
      </c>
      <c r="D295" s="20">
        <v>0</v>
      </c>
      <c r="E295" s="20">
        <v>0</v>
      </c>
      <c r="F295" s="54">
        <v>-79099.899999999994</v>
      </c>
      <c r="J295" s="67">
        <v>0</v>
      </c>
      <c r="N295">
        <f>_xlfn.XLOOKUP(M295,'QUADROS QUE FALTARAM'!F:F,'QUADROS QUE FALTARAM'!B:B,0)</f>
        <v>0</v>
      </c>
    </row>
    <row r="296" spans="1:14" x14ac:dyDescent="0.3">
      <c r="A296" t="s">
        <v>2871</v>
      </c>
      <c r="B296" t="s">
        <v>1008</v>
      </c>
      <c r="C296" s="54">
        <v>-7010.8</v>
      </c>
      <c r="D296" s="20">
        <v>0</v>
      </c>
      <c r="E296" s="20">
        <v>0</v>
      </c>
      <c r="F296" s="54">
        <v>-7010.8</v>
      </c>
      <c r="J296" s="67">
        <v>0</v>
      </c>
      <c r="N296">
        <f>_xlfn.XLOOKUP(M296,'QUADROS QUE FALTARAM'!F:F,'QUADROS QUE FALTARAM'!B:B,0)</f>
        <v>0</v>
      </c>
    </row>
    <row r="297" spans="1:14" x14ac:dyDescent="0.3">
      <c r="A297" t="s">
        <v>2872</v>
      </c>
      <c r="B297" t="s">
        <v>1011</v>
      </c>
      <c r="C297" s="54">
        <v>-3580</v>
      </c>
      <c r="D297" s="20">
        <v>0</v>
      </c>
      <c r="E297" s="20">
        <v>0</v>
      </c>
      <c r="F297" s="54">
        <v>-3580</v>
      </c>
      <c r="J297" s="67">
        <v>0</v>
      </c>
      <c r="N297">
        <f>_xlfn.XLOOKUP(M297,'QUADROS QUE FALTARAM'!F:F,'QUADROS QUE FALTARAM'!B:B,0)</f>
        <v>0</v>
      </c>
    </row>
    <row r="298" spans="1:14" x14ac:dyDescent="0.3">
      <c r="A298" t="s">
        <v>2873</v>
      </c>
      <c r="B298" t="s">
        <v>1014</v>
      </c>
      <c r="C298" s="54">
        <v>-2040</v>
      </c>
      <c r="D298" s="20">
        <v>0</v>
      </c>
      <c r="E298" s="20">
        <v>0</v>
      </c>
      <c r="F298" s="54">
        <v>-2040</v>
      </c>
      <c r="J298" s="67">
        <v>0</v>
      </c>
      <c r="N298">
        <f>_xlfn.XLOOKUP(M298,'QUADROS QUE FALTARAM'!F:F,'QUADROS QUE FALTARAM'!B:B,0)</f>
        <v>0</v>
      </c>
    </row>
    <row r="299" spans="1:14" x14ac:dyDescent="0.3">
      <c r="A299" t="s">
        <v>2874</v>
      </c>
      <c r="B299" t="s">
        <v>1017</v>
      </c>
      <c r="C299" s="54">
        <v>-7829</v>
      </c>
      <c r="D299" s="20">
        <v>0</v>
      </c>
      <c r="E299" s="20">
        <v>0</v>
      </c>
      <c r="F299" s="54">
        <v>-7829</v>
      </c>
      <c r="J299" s="67">
        <v>0</v>
      </c>
      <c r="N299">
        <f>_xlfn.XLOOKUP(M299,'QUADROS QUE FALTARAM'!F:F,'QUADROS QUE FALTARAM'!B:B,0)</f>
        <v>0</v>
      </c>
    </row>
    <row r="300" spans="1:14" x14ac:dyDescent="0.3">
      <c r="A300" t="s">
        <v>2875</v>
      </c>
      <c r="B300" t="s">
        <v>1020</v>
      </c>
      <c r="C300" s="54">
        <v>-8906.14</v>
      </c>
      <c r="D300" s="20">
        <v>0</v>
      </c>
      <c r="E300" s="20">
        <v>0</v>
      </c>
      <c r="F300" s="54">
        <v>-8906.14</v>
      </c>
      <c r="J300" s="67">
        <v>0</v>
      </c>
      <c r="N300">
        <f>_xlfn.XLOOKUP(M300,'QUADROS QUE FALTARAM'!F:F,'QUADROS QUE FALTARAM'!B:B,0)</f>
        <v>0</v>
      </c>
    </row>
    <row r="301" spans="1:14" x14ac:dyDescent="0.3">
      <c r="A301" t="s">
        <v>2876</v>
      </c>
      <c r="B301" t="s">
        <v>1023</v>
      </c>
      <c r="C301" s="54">
        <v>-9789.98</v>
      </c>
      <c r="D301" s="20">
        <v>0</v>
      </c>
      <c r="E301" s="20">
        <v>0</v>
      </c>
      <c r="F301" s="54">
        <v>-9789.98</v>
      </c>
      <c r="J301" s="67">
        <v>0</v>
      </c>
      <c r="N301">
        <f>_xlfn.XLOOKUP(M301,'QUADROS QUE FALTARAM'!F:F,'QUADROS QUE FALTARAM'!B:B,0)</f>
        <v>0</v>
      </c>
    </row>
    <row r="302" spans="1:14" x14ac:dyDescent="0.3">
      <c r="A302" t="s">
        <v>2877</v>
      </c>
      <c r="B302" t="s">
        <v>1026</v>
      </c>
      <c r="C302" s="54">
        <v>-2886.25</v>
      </c>
      <c r="D302" s="20">
        <v>2886.25</v>
      </c>
      <c r="E302" s="20">
        <v>0</v>
      </c>
      <c r="F302" s="54">
        <v>0</v>
      </c>
      <c r="J302" s="67">
        <v>0</v>
      </c>
      <c r="N302">
        <f>_xlfn.XLOOKUP(M302,'QUADROS QUE FALTARAM'!F:F,'QUADROS QUE FALTARAM'!B:B,0)</f>
        <v>0</v>
      </c>
    </row>
    <row r="303" spans="1:14" x14ac:dyDescent="0.3">
      <c r="A303" t="s">
        <v>2878</v>
      </c>
      <c r="B303" t="s">
        <v>2228</v>
      </c>
      <c r="C303" s="54">
        <v>0</v>
      </c>
      <c r="D303" s="20">
        <v>15669.5</v>
      </c>
      <c r="E303" s="20">
        <v>15669.5</v>
      </c>
      <c r="F303" s="54">
        <v>0</v>
      </c>
      <c r="J303" s="67" t="s">
        <v>2129</v>
      </c>
      <c r="N303">
        <f>_xlfn.XLOOKUP(M303,'QUADROS QUE FALTARAM'!F:F,'QUADROS QUE FALTARAM'!B:B,0)</f>
        <v>0</v>
      </c>
    </row>
    <row r="304" spans="1:14" x14ac:dyDescent="0.3">
      <c r="A304" t="s">
        <v>2879</v>
      </c>
      <c r="B304" t="s">
        <v>2229</v>
      </c>
      <c r="C304" s="54">
        <v>0</v>
      </c>
      <c r="D304" s="20">
        <v>2296.8000000000002</v>
      </c>
      <c r="E304" s="20">
        <v>2296.8000000000002</v>
      </c>
      <c r="F304" s="54">
        <v>0</v>
      </c>
      <c r="J304" s="67" t="s">
        <v>2129</v>
      </c>
      <c r="N304">
        <f>_xlfn.XLOOKUP(M304,'QUADROS QUE FALTARAM'!F:F,'QUADROS QUE FALTARAM'!B:B,0)</f>
        <v>0</v>
      </c>
    </row>
    <row r="305" spans="1:14" x14ac:dyDescent="0.3">
      <c r="A305" t="s">
        <v>2880</v>
      </c>
      <c r="B305" t="s">
        <v>2230</v>
      </c>
      <c r="C305" s="54">
        <v>0</v>
      </c>
      <c r="D305" s="20">
        <v>3780</v>
      </c>
      <c r="E305" s="20">
        <v>3780</v>
      </c>
      <c r="F305" s="54">
        <v>0</v>
      </c>
      <c r="J305" s="67" t="s">
        <v>2129</v>
      </c>
      <c r="N305">
        <f>_xlfn.XLOOKUP(M305,'QUADROS QUE FALTARAM'!F:F,'QUADROS QUE FALTARAM'!B:B,0)</f>
        <v>0</v>
      </c>
    </row>
    <row r="306" spans="1:14" x14ac:dyDescent="0.3">
      <c r="A306" t="s">
        <v>2881</v>
      </c>
      <c r="B306" t="s">
        <v>2231</v>
      </c>
      <c r="C306" s="54">
        <v>0</v>
      </c>
      <c r="D306" s="20">
        <v>3599</v>
      </c>
      <c r="E306" s="20">
        <v>3599</v>
      </c>
      <c r="F306" s="54">
        <v>0</v>
      </c>
      <c r="J306" s="67" t="s">
        <v>2129</v>
      </c>
      <c r="N306">
        <f>_xlfn.XLOOKUP(M306,'QUADROS QUE FALTARAM'!F:F,'QUADROS QUE FALTARAM'!B:B,0)</f>
        <v>0</v>
      </c>
    </row>
    <row r="307" spans="1:14" x14ac:dyDescent="0.3">
      <c r="A307" t="s">
        <v>2882</v>
      </c>
      <c r="B307" t="s">
        <v>2232</v>
      </c>
      <c r="C307" s="54">
        <v>0</v>
      </c>
      <c r="D307" s="20">
        <v>10599</v>
      </c>
      <c r="E307" s="20">
        <v>10599</v>
      </c>
      <c r="F307" s="54">
        <v>0</v>
      </c>
      <c r="J307" s="67" t="s">
        <v>2129</v>
      </c>
      <c r="N307">
        <f>_xlfn.XLOOKUP(M307,'QUADROS QUE FALTARAM'!F:F,'QUADROS QUE FALTARAM'!B:B,0)</f>
        <v>0</v>
      </c>
    </row>
    <row r="308" spans="1:14" x14ac:dyDescent="0.3">
      <c r="A308" s="1" t="s">
        <v>2883</v>
      </c>
      <c r="B308" s="1" t="s">
        <v>1037</v>
      </c>
      <c r="C308" s="59">
        <v>-1693512.02</v>
      </c>
      <c r="D308" s="62">
        <v>2900362.82</v>
      </c>
      <c r="E308" s="62">
        <v>2662200.96</v>
      </c>
      <c r="F308" s="59">
        <v>-1455350.16</v>
      </c>
      <c r="J308" s="67">
        <v>0</v>
      </c>
      <c r="N308">
        <f>_xlfn.XLOOKUP(M308,'QUADROS QUE FALTARAM'!F:F,'QUADROS QUE FALTARAM'!B:B,0)</f>
        <v>0</v>
      </c>
    </row>
    <row r="309" spans="1:14" x14ac:dyDescent="0.3">
      <c r="A309" t="s">
        <v>2885</v>
      </c>
      <c r="B309" t="s">
        <v>1043</v>
      </c>
      <c r="C309" s="54">
        <v>0</v>
      </c>
      <c r="D309" s="20">
        <v>56026.09</v>
      </c>
      <c r="E309" s="20">
        <v>56026.09</v>
      </c>
      <c r="F309" s="54">
        <v>0</v>
      </c>
      <c r="J309" s="67">
        <v>0</v>
      </c>
      <c r="N309">
        <f>_xlfn.XLOOKUP(M309,'QUADROS QUE FALTARAM'!F:F,'QUADROS QUE FALTARAM'!B:B,0)</f>
        <v>0</v>
      </c>
    </row>
    <row r="310" spans="1:14" x14ac:dyDescent="0.3">
      <c r="A310" t="s">
        <v>2886</v>
      </c>
      <c r="B310" t="s">
        <v>1046</v>
      </c>
      <c r="C310" s="54">
        <v>0</v>
      </c>
      <c r="D310" s="20">
        <v>106460.44</v>
      </c>
      <c r="E310" s="20">
        <v>106460.44</v>
      </c>
      <c r="F310" s="54">
        <v>0</v>
      </c>
      <c r="J310" s="67">
        <v>0</v>
      </c>
      <c r="N310">
        <f>_xlfn.XLOOKUP(M310,'QUADROS QUE FALTARAM'!F:F,'QUADROS QUE FALTARAM'!B:B,0)</f>
        <v>0</v>
      </c>
    </row>
    <row r="311" spans="1:14" x14ac:dyDescent="0.3">
      <c r="A311" t="s">
        <v>2887</v>
      </c>
      <c r="B311" t="s">
        <v>1048</v>
      </c>
      <c r="C311" s="54">
        <v>0</v>
      </c>
      <c r="D311" s="20">
        <v>22096.6</v>
      </c>
      <c r="E311" s="20">
        <v>22096.6</v>
      </c>
      <c r="F311" s="54">
        <v>0</v>
      </c>
      <c r="J311" s="67">
        <v>0</v>
      </c>
      <c r="N311">
        <f>_xlfn.XLOOKUP(M311,'QUADROS QUE FALTARAM'!F:F,'QUADROS QUE FALTARAM'!B:B,0)</f>
        <v>0</v>
      </c>
    </row>
    <row r="312" spans="1:14" x14ac:dyDescent="0.3">
      <c r="A312" t="s">
        <v>2888</v>
      </c>
      <c r="B312" t="s">
        <v>1052</v>
      </c>
      <c r="C312" s="54">
        <v>-22666.7</v>
      </c>
      <c r="D312" s="20">
        <v>0</v>
      </c>
      <c r="E312" s="20">
        <v>0</v>
      </c>
      <c r="F312" s="54">
        <v>-22666.7</v>
      </c>
      <c r="J312" s="67">
        <v>0</v>
      </c>
      <c r="N312">
        <f>_xlfn.XLOOKUP(M312,'QUADROS QUE FALTARAM'!F:F,'QUADROS QUE FALTARAM'!B:B,0)</f>
        <v>0</v>
      </c>
    </row>
    <row r="313" spans="1:14" x14ac:dyDescent="0.3">
      <c r="A313" t="s">
        <v>2889</v>
      </c>
      <c r="B313" t="s">
        <v>1055</v>
      </c>
      <c r="C313" s="54">
        <v>-28865.8</v>
      </c>
      <c r="D313" s="20">
        <v>0</v>
      </c>
      <c r="E313" s="20">
        <v>700</v>
      </c>
      <c r="F313" s="54">
        <v>-29565.8</v>
      </c>
      <c r="J313" s="67">
        <v>0</v>
      </c>
      <c r="N313">
        <f>_xlfn.XLOOKUP(M313,'QUADROS QUE FALTARAM'!F:F,'QUADROS QUE FALTARAM'!B:B,0)</f>
        <v>0</v>
      </c>
    </row>
    <row r="314" spans="1:14" x14ac:dyDescent="0.3">
      <c r="A314" t="s">
        <v>2890</v>
      </c>
      <c r="B314" t="s">
        <v>1058</v>
      </c>
      <c r="C314" s="54">
        <v>-14261.4</v>
      </c>
      <c r="D314" s="20">
        <v>0</v>
      </c>
      <c r="E314" s="20">
        <v>0</v>
      </c>
      <c r="F314" s="54">
        <v>-14261.4</v>
      </c>
      <c r="J314" s="67">
        <v>0</v>
      </c>
      <c r="N314">
        <f>_xlfn.XLOOKUP(M314,'QUADROS QUE FALTARAM'!F:F,'QUADROS QUE FALTARAM'!B:B,0)</f>
        <v>0</v>
      </c>
    </row>
    <row r="315" spans="1:14" x14ac:dyDescent="0.3">
      <c r="A315" t="s">
        <v>2891</v>
      </c>
      <c r="B315" t="s">
        <v>1061</v>
      </c>
      <c r="C315" s="54">
        <v>-12464</v>
      </c>
      <c r="D315" s="20">
        <v>0</v>
      </c>
      <c r="E315" s="20">
        <v>0</v>
      </c>
      <c r="F315" s="54">
        <v>-12464</v>
      </c>
      <c r="J315" s="67">
        <v>0</v>
      </c>
      <c r="N315">
        <f>_xlfn.XLOOKUP(M315,'QUADROS QUE FALTARAM'!F:F,'QUADROS QUE FALTARAM'!B:B,0)</f>
        <v>0</v>
      </c>
    </row>
    <row r="316" spans="1:14" x14ac:dyDescent="0.3">
      <c r="A316" t="s">
        <v>2892</v>
      </c>
      <c r="B316" t="s">
        <v>1064</v>
      </c>
      <c r="C316" s="54">
        <v>-290.26</v>
      </c>
      <c r="D316" s="20">
        <v>4306.55</v>
      </c>
      <c r="E316" s="20">
        <v>4738.71</v>
      </c>
      <c r="F316" s="54">
        <v>-722.42</v>
      </c>
      <c r="J316" s="67">
        <v>0</v>
      </c>
      <c r="N316">
        <f>_xlfn.XLOOKUP(M316,'QUADROS QUE FALTARAM'!F:F,'QUADROS QUE FALTARAM'!B:B,0)</f>
        <v>0</v>
      </c>
    </row>
    <row r="317" spans="1:14" x14ac:dyDescent="0.3">
      <c r="A317" t="s">
        <v>2893</v>
      </c>
      <c r="B317" t="s">
        <v>1070</v>
      </c>
      <c r="C317" s="54">
        <v>0</v>
      </c>
      <c r="D317" s="20">
        <v>1767.39</v>
      </c>
      <c r="E317" s="20">
        <v>3969.22</v>
      </c>
      <c r="F317" s="54">
        <v>-2201.83</v>
      </c>
      <c r="J317" s="67">
        <v>0</v>
      </c>
      <c r="N317">
        <f>_xlfn.XLOOKUP(M317,'QUADROS QUE FALTARAM'!F:F,'QUADROS QUE FALTARAM'!B:B,0)</f>
        <v>0</v>
      </c>
    </row>
    <row r="318" spans="1:14" x14ac:dyDescent="0.3">
      <c r="A318" t="s">
        <v>2894</v>
      </c>
      <c r="B318" t="s">
        <v>1072</v>
      </c>
      <c r="C318" s="54">
        <v>-492668.05</v>
      </c>
      <c r="D318" s="20">
        <v>248527.31</v>
      </c>
      <c r="E318" s="20">
        <v>248036.81</v>
      </c>
      <c r="F318" s="54">
        <v>-492177.55</v>
      </c>
      <c r="J318" s="67">
        <v>0</v>
      </c>
      <c r="N318">
        <f>_xlfn.XLOOKUP(M318,'QUADROS QUE FALTARAM'!F:F,'QUADROS QUE FALTARAM'!B:B,0)</f>
        <v>0</v>
      </c>
    </row>
    <row r="319" spans="1:14" x14ac:dyDescent="0.3">
      <c r="A319" t="s">
        <v>2895</v>
      </c>
      <c r="B319" t="s">
        <v>1075</v>
      </c>
      <c r="C319" s="54">
        <v>-25987.5</v>
      </c>
      <c r="D319" s="20">
        <v>0</v>
      </c>
      <c r="E319" s="20">
        <v>0</v>
      </c>
      <c r="F319" s="54">
        <v>-25987.5</v>
      </c>
      <c r="J319" s="67">
        <v>0</v>
      </c>
      <c r="N319">
        <f>_xlfn.XLOOKUP(M319,'QUADROS QUE FALTARAM'!F:F,'QUADROS QUE FALTARAM'!B:B,0)</f>
        <v>0</v>
      </c>
    </row>
    <row r="320" spans="1:14" x14ac:dyDescent="0.3">
      <c r="A320" t="s">
        <v>2896</v>
      </c>
      <c r="B320" t="s">
        <v>1078</v>
      </c>
      <c r="C320" s="54">
        <v>-1400</v>
      </c>
      <c r="D320" s="20">
        <v>0</v>
      </c>
      <c r="E320" s="20">
        <v>0</v>
      </c>
      <c r="F320" s="54">
        <v>-1400</v>
      </c>
      <c r="J320" s="67">
        <v>0</v>
      </c>
      <c r="N320">
        <f>_xlfn.XLOOKUP(M320,'QUADROS QUE FALTARAM'!F:F,'QUADROS QUE FALTARAM'!B:B,0)</f>
        <v>0</v>
      </c>
    </row>
    <row r="321" spans="1:14" x14ac:dyDescent="0.3">
      <c r="A321" t="s">
        <v>2897</v>
      </c>
      <c r="B321" t="s">
        <v>1081</v>
      </c>
      <c r="C321" s="54">
        <v>-62437.279999999999</v>
      </c>
      <c r="D321" s="20">
        <v>0</v>
      </c>
      <c r="E321" s="20">
        <v>0</v>
      </c>
      <c r="F321" s="54">
        <v>-62437.279999999999</v>
      </c>
      <c r="J321" s="67">
        <v>0</v>
      </c>
      <c r="N321">
        <f>_xlfn.XLOOKUP(M321,'QUADROS QUE FALTARAM'!F:F,'QUADROS QUE FALTARAM'!B:B,0)</f>
        <v>0</v>
      </c>
    </row>
    <row r="322" spans="1:14" x14ac:dyDescent="0.3">
      <c r="A322" t="s">
        <v>2898</v>
      </c>
      <c r="B322" t="s">
        <v>1084</v>
      </c>
      <c r="C322" s="54">
        <v>-2819.35</v>
      </c>
      <c r="D322" s="20">
        <v>26905.5</v>
      </c>
      <c r="E322" s="20">
        <v>24086.15</v>
      </c>
      <c r="F322" s="54">
        <v>0</v>
      </c>
      <c r="J322" s="67">
        <v>0</v>
      </c>
      <c r="N322">
        <f>_xlfn.XLOOKUP(M322,'QUADROS QUE FALTARAM'!F:F,'QUADROS QUE FALTARAM'!B:B,0)</f>
        <v>0</v>
      </c>
    </row>
    <row r="323" spans="1:14" x14ac:dyDescent="0.3">
      <c r="A323" t="s">
        <v>2899</v>
      </c>
      <c r="B323" t="s">
        <v>2237</v>
      </c>
      <c r="C323" s="54">
        <v>0</v>
      </c>
      <c r="D323" s="20">
        <v>2915.52</v>
      </c>
      <c r="E323" s="20">
        <v>2915.52</v>
      </c>
      <c r="F323" s="54">
        <v>0</v>
      </c>
      <c r="J323" s="67" t="s">
        <v>2129</v>
      </c>
      <c r="N323">
        <f>_xlfn.XLOOKUP(M323,'QUADROS QUE FALTARAM'!F:F,'QUADROS QUE FALTARAM'!B:B,0)</f>
        <v>0</v>
      </c>
    </row>
    <row r="324" spans="1:14" x14ac:dyDescent="0.3">
      <c r="A324" t="s">
        <v>2900</v>
      </c>
      <c r="B324" t="s">
        <v>1088</v>
      </c>
      <c r="C324" s="54">
        <v>-581.77</v>
      </c>
      <c r="D324" s="20">
        <v>581.77</v>
      </c>
      <c r="E324" s="20">
        <v>0</v>
      </c>
      <c r="F324" s="54">
        <v>0</v>
      </c>
      <c r="J324" s="67">
        <v>0</v>
      </c>
      <c r="N324">
        <f>_xlfn.XLOOKUP(M324,'QUADROS QUE FALTARAM'!F:F,'QUADROS QUE FALTARAM'!B:B,0)</f>
        <v>0</v>
      </c>
    </row>
    <row r="325" spans="1:14" x14ac:dyDescent="0.3">
      <c r="A325" t="s">
        <v>2901</v>
      </c>
      <c r="B325" t="s">
        <v>1091</v>
      </c>
      <c r="C325" s="54">
        <v>-4568.3999999999996</v>
      </c>
      <c r="D325" s="20">
        <v>0</v>
      </c>
      <c r="E325" s="20">
        <v>0</v>
      </c>
      <c r="F325" s="54">
        <v>-4568.3999999999996</v>
      </c>
      <c r="J325" s="67">
        <v>0</v>
      </c>
      <c r="N325">
        <f>_xlfn.XLOOKUP(M325,'QUADROS QUE FALTARAM'!F:F,'QUADROS QUE FALTARAM'!B:B,0)</f>
        <v>0</v>
      </c>
    </row>
    <row r="326" spans="1:14" x14ac:dyDescent="0.3">
      <c r="A326" t="s">
        <v>2902</v>
      </c>
      <c r="B326" t="s">
        <v>1094</v>
      </c>
      <c r="C326" s="54">
        <v>-307.8</v>
      </c>
      <c r="D326" s="20">
        <v>4669.17</v>
      </c>
      <c r="E326" s="20">
        <v>4361.37</v>
      </c>
      <c r="F326" s="54">
        <v>0</v>
      </c>
      <c r="J326" s="67">
        <v>0</v>
      </c>
      <c r="N326">
        <f>_xlfn.XLOOKUP(M326,'QUADROS QUE FALTARAM'!F:F,'QUADROS QUE FALTARAM'!B:B,0)</f>
        <v>0</v>
      </c>
    </row>
    <row r="327" spans="1:14" x14ac:dyDescent="0.3">
      <c r="A327" t="s">
        <v>2903</v>
      </c>
      <c r="B327" t="s">
        <v>1097</v>
      </c>
      <c r="C327" s="54">
        <v>0</v>
      </c>
      <c r="D327" s="20">
        <v>8294.7800000000007</v>
      </c>
      <c r="E327" s="20">
        <v>8294.7800000000007</v>
      </c>
      <c r="F327" s="54">
        <v>0</v>
      </c>
      <c r="J327" s="67">
        <v>0</v>
      </c>
      <c r="N327">
        <f>_xlfn.XLOOKUP(M327,'QUADROS QUE FALTARAM'!F:F,'QUADROS QUE FALTARAM'!B:B,0)</f>
        <v>0</v>
      </c>
    </row>
    <row r="328" spans="1:14" x14ac:dyDescent="0.3">
      <c r="A328" t="s">
        <v>2904</v>
      </c>
      <c r="B328" t="s">
        <v>1099</v>
      </c>
      <c r="C328" s="54">
        <v>-2162.7399999999998</v>
      </c>
      <c r="D328" s="20">
        <v>0</v>
      </c>
      <c r="E328" s="20">
        <v>0</v>
      </c>
      <c r="F328" s="54">
        <v>-2162.7399999999998</v>
      </c>
      <c r="J328" s="67">
        <v>0</v>
      </c>
      <c r="N328">
        <f>_xlfn.XLOOKUP(M328,'QUADROS QUE FALTARAM'!F:F,'QUADROS QUE FALTARAM'!B:B,0)</f>
        <v>0</v>
      </c>
    </row>
    <row r="329" spans="1:14" x14ac:dyDescent="0.3">
      <c r="A329" t="s">
        <v>2905</v>
      </c>
      <c r="B329" t="s">
        <v>2238</v>
      </c>
      <c r="C329" s="54">
        <v>0</v>
      </c>
      <c r="D329" s="20">
        <v>0</v>
      </c>
      <c r="E329" s="20">
        <v>137959.88</v>
      </c>
      <c r="F329" s="54">
        <v>-137959.88</v>
      </c>
      <c r="J329" s="67" t="s">
        <v>2129</v>
      </c>
      <c r="N329">
        <f>_xlfn.XLOOKUP(M329,'QUADROS QUE FALTARAM'!F:F,'QUADROS QUE FALTARAM'!B:B,0)</f>
        <v>0</v>
      </c>
    </row>
    <row r="330" spans="1:14" x14ac:dyDescent="0.3">
      <c r="A330" t="s">
        <v>2906</v>
      </c>
      <c r="B330" t="s">
        <v>1102</v>
      </c>
      <c r="C330" s="54">
        <v>-125318.97</v>
      </c>
      <c r="D330" s="20">
        <v>478965.41</v>
      </c>
      <c r="E330" s="20">
        <v>479436.12</v>
      </c>
      <c r="F330" s="54">
        <v>-125789.68</v>
      </c>
      <c r="J330" s="67">
        <v>0</v>
      </c>
      <c r="N330">
        <f>_xlfn.XLOOKUP(M330,'QUADROS QUE FALTARAM'!F:F,'QUADROS QUE FALTARAM'!B:B,0)</f>
        <v>0</v>
      </c>
    </row>
    <row r="331" spans="1:14" x14ac:dyDescent="0.3">
      <c r="A331" t="s">
        <v>2907</v>
      </c>
      <c r="B331" t="s">
        <v>1106</v>
      </c>
      <c r="C331" s="54">
        <v>-26560</v>
      </c>
      <c r="D331" s="20">
        <v>12665.5</v>
      </c>
      <c r="E331" s="20">
        <v>0</v>
      </c>
      <c r="F331" s="54">
        <v>-13894.5</v>
      </c>
      <c r="J331" s="67">
        <v>0</v>
      </c>
      <c r="N331">
        <f>_xlfn.XLOOKUP(M331,'QUADROS QUE FALTARAM'!F:F,'QUADROS QUE FALTARAM'!B:B,0)</f>
        <v>0</v>
      </c>
    </row>
    <row r="332" spans="1:14" x14ac:dyDescent="0.3">
      <c r="A332" t="s">
        <v>2908</v>
      </c>
      <c r="B332" t="s">
        <v>1109</v>
      </c>
      <c r="C332" s="54">
        <v>-93760.88</v>
      </c>
      <c r="D332" s="20">
        <v>257.08</v>
      </c>
      <c r="E332" s="20">
        <v>0</v>
      </c>
      <c r="F332" s="54">
        <v>-93503.8</v>
      </c>
      <c r="J332" s="67">
        <v>0</v>
      </c>
      <c r="N332">
        <f>_xlfn.XLOOKUP(M332,'QUADROS QUE FALTARAM'!F:F,'QUADROS QUE FALTARAM'!B:B,0)</f>
        <v>0</v>
      </c>
    </row>
    <row r="333" spans="1:14" x14ac:dyDescent="0.3">
      <c r="A333" t="s">
        <v>2909</v>
      </c>
      <c r="B333" t="s">
        <v>1112</v>
      </c>
      <c r="C333" s="54">
        <v>-50328.58</v>
      </c>
      <c r="D333" s="20">
        <v>8392.76</v>
      </c>
      <c r="E333" s="20">
        <v>0</v>
      </c>
      <c r="F333" s="54">
        <v>-41935.82</v>
      </c>
      <c r="J333" s="67">
        <v>0</v>
      </c>
      <c r="N333">
        <f>_xlfn.XLOOKUP(M333,'QUADROS QUE FALTARAM'!F:F,'QUADROS QUE FALTARAM'!B:B,0)</f>
        <v>0</v>
      </c>
    </row>
    <row r="334" spans="1:14" x14ac:dyDescent="0.3">
      <c r="A334" t="s">
        <v>2910</v>
      </c>
      <c r="B334" t="s">
        <v>1116</v>
      </c>
      <c r="C334" s="54">
        <v>-4377.46</v>
      </c>
      <c r="D334" s="20">
        <v>0</v>
      </c>
      <c r="E334" s="20">
        <v>0</v>
      </c>
      <c r="F334" s="54">
        <v>-4377.46</v>
      </c>
      <c r="J334" s="67">
        <v>0</v>
      </c>
      <c r="N334">
        <f>_xlfn.XLOOKUP(M334,'QUADROS QUE FALTARAM'!F:F,'QUADROS QUE FALTARAM'!B:B,0)</f>
        <v>0</v>
      </c>
    </row>
    <row r="335" spans="1:14" x14ac:dyDescent="0.3">
      <c r="A335" t="s">
        <v>2911</v>
      </c>
      <c r="B335" t="s">
        <v>1119</v>
      </c>
      <c r="C335" s="54">
        <v>-7498.61</v>
      </c>
      <c r="D335" s="20">
        <v>0</v>
      </c>
      <c r="E335" s="20">
        <v>0</v>
      </c>
      <c r="F335" s="54">
        <v>-7498.61</v>
      </c>
      <c r="J335" s="67">
        <v>0</v>
      </c>
      <c r="N335">
        <f>_xlfn.XLOOKUP(M335,'QUADROS QUE FALTARAM'!F:F,'QUADROS QUE FALTARAM'!B:B,0)</f>
        <v>0</v>
      </c>
    </row>
    <row r="336" spans="1:14" x14ac:dyDescent="0.3">
      <c r="A336" t="s">
        <v>2912</v>
      </c>
      <c r="B336" t="s">
        <v>1122</v>
      </c>
      <c r="C336" s="54">
        <v>-57733.22</v>
      </c>
      <c r="D336" s="20">
        <v>0</v>
      </c>
      <c r="E336" s="20">
        <v>0</v>
      </c>
      <c r="F336" s="54">
        <v>-57733.22</v>
      </c>
      <c r="J336" s="67">
        <v>0</v>
      </c>
      <c r="N336">
        <f>_xlfn.XLOOKUP(M336,'QUADROS QUE FALTARAM'!F:F,'QUADROS QUE FALTARAM'!B:B,0)</f>
        <v>0</v>
      </c>
    </row>
    <row r="337" spans="1:14" x14ac:dyDescent="0.3">
      <c r="A337" t="s">
        <v>2913</v>
      </c>
      <c r="B337" t="s">
        <v>1125</v>
      </c>
      <c r="C337" s="54">
        <v>-3140</v>
      </c>
      <c r="D337" s="20">
        <v>0</v>
      </c>
      <c r="E337" s="20">
        <v>0</v>
      </c>
      <c r="F337" s="54">
        <v>-3140</v>
      </c>
      <c r="J337" s="67">
        <v>0</v>
      </c>
      <c r="N337">
        <f>_xlfn.XLOOKUP(M337,'QUADROS QUE FALTARAM'!F:F,'QUADROS QUE FALTARAM'!B:B,0)</f>
        <v>0</v>
      </c>
    </row>
    <row r="338" spans="1:14" x14ac:dyDescent="0.3">
      <c r="A338" t="s">
        <v>2914</v>
      </c>
      <c r="B338" t="s">
        <v>1128</v>
      </c>
      <c r="C338" s="54">
        <v>-8101.4</v>
      </c>
      <c r="D338" s="20">
        <v>0</v>
      </c>
      <c r="E338" s="20">
        <v>0</v>
      </c>
      <c r="F338" s="54">
        <v>-8101.4</v>
      </c>
      <c r="J338" s="67">
        <v>0</v>
      </c>
      <c r="N338">
        <f>_xlfn.XLOOKUP(M338,'QUADROS QUE FALTARAM'!F:F,'QUADROS QUE FALTARAM'!B:B,0)</f>
        <v>0</v>
      </c>
    </row>
    <row r="339" spans="1:14" x14ac:dyDescent="0.3">
      <c r="A339" t="s">
        <v>2915</v>
      </c>
      <c r="B339" t="s">
        <v>1131</v>
      </c>
      <c r="C339" s="54">
        <v>-51272.75</v>
      </c>
      <c r="D339" s="20">
        <v>0</v>
      </c>
      <c r="E339" s="20">
        <v>0</v>
      </c>
      <c r="F339" s="54">
        <v>-51272.75</v>
      </c>
      <c r="J339" s="67">
        <v>0</v>
      </c>
      <c r="N339">
        <f>_xlfn.XLOOKUP(M339,'QUADROS QUE FALTARAM'!F:F,'QUADROS QUE FALTARAM'!B:B,0)</f>
        <v>0</v>
      </c>
    </row>
    <row r="340" spans="1:14" x14ac:dyDescent="0.3">
      <c r="A340" t="s">
        <v>2916</v>
      </c>
      <c r="B340" t="s">
        <v>1134</v>
      </c>
      <c r="C340" s="54">
        <v>-2979.95</v>
      </c>
      <c r="D340" s="20">
        <v>4141</v>
      </c>
      <c r="E340" s="20">
        <v>4141</v>
      </c>
      <c r="F340" s="54">
        <v>-2979.95</v>
      </c>
      <c r="J340" s="67">
        <v>0</v>
      </c>
      <c r="N340">
        <f>_xlfn.XLOOKUP(M340,'QUADROS QUE FALTARAM'!F:F,'QUADROS QUE FALTARAM'!B:B,0)</f>
        <v>0</v>
      </c>
    </row>
    <row r="341" spans="1:14" x14ac:dyDescent="0.3">
      <c r="A341" t="s">
        <v>2917</v>
      </c>
      <c r="B341" t="s">
        <v>1138</v>
      </c>
      <c r="C341" s="54">
        <v>-21663.5</v>
      </c>
      <c r="D341" s="20">
        <v>0</v>
      </c>
      <c r="E341" s="20">
        <v>0</v>
      </c>
      <c r="F341" s="54">
        <v>-21663.5</v>
      </c>
      <c r="J341" s="67">
        <v>0</v>
      </c>
      <c r="N341">
        <f>_xlfn.XLOOKUP(M341,'QUADROS QUE FALTARAM'!F:F,'QUADROS QUE FALTARAM'!B:B,0)</f>
        <v>0</v>
      </c>
    </row>
    <row r="342" spans="1:14" x14ac:dyDescent="0.3">
      <c r="A342" t="s">
        <v>2918</v>
      </c>
      <c r="B342" t="s">
        <v>1143</v>
      </c>
      <c r="C342" s="54">
        <v>0</v>
      </c>
      <c r="D342" s="20">
        <v>11223.17</v>
      </c>
      <c r="E342" s="20">
        <v>11223.17</v>
      </c>
      <c r="F342" s="54">
        <v>0</v>
      </c>
      <c r="J342" s="67">
        <v>0</v>
      </c>
      <c r="N342">
        <f>_xlfn.XLOOKUP(M342,'QUADROS QUE FALTARAM'!F:F,'QUADROS QUE FALTARAM'!B:B,0)</f>
        <v>0</v>
      </c>
    </row>
    <row r="343" spans="1:14" x14ac:dyDescent="0.3">
      <c r="A343" t="s">
        <v>2919</v>
      </c>
      <c r="B343" t="s">
        <v>1145</v>
      </c>
      <c r="C343" s="54">
        <v>-6000</v>
      </c>
      <c r="D343" s="20">
        <v>24000</v>
      </c>
      <c r="E343" s="20">
        <v>18000</v>
      </c>
      <c r="F343" s="54">
        <v>0</v>
      </c>
      <c r="J343" s="67">
        <v>0</v>
      </c>
      <c r="N343">
        <f>_xlfn.XLOOKUP(M343,'QUADROS QUE FALTARAM'!F:F,'QUADROS QUE FALTARAM'!B:B,0)</f>
        <v>0</v>
      </c>
    </row>
    <row r="344" spans="1:14" x14ac:dyDescent="0.3">
      <c r="A344" t="s">
        <v>2920</v>
      </c>
      <c r="B344" t="s">
        <v>1149</v>
      </c>
      <c r="C344" s="54">
        <v>-6860</v>
      </c>
      <c r="D344" s="20">
        <v>0</v>
      </c>
      <c r="E344" s="20">
        <v>0</v>
      </c>
      <c r="F344" s="54">
        <v>-6860</v>
      </c>
      <c r="J344" s="67">
        <v>0</v>
      </c>
      <c r="N344">
        <f>_xlfn.XLOOKUP(M344,'QUADROS QUE FALTARAM'!F:F,'QUADROS QUE FALTARAM'!B:B,0)</f>
        <v>0</v>
      </c>
    </row>
    <row r="345" spans="1:14" x14ac:dyDescent="0.3">
      <c r="A345" t="s">
        <v>2921</v>
      </c>
      <c r="B345" t="s">
        <v>1152</v>
      </c>
      <c r="C345" s="54">
        <v>-8126.96</v>
      </c>
      <c r="D345" s="20">
        <v>0</v>
      </c>
      <c r="E345" s="20">
        <v>0</v>
      </c>
      <c r="F345" s="54">
        <v>-8126.96</v>
      </c>
      <c r="J345" s="67">
        <v>0</v>
      </c>
      <c r="N345">
        <f>_xlfn.XLOOKUP(M345,'QUADROS QUE FALTARAM'!F:F,'QUADROS QUE FALTARAM'!B:B,0)</f>
        <v>0</v>
      </c>
    </row>
    <row r="346" spans="1:14" x14ac:dyDescent="0.3">
      <c r="A346" t="s">
        <v>2922</v>
      </c>
      <c r="B346" t="s">
        <v>1155</v>
      </c>
      <c r="C346" s="54">
        <v>-6400.35</v>
      </c>
      <c r="D346" s="20">
        <v>0</v>
      </c>
      <c r="E346" s="20">
        <v>0</v>
      </c>
      <c r="F346" s="54">
        <v>-6400.35</v>
      </c>
      <c r="J346" s="67">
        <v>0</v>
      </c>
      <c r="N346">
        <f>_xlfn.XLOOKUP(M346,'QUADROS QUE FALTARAM'!F:F,'QUADROS QUE FALTARAM'!B:B,0)</f>
        <v>0</v>
      </c>
    </row>
    <row r="347" spans="1:14" x14ac:dyDescent="0.3">
      <c r="A347" t="s">
        <v>2923</v>
      </c>
      <c r="B347" t="s">
        <v>1158</v>
      </c>
      <c r="C347" s="54">
        <v>-5880</v>
      </c>
      <c r="D347" s="20">
        <v>0</v>
      </c>
      <c r="E347" s="20">
        <v>0</v>
      </c>
      <c r="F347" s="54">
        <v>-5880</v>
      </c>
      <c r="J347" s="67">
        <v>0</v>
      </c>
      <c r="N347">
        <f>_xlfn.XLOOKUP(M347,'QUADROS QUE FALTARAM'!F:F,'QUADROS QUE FALTARAM'!B:B,0)</f>
        <v>0</v>
      </c>
    </row>
    <row r="348" spans="1:14" x14ac:dyDescent="0.3">
      <c r="A348" t="s">
        <v>2924</v>
      </c>
      <c r="B348" t="s">
        <v>1161</v>
      </c>
      <c r="C348" s="54">
        <v>-1359.98</v>
      </c>
      <c r="D348" s="20">
        <v>1359.98</v>
      </c>
      <c r="E348" s="20">
        <v>0</v>
      </c>
      <c r="F348" s="54">
        <v>0</v>
      </c>
      <c r="J348" s="67">
        <v>0</v>
      </c>
      <c r="N348">
        <f>_xlfn.XLOOKUP(M348,'QUADROS QUE FALTARAM'!F:F,'QUADROS QUE FALTARAM'!B:B,0)</f>
        <v>0</v>
      </c>
    </row>
    <row r="349" spans="1:14" x14ac:dyDescent="0.3">
      <c r="A349" t="s">
        <v>2925</v>
      </c>
      <c r="B349" t="s">
        <v>1164</v>
      </c>
      <c r="C349" s="54">
        <v>-16000</v>
      </c>
      <c r="D349" s="20">
        <v>0</v>
      </c>
      <c r="E349" s="20">
        <v>0</v>
      </c>
      <c r="F349" s="54">
        <v>-16000</v>
      </c>
      <c r="J349" s="67">
        <v>0</v>
      </c>
      <c r="N349">
        <f>_xlfn.XLOOKUP(M349,'QUADROS QUE FALTARAM'!F:F,'QUADROS QUE FALTARAM'!B:B,0)</f>
        <v>0</v>
      </c>
    </row>
    <row r="350" spans="1:14" x14ac:dyDescent="0.3">
      <c r="A350" t="s">
        <v>2926</v>
      </c>
      <c r="B350" t="s">
        <v>1167</v>
      </c>
      <c r="C350" s="54">
        <v>-20834.7</v>
      </c>
      <c r="D350" s="20">
        <v>0</v>
      </c>
      <c r="E350" s="20">
        <v>0</v>
      </c>
      <c r="F350" s="54">
        <v>-20834.7</v>
      </c>
      <c r="J350" s="67">
        <v>0</v>
      </c>
      <c r="N350">
        <f>_xlfn.XLOOKUP(M350,'QUADROS QUE FALTARAM'!F:F,'QUADROS QUE FALTARAM'!B:B,0)</f>
        <v>0</v>
      </c>
    </row>
    <row r="351" spans="1:14" x14ac:dyDescent="0.3">
      <c r="A351" t="s">
        <v>2927</v>
      </c>
      <c r="B351" t="s">
        <v>1170</v>
      </c>
      <c r="C351" s="54">
        <v>-8108.32</v>
      </c>
      <c r="D351" s="20">
        <v>0</v>
      </c>
      <c r="E351" s="20">
        <v>0</v>
      </c>
      <c r="F351" s="54">
        <v>-8108.32</v>
      </c>
      <c r="J351" s="67">
        <v>0</v>
      </c>
      <c r="N351">
        <f>_xlfn.XLOOKUP(M351,'QUADROS QUE FALTARAM'!F:F,'QUADROS QUE FALTARAM'!B:B,0)</f>
        <v>0</v>
      </c>
    </row>
    <row r="352" spans="1:14" x14ac:dyDescent="0.3">
      <c r="A352" t="s">
        <v>2928</v>
      </c>
      <c r="B352" t="s">
        <v>1173</v>
      </c>
      <c r="C352" s="54">
        <v>-4251.3</v>
      </c>
      <c r="D352" s="20">
        <v>15981.35</v>
      </c>
      <c r="E352" s="20">
        <v>11730.05</v>
      </c>
      <c r="F352" s="54">
        <v>0</v>
      </c>
      <c r="J352" s="67">
        <v>0</v>
      </c>
      <c r="N352">
        <f>_xlfn.XLOOKUP(M352,'QUADROS QUE FALTARAM'!F:F,'QUADROS QUE FALTARAM'!B:B,0)</f>
        <v>0</v>
      </c>
    </row>
    <row r="353" spans="1:14" x14ac:dyDescent="0.3">
      <c r="A353" t="s">
        <v>2929</v>
      </c>
      <c r="B353" t="s">
        <v>1177</v>
      </c>
      <c r="C353" s="54">
        <v>-4000</v>
      </c>
      <c r="D353" s="20">
        <v>0</v>
      </c>
      <c r="E353" s="20">
        <v>0</v>
      </c>
      <c r="F353" s="54">
        <v>-4000</v>
      </c>
      <c r="J353" s="67">
        <v>0</v>
      </c>
      <c r="N353">
        <f>_xlfn.XLOOKUP(M353,'QUADROS QUE FALTARAM'!F:F,'QUADROS QUE FALTARAM'!B:B,0)</f>
        <v>0</v>
      </c>
    </row>
    <row r="354" spans="1:14" x14ac:dyDescent="0.3">
      <c r="A354" t="s">
        <v>2930</v>
      </c>
      <c r="B354" t="s">
        <v>1180</v>
      </c>
      <c r="C354" s="54">
        <v>-116462.14</v>
      </c>
      <c r="D354" s="20">
        <v>166767.41</v>
      </c>
      <c r="E354" s="20">
        <v>50305.27</v>
      </c>
      <c r="F354" s="54">
        <v>0</v>
      </c>
      <c r="J354" s="67">
        <v>0</v>
      </c>
      <c r="N354">
        <f>_xlfn.XLOOKUP(M354,'QUADROS QUE FALTARAM'!F:F,'QUADROS QUE FALTARAM'!B:B,0)</f>
        <v>0</v>
      </c>
    </row>
    <row r="355" spans="1:14" x14ac:dyDescent="0.3">
      <c r="A355" t="s">
        <v>2931</v>
      </c>
      <c r="B355" t="s">
        <v>1183</v>
      </c>
      <c r="C355" s="54">
        <v>-11074.28</v>
      </c>
      <c r="D355" s="20">
        <v>0</v>
      </c>
      <c r="E355" s="20">
        <v>0</v>
      </c>
      <c r="F355" s="54">
        <v>-11074.28</v>
      </c>
      <c r="J355" s="67">
        <v>0</v>
      </c>
      <c r="N355">
        <f>_xlfn.XLOOKUP(M355,'QUADROS QUE FALTARAM'!F:F,'QUADROS QUE FALTARAM'!B:B,0)</f>
        <v>0</v>
      </c>
    </row>
    <row r="356" spans="1:14" x14ac:dyDescent="0.3">
      <c r="A356" t="s">
        <v>2932</v>
      </c>
      <c r="B356" t="s">
        <v>1186</v>
      </c>
      <c r="C356" s="54">
        <v>-16.47</v>
      </c>
      <c r="D356" s="20">
        <v>371.85</v>
      </c>
      <c r="E356" s="20">
        <v>355.38</v>
      </c>
      <c r="F356" s="54">
        <v>0</v>
      </c>
      <c r="J356" s="67">
        <v>0</v>
      </c>
      <c r="N356">
        <f>_xlfn.XLOOKUP(M356,'QUADROS QUE FALTARAM'!F:F,'QUADROS QUE FALTARAM'!B:B,0)</f>
        <v>0</v>
      </c>
    </row>
    <row r="357" spans="1:14" x14ac:dyDescent="0.3">
      <c r="A357" t="s">
        <v>2933</v>
      </c>
      <c r="B357" t="s">
        <v>1190</v>
      </c>
      <c r="C357" s="54">
        <v>0</v>
      </c>
      <c r="D357" s="20">
        <v>29443.7</v>
      </c>
      <c r="E357" s="20">
        <v>29443.7</v>
      </c>
      <c r="F357" s="54">
        <v>0</v>
      </c>
      <c r="J357" s="67">
        <v>0</v>
      </c>
      <c r="N357">
        <f>_xlfn.XLOOKUP(M357,'QUADROS QUE FALTARAM'!F:F,'QUADROS QUE FALTARAM'!B:B,0)</f>
        <v>0</v>
      </c>
    </row>
    <row r="358" spans="1:14" x14ac:dyDescent="0.3">
      <c r="A358" t="s">
        <v>2934</v>
      </c>
      <c r="B358" t="s">
        <v>1194</v>
      </c>
      <c r="C358" s="54">
        <v>-3251.01</v>
      </c>
      <c r="D358" s="20">
        <v>0</v>
      </c>
      <c r="E358" s="20">
        <v>0</v>
      </c>
      <c r="F358" s="54">
        <v>-3251.01</v>
      </c>
      <c r="J358" s="67">
        <v>0</v>
      </c>
      <c r="N358">
        <f>_xlfn.XLOOKUP(M358,'QUADROS QUE FALTARAM'!F:F,'QUADROS QUE FALTARAM'!B:B,0)</f>
        <v>0</v>
      </c>
    </row>
    <row r="359" spans="1:14" x14ac:dyDescent="0.3">
      <c r="A359" t="s">
        <v>2935</v>
      </c>
      <c r="B359" t="s">
        <v>1197</v>
      </c>
      <c r="C359" s="54">
        <v>-1664.6</v>
      </c>
      <c r="D359" s="20">
        <v>115</v>
      </c>
      <c r="E359" s="20">
        <v>0</v>
      </c>
      <c r="F359" s="54">
        <v>-1549.6</v>
      </c>
      <c r="J359" s="67">
        <v>0</v>
      </c>
      <c r="N359">
        <f>_xlfn.XLOOKUP(M359,'QUADROS QUE FALTARAM'!F:F,'QUADROS QUE FALTARAM'!B:B,0)</f>
        <v>0</v>
      </c>
    </row>
    <row r="360" spans="1:14" x14ac:dyDescent="0.3">
      <c r="A360" t="s">
        <v>2937</v>
      </c>
      <c r="B360" t="s">
        <v>1201</v>
      </c>
      <c r="C360" s="54">
        <v>-42000</v>
      </c>
      <c r="D360" s="20">
        <v>28500</v>
      </c>
      <c r="E360" s="20">
        <v>0</v>
      </c>
      <c r="F360" s="54">
        <v>-13500</v>
      </c>
      <c r="J360" s="67">
        <v>0</v>
      </c>
      <c r="N360">
        <f>_xlfn.XLOOKUP(M360,'QUADROS QUE FALTARAM'!F:F,'QUADROS QUE FALTARAM'!B:B,0)</f>
        <v>0</v>
      </c>
    </row>
    <row r="361" spans="1:14" x14ac:dyDescent="0.3">
      <c r="A361" t="s">
        <v>2938</v>
      </c>
      <c r="B361" t="s">
        <v>1204</v>
      </c>
      <c r="C361" s="54">
        <v>-46039.61</v>
      </c>
      <c r="D361" s="20">
        <v>688883.83</v>
      </c>
      <c r="E361" s="20">
        <v>642844.22</v>
      </c>
      <c r="F361" s="54">
        <v>0</v>
      </c>
      <c r="J361" s="67">
        <v>0</v>
      </c>
      <c r="N361">
        <f>_xlfn.XLOOKUP(M361,'QUADROS QUE FALTARAM'!F:F,'QUADROS QUE FALTARAM'!B:B,0)</f>
        <v>0</v>
      </c>
    </row>
    <row r="362" spans="1:14" x14ac:dyDescent="0.3">
      <c r="A362" t="s">
        <v>2939</v>
      </c>
      <c r="B362" t="s">
        <v>1207</v>
      </c>
      <c r="C362" s="54">
        <v>0</v>
      </c>
      <c r="D362" s="20">
        <v>30812.5</v>
      </c>
      <c r="E362" s="20">
        <v>30812.5</v>
      </c>
      <c r="F362" s="54">
        <v>0</v>
      </c>
      <c r="J362" s="67">
        <v>0</v>
      </c>
      <c r="N362">
        <f>_xlfn.XLOOKUP(M362,'QUADROS QUE FALTARAM'!F:F,'QUADROS QUE FALTARAM'!B:B,0)</f>
        <v>0</v>
      </c>
    </row>
    <row r="363" spans="1:14" x14ac:dyDescent="0.3">
      <c r="A363" t="s">
        <v>2940</v>
      </c>
      <c r="B363" t="s">
        <v>1213</v>
      </c>
      <c r="C363" s="54">
        <v>0</v>
      </c>
      <c r="D363" s="20">
        <v>19069.45</v>
      </c>
      <c r="E363" s="20">
        <v>19069.45</v>
      </c>
      <c r="F363" s="54">
        <v>0</v>
      </c>
      <c r="J363" s="67">
        <v>0</v>
      </c>
      <c r="N363">
        <f>_xlfn.XLOOKUP(M363,'QUADROS QUE FALTARAM'!F:F,'QUADROS QUE FALTARAM'!B:B,0)</f>
        <v>0</v>
      </c>
    </row>
    <row r="364" spans="1:14" x14ac:dyDescent="0.3">
      <c r="A364" t="s">
        <v>2941</v>
      </c>
      <c r="B364" t="s">
        <v>1220</v>
      </c>
      <c r="C364" s="54">
        <v>-51765.93</v>
      </c>
      <c r="D364" s="20">
        <v>469671.24</v>
      </c>
      <c r="E364" s="20">
        <v>417905.31</v>
      </c>
      <c r="F364" s="54">
        <v>0</v>
      </c>
      <c r="J364" s="67">
        <v>0</v>
      </c>
      <c r="N364">
        <f>_xlfn.XLOOKUP(M364,'QUADROS QUE FALTARAM'!F:F,'QUADROS QUE FALTARAM'!B:B,0)</f>
        <v>0</v>
      </c>
    </row>
    <row r="365" spans="1:14" x14ac:dyDescent="0.3">
      <c r="A365" t="s">
        <v>2942</v>
      </c>
      <c r="B365" t="s">
        <v>1227</v>
      </c>
      <c r="C365" s="54">
        <v>-38200</v>
      </c>
      <c r="D365" s="20">
        <v>56125.35</v>
      </c>
      <c r="E365" s="20">
        <v>17925.349999999999</v>
      </c>
      <c r="F365" s="54">
        <v>0</v>
      </c>
      <c r="J365" s="67">
        <v>0</v>
      </c>
      <c r="N365">
        <f>_xlfn.XLOOKUP(M365,'QUADROS QUE FALTARAM'!F:F,'QUADROS QUE FALTARAM'!B:B,0)</f>
        <v>0</v>
      </c>
    </row>
    <row r="366" spans="1:14" x14ac:dyDescent="0.3">
      <c r="A366" t="s">
        <v>2943</v>
      </c>
      <c r="B366" t="s">
        <v>1232</v>
      </c>
      <c r="C366" s="54">
        <v>0</v>
      </c>
      <c r="D366" s="20">
        <v>5088.68</v>
      </c>
      <c r="E366" s="20">
        <v>5088.68</v>
      </c>
      <c r="F366" s="54">
        <v>0</v>
      </c>
      <c r="J366" s="67">
        <v>0</v>
      </c>
      <c r="N366">
        <f>_xlfn.XLOOKUP(M366,'QUADROS QUE FALTARAM'!F:F,'QUADROS QUE FALTARAM'!B:B,0)</f>
        <v>0</v>
      </c>
    </row>
    <row r="367" spans="1:14" x14ac:dyDescent="0.3">
      <c r="A367" t="s">
        <v>2944</v>
      </c>
      <c r="B367" t="s">
        <v>1234</v>
      </c>
      <c r="C367" s="54">
        <v>-171000</v>
      </c>
      <c r="D367" s="20">
        <v>171000</v>
      </c>
      <c r="E367" s="20">
        <v>0</v>
      </c>
      <c r="F367" s="54">
        <v>0</v>
      </c>
      <c r="J367" s="67">
        <v>0</v>
      </c>
      <c r="N367">
        <f>_xlfn.XLOOKUP(M367,'QUADROS QUE FALTARAM'!F:F,'QUADROS QUE FALTARAM'!B:B,0)</f>
        <v>0</v>
      </c>
    </row>
    <row r="368" spans="1:14" x14ac:dyDescent="0.3">
      <c r="A368" t="s">
        <v>2945</v>
      </c>
      <c r="B368" t="s">
        <v>2245</v>
      </c>
      <c r="C368" s="54">
        <v>0</v>
      </c>
      <c r="D368" s="20">
        <v>21160</v>
      </c>
      <c r="E368" s="20">
        <v>21160</v>
      </c>
      <c r="F368" s="54">
        <v>0</v>
      </c>
      <c r="J368" s="67" t="s">
        <v>2129</v>
      </c>
      <c r="N368">
        <f>_xlfn.XLOOKUP(M368,'QUADROS QUE FALTARAM'!F:F,'QUADROS QUE FALTARAM'!B:B,0)</f>
        <v>0</v>
      </c>
    </row>
    <row r="369" spans="1:14" x14ac:dyDescent="0.3">
      <c r="A369" t="s">
        <v>2946</v>
      </c>
      <c r="B369" t="s">
        <v>2246</v>
      </c>
      <c r="C369" s="54">
        <v>0</v>
      </c>
      <c r="D369" s="20">
        <v>1208</v>
      </c>
      <c r="E369" s="20">
        <v>1208</v>
      </c>
      <c r="F369" s="54">
        <v>0</v>
      </c>
      <c r="J369" s="67" t="s">
        <v>2129</v>
      </c>
      <c r="N369">
        <f>_xlfn.XLOOKUP(M369,'QUADROS QUE FALTARAM'!F:F,'QUADROS QUE FALTARAM'!B:B,0)</f>
        <v>0</v>
      </c>
    </row>
    <row r="370" spans="1:14" x14ac:dyDescent="0.3">
      <c r="A370" t="s">
        <v>2947</v>
      </c>
      <c r="B370" t="s">
        <v>2247</v>
      </c>
      <c r="C370" s="54">
        <v>0</v>
      </c>
      <c r="D370" s="20">
        <v>984.49</v>
      </c>
      <c r="E370" s="20">
        <v>984.49</v>
      </c>
      <c r="F370" s="54">
        <v>0</v>
      </c>
      <c r="J370" s="67" t="s">
        <v>2129</v>
      </c>
      <c r="N370">
        <f>_xlfn.XLOOKUP(M370,'QUADROS QUE FALTARAM'!F:F,'QUADROS QUE FALTARAM'!B:B,0)</f>
        <v>0</v>
      </c>
    </row>
    <row r="371" spans="1:14" x14ac:dyDescent="0.3">
      <c r="A371" t="s">
        <v>2948</v>
      </c>
      <c r="B371" t="s">
        <v>2248</v>
      </c>
      <c r="C371" s="54">
        <v>0</v>
      </c>
      <c r="D371" s="20">
        <v>1286.1300000000001</v>
      </c>
      <c r="E371" s="20">
        <v>1286.1300000000001</v>
      </c>
      <c r="F371" s="54">
        <v>0</v>
      </c>
      <c r="J371" s="67" t="s">
        <v>2129</v>
      </c>
      <c r="N371">
        <f>_xlfn.XLOOKUP(M371,'QUADROS QUE FALTARAM'!F:F,'QUADROS QUE FALTARAM'!B:B,0)</f>
        <v>0</v>
      </c>
    </row>
    <row r="372" spans="1:14" x14ac:dyDescent="0.3">
      <c r="A372" t="s">
        <v>2949</v>
      </c>
      <c r="B372" t="s">
        <v>2249</v>
      </c>
      <c r="C372" s="54">
        <v>0</v>
      </c>
      <c r="D372" s="20">
        <v>18166.650000000001</v>
      </c>
      <c r="E372" s="20">
        <v>18166.650000000001</v>
      </c>
      <c r="F372" s="54">
        <v>0</v>
      </c>
      <c r="J372" s="67" t="s">
        <v>2129</v>
      </c>
      <c r="N372">
        <f>_xlfn.XLOOKUP(M372,'QUADROS QUE FALTARAM'!F:F,'QUADROS QUE FALTARAM'!B:B,0)</f>
        <v>0</v>
      </c>
    </row>
    <row r="373" spans="1:14" x14ac:dyDescent="0.3">
      <c r="A373" t="s">
        <v>2950</v>
      </c>
      <c r="B373" t="s">
        <v>2250</v>
      </c>
      <c r="C373" s="54">
        <v>0</v>
      </c>
      <c r="D373" s="20">
        <v>392.07</v>
      </c>
      <c r="E373" s="20">
        <v>392.07</v>
      </c>
      <c r="F373" s="54">
        <v>0</v>
      </c>
      <c r="J373" s="67" t="s">
        <v>2129</v>
      </c>
      <c r="N373">
        <f>_xlfn.XLOOKUP(M373,'QUADROS QUE FALTARAM'!F:F,'QUADROS QUE FALTARAM'!B:B,0)</f>
        <v>0</v>
      </c>
    </row>
    <row r="374" spans="1:14" x14ac:dyDescent="0.3">
      <c r="A374" t="s">
        <v>2951</v>
      </c>
      <c r="B374" t="s">
        <v>2251</v>
      </c>
      <c r="C374" s="54">
        <v>0</v>
      </c>
      <c r="D374" s="20">
        <v>439.8</v>
      </c>
      <c r="E374" s="20">
        <v>439.8</v>
      </c>
      <c r="F374" s="54">
        <v>0</v>
      </c>
      <c r="J374" s="67" t="s">
        <v>2129</v>
      </c>
      <c r="N374">
        <f>_xlfn.XLOOKUP(M374,'QUADROS QUE FALTARAM'!F:F,'QUADROS QUE FALTARAM'!B:B,0)</f>
        <v>0</v>
      </c>
    </row>
    <row r="375" spans="1:14" x14ac:dyDescent="0.3">
      <c r="A375" t="s">
        <v>2952</v>
      </c>
      <c r="B375" t="s">
        <v>2252</v>
      </c>
      <c r="C375" s="54">
        <v>0</v>
      </c>
      <c r="D375" s="20">
        <v>49129.94</v>
      </c>
      <c r="E375" s="20">
        <v>158428.69</v>
      </c>
      <c r="F375" s="54">
        <v>-109298.75</v>
      </c>
      <c r="J375" s="67" t="s">
        <v>2129</v>
      </c>
      <c r="N375">
        <f>_xlfn.XLOOKUP(M375,'QUADROS QUE FALTARAM'!F:F,'QUADROS QUE FALTARAM'!B:B,0)</f>
        <v>0</v>
      </c>
    </row>
    <row r="376" spans="1:14" x14ac:dyDescent="0.3">
      <c r="A376" t="s">
        <v>2953</v>
      </c>
      <c r="B376" t="s">
        <v>2254</v>
      </c>
      <c r="C376" s="54">
        <v>0</v>
      </c>
      <c r="D376" s="20">
        <v>6568.5</v>
      </c>
      <c r="E376" s="20">
        <v>6568.5</v>
      </c>
      <c r="F376" s="54">
        <v>0</v>
      </c>
      <c r="J376" s="67" t="s">
        <v>2129</v>
      </c>
      <c r="N376">
        <f>_xlfn.XLOOKUP(M376,'QUADROS QUE FALTARAM'!F:F,'QUADROS QUE FALTARAM'!B:B,0)</f>
        <v>0</v>
      </c>
    </row>
    <row r="377" spans="1:14" x14ac:dyDescent="0.3">
      <c r="A377" t="s">
        <v>2954</v>
      </c>
      <c r="B377" t="s">
        <v>2255</v>
      </c>
      <c r="C377" s="54">
        <v>0</v>
      </c>
      <c r="D377" s="20">
        <v>95640.86</v>
      </c>
      <c r="E377" s="20">
        <v>95640.86</v>
      </c>
      <c r="F377" s="54">
        <v>0</v>
      </c>
      <c r="J377" s="67" t="s">
        <v>2129</v>
      </c>
      <c r="N377">
        <f>_xlfn.XLOOKUP(M377,'QUADROS QUE FALTARAM'!F:F,'QUADROS QUE FALTARAM'!B:B,0)</f>
        <v>0</v>
      </c>
    </row>
    <row r="378" spans="1:14" x14ac:dyDescent="0.3">
      <c r="A378" s="1" t="s">
        <v>2955</v>
      </c>
      <c r="B378" s="1" t="s">
        <v>1237</v>
      </c>
      <c r="C378" s="59">
        <v>-22971.95</v>
      </c>
      <c r="D378" s="62">
        <v>18156</v>
      </c>
      <c r="E378" s="62">
        <v>20136</v>
      </c>
      <c r="F378" s="59">
        <v>-24951.95</v>
      </c>
      <c r="J378" s="67">
        <v>0</v>
      </c>
      <c r="N378">
        <f>_xlfn.XLOOKUP(M378,'QUADROS QUE FALTARAM'!F:F,'QUADROS QUE FALTARAM'!B:B,0)</f>
        <v>0</v>
      </c>
    </row>
    <row r="379" spans="1:14" x14ac:dyDescent="0.3">
      <c r="A379" t="s">
        <v>2957</v>
      </c>
      <c r="B379" t="s">
        <v>1241</v>
      </c>
      <c r="C379" s="54">
        <v>-2206.9499999999998</v>
      </c>
      <c r="D379" s="20">
        <v>0</v>
      </c>
      <c r="E379" s="20">
        <v>0</v>
      </c>
      <c r="F379" s="54">
        <v>-2206.9499999999998</v>
      </c>
      <c r="J379" s="67">
        <v>0</v>
      </c>
      <c r="N379">
        <f>_xlfn.XLOOKUP(M379,'QUADROS QUE FALTARAM'!F:F,'QUADROS QUE FALTARAM'!B:B,0)</f>
        <v>0</v>
      </c>
    </row>
    <row r="380" spans="1:14" x14ac:dyDescent="0.3">
      <c r="A380" t="s">
        <v>2958</v>
      </c>
      <c r="B380" t="s">
        <v>1244</v>
      </c>
      <c r="C380" s="54">
        <v>-20765</v>
      </c>
      <c r="D380" s="20">
        <v>0</v>
      </c>
      <c r="E380" s="20">
        <v>0</v>
      </c>
      <c r="F380" s="54">
        <v>-20765</v>
      </c>
      <c r="J380" s="67">
        <v>0</v>
      </c>
      <c r="N380">
        <f>_xlfn.XLOOKUP(M380,'QUADROS QUE FALTARAM'!F:F,'QUADROS QUE FALTARAM'!B:B,0)</f>
        <v>0</v>
      </c>
    </row>
    <row r="381" spans="1:14" x14ac:dyDescent="0.3">
      <c r="A381" s="194" t="s">
        <v>2959</v>
      </c>
      <c r="B381" t="s">
        <v>2256</v>
      </c>
      <c r="C381" s="54">
        <v>0</v>
      </c>
      <c r="D381" s="193">
        <v>18156</v>
      </c>
      <c r="E381" s="193">
        <v>18156</v>
      </c>
      <c r="F381" s="54">
        <v>0</v>
      </c>
      <c r="J381" s="67" t="s">
        <v>2129</v>
      </c>
      <c r="N381">
        <f>_xlfn.XLOOKUP(M381,'QUADROS QUE FALTARAM'!F:F,'QUADROS QUE FALTARAM'!B:B,0)</f>
        <v>0</v>
      </c>
    </row>
    <row r="382" spans="1:14" x14ac:dyDescent="0.3">
      <c r="A382" t="s">
        <v>2960</v>
      </c>
      <c r="B382" t="s">
        <v>2257</v>
      </c>
      <c r="C382" s="54">
        <v>0</v>
      </c>
      <c r="D382" s="20">
        <v>0</v>
      </c>
      <c r="E382" s="20">
        <v>1980</v>
      </c>
      <c r="F382" s="54">
        <v>-1980</v>
      </c>
      <c r="J382" s="67" t="s">
        <v>2129</v>
      </c>
      <c r="N382">
        <f>_xlfn.XLOOKUP(M382,'QUADROS QUE FALTARAM'!F:F,'QUADROS QUE FALTARAM'!B:B,0)</f>
        <v>0</v>
      </c>
    </row>
    <row r="383" spans="1:14" x14ac:dyDescent="0.3">
      <c r="A383" s="1" t="s">
        <v>2961</v>
      </c>
      <c r="B383" s="1" t="s">
        <v>1247</v>
      </c>
      <c r="C383" s="59">
        <v>-159626.37</v>
      </c>
      <c r="D383" s="62">
        <v>9870303.6500000004</v>
      </c>
      <c r="E383" s="62">
        <v>9795740.3800000008</v>
      </c>
      <c r="F383" s="59">
        <v>-85063.1</v>
      </c>
      <c r="J383" s="67">
        <v>0</v>
      </c>
      <c r="N383">
        <f>_xlfn.XLOOKUP(M383,'QUADROS QUE FALTARAM'!F:F,'QUADROS QUE FALTARAM'!B:B,0)</f>
        <v>0</v>
      </c>
    </row>
    <row r="384" spans="1:14" x14ac:dyDescent="0.3">
      <c r="A384" s="1" t="s">
        <v>2964</v>
      </c>
      <c r="B384" s="1" t="s">
        <v>1250</v>
      </c>
      <c r="C384" s="59">
        <v>-80062.77</v>
      </c>
      <c r="D384" s="62">
        <v>9781109.4100000001</v>
      </c>
      <c r="E384" s="62">
        <v>9705752.5399999991</v>
      </c>
      <c r="F384" s="59">
        <v>-4705.8999999999996</v>
      </c>
      <c r="J384" s="67">
        <v>0</v>
      </c>
      <c r="N384">
        <f>_xlfn.XLOOKUP(M384,'QUADROS QUE FALTARAM'!F:F,'QUADROS QUE FALTARAM'!B:B,0)</f>
        <v>0</v>
      </c>
    </row>
    <row r="385" spans="1:14" x14ac:dyDescent="0.3">
      <c r="A385" t="s">
        <v>2966</v>
      </c>
      <c r="B385" t="s">
        <v>1254</v>
      </c>
      <c r="C385" s="54">
        <v>0</v>
      </c>
      <c r="D385" s="20">
        <v>458246.33</v>
      </c>
      <c r="E385" s="20">
        <v>458246.33</v>
      </c>
      <c r="F385" s="54">
        <v>0</v>
      </c>
      <c r="J385" s="67">
        <v>0</v>
      </c>
      <c r="N385">
        <f>_xlfn.XLOOKUP(M385,'QUADROS QUE FALTARAM'!F:F,'QUADROS QUE FALTARAM'!B:B,0)</f>
        <v>0</v>
      </c>
    </row>
    <row r="386" spans="1:14" x14ac:dyDescent="0.3">
      <c r="A386" t="s">
        <v>2967</v>
      </c>
      <c r="B386" t="s">
        <v>1256</v>
      </c>
      <c r="C386" s="54">
        <v>0</v>
      </c>
      <c r="D386" s="20">
        <v>415444.22</v>
      </c>
      <c r="E386" s="20">
        <v>415444.22</v>
      </c>
      <c r="F386" s="54">
        <v>0</v>
      </c>
      <c r="J386" s="67">
        <v>0</v>
      </c>
      <c r="N386">
        <f>_xlfn.XLOOKUP(M386,'QUADROS QUE FALTARAM'!F:F,'QUADROS QUE FALTARAM'!B:B,0)</f>
        <v>0</v>
      </c>
    </row>
    <row r="387" spans="1:14" x14ac:dyDescent="0.3">
      <c r="A387" t="s">
        <v>2968</v>
      </c>
      <c r="B387" t="s">
        <v>1258</v>
      </c>
      <c r="C387" s="54">
        <v>-56302.51</v>
      </c>
      <c r="D387" s="20">
        <v>5068929.4800000004</v>
      </c>
      <c r="E387" s="20">
        <v>5012626.97</v>
      </c>
      <c r="F387" s="54">
        <v>0</v>
      </c>
      <c r="J387" s="67">
        <v>0</v>
      </c>
      <c r="N387">
        <f>_xlfn.XLOOKUP(M387,'QUADROS QUE FALTARAM'!F:F,'QUADROS QUE FALTARAM'!B:B,0)</f>
        <v>0</v>
      </c>
    </row>
    <row r="388" spans="1:14" x14ac:dyDescent="0.3">
      <c r="A388" t="s">
        <v>2969</v>
      </c>
      <c r="B388" t="s">
        <v>1261</v>
      </c>
      <c r="C388" s="54">
        <v>-15231.78</v>
      </c>
      <c r="D388" s="20">
        <v>1962874.66</v>
      </c>
      <c r="E388" s="20">
        <v>1947642.8799999999</v>
      </c>
      <c r="F388" s="54">
        <v>0</v>
      </c>
      <c r="J388" s="67">
        <v>0</v>
      </c>
      <c r="N388">
        <f>_xlfn.XLOOKUP(M388,'QUADROS QUE FALTARAM'!F:F,'QUADROS QUE FALTARAM'!B:B,0)</f>
        <v>0</v>
      </c>
    </row>
    <row r="389" spans="1:14" x14ac:dyDescent="0.3">
      <c r="A389" t="s">
        <v>2970</v>
      </c>
      <c r="B389" t="s">
        <v>1265</v>
      </c>
      <c r="C389" s="54">
        <v>0</v>
      </c>
      <c r="D389" s="20">
        <v>187735.02</v>
      </c>
      <c r="E389" s="20">
        <v>187735.02</v>
      </c>
      <c r="F389" s="54">
        <v>0</v>
      </c>
      <c r="J389" s="67">
        <v>0</v>
      </c>
      <c r="N389">
        <f>_xlfn.XLOOKUP(M389,'QUADROS QUE FALTARAM'!F:F,'QUADROS QUE FALTARAM'!B:B,0)</f>
        <v>0</v>
      </c>
    </row>
    <row r="390" spans="1:14" x14ac:dyDescent="0.3">
      <c r="A390" t="s">
        <v>2971</v>
      </c>
      <c r="B390" t="s">
        <v>1268</v>
      </c>
      <c r="C390" s="54">
        <v>-3409.39</v>
      </c>
      <c r="D390" s="20">
        <v>51718.15</v>
      </c>
      <c r="E390" s="20">
        <v>53009.66</v>
      </c>
      <c r="F390" s="54">
        <v>-4700.8999999999996</v>
      </c>
      <c r="J390" s="67">
        <v>0</v>
      </c>
      <c r="N390">
        <f>_xlfn.XLOOKUP(M390,'QUADROS QUE FALTARAM'!F:F,'QUADROS QUE FALTARAM'!B:B,0)</f>
        <v>0</v>
      </c>
    </row>
    <row r="391" spans="1:14" x14ac:dyDescent="0.3">
      <c r="A391" t="s">
        <v>2972</v>
      </c>
      <c r="B391" t="s">
        <v>1271</v>
      </c>
      <c r="C391" s="54">
        <v>-5114.09</v>
      </c>
      <c r="D391" s="20">
        <v>84628.62</v>
      </c>
      <c r="E391" s="20">
        <v>79514.53</v>
      </c>
      <c r="F391" s="54">
        <v>0</v>
      </c>
      <c r="J391" s="67">
        <v>0</v>
      </c>
      <c r="N391">
        <f>_xlfn.XLOOKUP(M391,'QUADROS QUE FALTARAM'!F:F,'QUADROS QUE FALTARAM'!B:B,0)</f>
        <v>0</v>
      </c>
    </row>
    <row r="392" spans="1:14" x14ac:dyDescent="0.3">
      <c r="A392" t="s">
        <v>2973</v>
      </c>
      <c r="B392" t="s">
        <v>1274</v>
      </c>
      <c r="C392" s="54">
        <v>0</v>
      </c>
      <c r="D392" s="20">
        <v>396360.07</v>
      </c>
      <c r="E392" s="20">
        <v>396360.07</v>
      </c>
      <c r="F392" s="54">
        <v>0</v>
      </c>
      <c r="J392" s="67">
        <v>0</v>
      </c>
      <c r="N392">
        <f>_xlfn.XLOOKUP(M392,'QUADROS QUE FALTARAM'!F:F,'QUADROS QUE FALTARAM'!B:B,0)</f>
        <v>0</v>
      </c>
    </row>
    <row r="393" spans="1:14" x14ac:dyDescent="0.3">
      <c r="A393" t="s">
        <v>2974</v>
      </c>
      <c r="B393" t="s">
        <v>1276</v>
      </c>
      <c r="C393" s="54">
        <v>-5</v>
      </c>
      <c r="D393" s="20">
        <v>1103247.67</v>
      </c>
      <c r="E393" s="20">
        <v>1103247.67</v>
      </c>
      <c r="F393" s="54">
        <v>-5</v>
      </c>
      <c r="J393" s="67">
        <v>0</v>
      </c>
      <c r="N393">
        <f>_xlfn.XLOOKUP(M393,'QUADROS QUE FALTARAM'!F:F,'QUADROS QUE FALTARAM'!B:B,0)</f>
        <v>0</v>
      </c>
    </row>
    <row r="394" spans="1:14" x14ac:dyDescent="0.3">
      <c r="A394" t="s">
        <v>2975</v>
      </c>
      <c r="B394" t="s">
        <v>2260</v>
      </c>
      <c r="C394" s="54">
        <v>0</v>
      </c>
      <c r="D394" s="20">
        <v>51925.19</v>
      </c>
      <c r="E394" s="20">
        <v>51925.19</v>
      </c>
      <c r="F394" s="54">
        <v>0</v>
      </c>
      <c r="J394" s="67" t="s">
        <v>2129</v>
      </c>
      <c r="N394">
        <f>_xlfn.XLOOKUP(M394,'QUADROS QUE FALTARAM'!F:F,'QUADROS QUE FALTARAM'!B:B,0)</f>
        <v>0</v>
      </c>
    </row>
    <row r="395" spans="1:14" x14ac:dyDescent="0.3">
      <c r="A395" s="1" t="s">
        <v>2976</v>
      </c>
      <c r="B395" s="1" t="s">
        <v>1280</v>
      </c>
      <c r="C395" s="59">
        <v>-29079.599999999999</v>
      </c>
      <c r="D395" s="62">
        <v>45581.56</v>
      </c>
      <c r="E395" s="62">
        <v>46178.9</v>
      </c>
      <c r="F395" s="59">
        <v>-29676.94</v>
      </c>
      <c r="J395" s="67">
        <v>0</v>
      </c>
      <c r="N395">
        <f>_xlfn.XLOOKUP(M395,'QUADROS QUE FALTARAM'!F:F,'QUADROS QUE FALTARAM'!B:B,0)</f>
        <v>0</v>
      </c>
    </row>
    <row r="396" spans="1:14" x14ac:dyDescent="0.3">
      <c r="A396" t="s">
        <v>2978</v>
      </c>
      <c r="B396" t="s">
        <v>1284</v>
      </c>
      <c r="C396" s="54">
        <v>-2894.66</v>
      </c>
      <c r="D396" s="20">
        <v>1870.34</v>
      </c>
      <c r="E396" s="20">
        <v>1870.34</v>
      </c>
      <c r="F396" s="54">
        <v>-2894.66</v>
      </c>
      <c r="J396" s="67">
        <v>0</v>
      </c>
      <c r="N396">
        <f>_xlfn.XLOOKUP(M396,'QUADROS QUE FALTARAM'!F:F,'QUADROS QUE FALTARAM'!B:B,0)</f>
        <v>0</v>
      </c>
    </row>
    <row r="397" spans="1:14" x14ac:dyDescent="0.3">
      <c r="A397" t="s">
        <v>2979</v>
      </c>
      <c r="B397" t="s">
        <v>1291</v>
      </c>
      <c r="C397" s="54">
        <v>-6982.89</v>
      </c>
      <c r="D397" s="20">
        <v>210.14</v>
      </c>
      <c r="E397" s="20">
        <v>210.14</v>
      </c>
      <c r="F397" s="54">
        <v>-6982.89</v>
      </c>
      <c r="J397" s="67">
        <v>0</v>
      </c>
      <c r="N397">
        <f>_xlfn.XLOOKUP(M397,'QUADROS QUE FALTARAM'!F:F,'QUADROS QUE FALTARAM'!B:B,0)</f>
        <v>0</v>
      </c>
    </row>
    <row r="398" spans="1:14" x14ac:dyDescent="0.3">
      <c r="A398" t="s">
        <v>2980</v>
      </c>
      <c r="B398" t="s">
        <v>1294</v>
      </c>
      <c r="C398" s="54">
        <v>-19202.05</v>
      </c>
      <c r="D398" s="20">
        <v>41598.800000000003</v>
      </c>
      <c r="E398" s="20">
        <v>41316.82</v>
      </c>
      <c r="F398" s="54">
        <v>-18920.07</v>
      </c>
      <c r="J398" s="67">
        <v>0</v>
      </c>
      <c r="N398">
        <f>_xlfn.XLOOKUP(M398,'QUADROS QUE FALTARAM'!F:F,'QUADROS QUE FALTARAM'!B:B,0)</f>
        <v>0</v>
      </c>
    </row>
    <row r="399" spans="1:14" x14ac:dyDescent="0.3">
      <c r="A399" t="s">
        <v>2981</v>
      </c>
      <c r="B399" t="s">
        <v>2262</v>
      </c>
      <c r="C399" s="54">
        <v>0</v>
      </c>
      <c r="D399" s="20">
        <v>1902.28</v>
      </c>
      <c r="E399" s="20">
        <v>2781.6</v>
      </c>
      <c r="F399" s="54">
        <v>-879.32</v>
      </c>
      <c r="J399" s="67" t="s">
        <v>2129</v>
      </c>
      <c r="N399">
        <f>_xlfn.XLOOKUP(M399,'QUADROS QUE FALTARAM'!F:F,'QUADROS QUE FALTARAM'!B:B,0)</f>
        <v>0</v>
      </c>
    </row>
    <row r="400" spans="1:14" x14ac:dyDescent="0.3">
      <c r="A400" s="1" t="s">
        <v>2982</v>
      </c>
      <c r="B400" s="1" t="s">
        <v>1298</v>
      </c>
      <c r="C400" s="59">
        <v>-50484</v>
      </c>
      <c r="D400" s="62">
        <v>43612.68</v>
      </c>
      <c r="E400" s="62">
        <v>43808.94</v>
      </c>
      <c r="F400" s="59">
        <v>-50680.26</v>
      </c>
      <c r="J400" s="67">
        <v>0</v>
      </c>
      <c r="N400">
        <f>_xlfn.XLOOKUP(M400,'QUADROS QUE FALTARAM'!F:F,'QUADROS QUE FALTARAM'!B:B,0)</f>
        <v>0</v>
      </c>
    </row>
    <row r="401" spans="1:14" x14ac:dyDescent="0.3">
      <c r="A401" t="s">
        <v>2983</v>
      </c>
      <c r="B401" t="s">
        <v>1302</v>
      </c>
      <c r="C401" s="54">
        <v>-50484</v>
      </c>
      <c r="D401" s="20">
        <v>43612.68</v>
      </c>
      <c r="E401" s="20">
        <v>43808.94</v>
      </c>
      <c r="F401" s="54">
        <v>-50680.26</v>
      </c>
      <c r="J401" s="67">
        <v>0</v>
      </c>
      <c r="N401">
        <f>_xlfn.XLOOKUP(M401,'QUADROS QUE FALTARAM'!F:F,'QUADROS QUE FALTARAM'!B:B,0)</f>
        <v>0</v>
      </c>
    </row>
    <row r="402" spans="1:14" x14ac:dyDescent="0.3">
      <c r="A402" s="1" t="s">
        <v>2984</v>
      </c>
      <c r="B402" s="1" t="s">
        <v>1305</v>
      </c>
      <c r="C402" s="59">
        <v>-913935.89</v>
      </c>
      <c r="D402" s="62">
        <v>3706037.52</v>
      </c>
      <c r="E402" s="62">
        <v>3950026.48</v>
      </c>
      <c r="F402" s="59">
        <v>-1157924.8500000001</v>
      </c>
      <c r="J402" s="67">
        <v>0</v>
      </c>
      <c r="N402">
        <f>_xlfn.XLOOKUP(M402,'QUADROS QUE FALTARAM'!F:F,'QUADROS QUE FALTARAM'!B:B,0)</f>
        <v>0</v>
      </c>
    </row>
    <row r="403" spans="1:14" x14ac:dyDescent="0.3">
      <c r="A403" s="1" t="s">
        <v>2987</v>
      </c>
      <c r="B403" s="1" t="s">
        <v>1308</v>
      </c>
      <c r="C403" s="59">
        <v>-53768.44</v>
      </c>
      <c r="D403" s="62">
        <v>1168955.1499999999</v>
      </c>
      <c r="E403" s="62">
        <v>1166115.03</v>
      </c>
      <c r="F403" s="59">
        <v>-50928.32</v>
      </c>
      <c r="J403" s="67">
        <v>0</v>
      </c>
      <c r="N403">
        <f>_xlfn.XLOOKUP(M403,'QUADROS QUE FALTARAM'!F:F,'QUADROS QUE FALTARAM'!B:B,0)</f>
        <v>0</v>
      </c>
    </row>
    <row r="404" spans="1:14" x14ac:dyDescent="0.3">
      <c r="A404" t="s">
        <v>2989</v>
      </c>
      <c r="B404" t="s">
        <v>1312</v>
      </c>
      <c r="C404" s="54">
        <v>-20964.53</v>
      </c>
      <c r="D404" s="20">
        <v>605935.03</v>
      </c>
      <c r="E404" s="20">
        <v>605935.03</v>
      </c>
      <c r="F404" s="54">
        <v>-20964.53</v>
      </c>
      <c r="J404" s="67">
        <v>0</v>
      </c>
      <c r="N404">
        <f>_xlfn.XLOOKUP(M404,'QUADROS QUE FALTARAM'!F:F,'QUADROS QUE FALTARAM'!B:B,0)</f>
        <v>0</v>
      </c>
    </row>
    <row r="405" spans="1:14" x14ac:dyDescent="0.3">
      <c r="A405" t="s">
        <v>2990</v>
      </c>
      <c r="B405" t="s">
        <v>1319</v>
      </c>
      <c r="C405" s="54">
        <v>-2047.52</v>
      </c>
      <c r="D405" s="20">
        <v>7267.89</v>
      </c>
      <c r="E405" s="20">
        <v>9256.25</v>
      </c>
      <c r="F405" s="54">
        <v>-4035.88</v>
      </c>
      <c r="J405" s="67">
        <v>0</v>
      </c>
      <c r="N405">
        <f>_xlfn.XLOOKUP(M405,'QUADROS QUE FALTARAM'!F:F,'QUADROS QUE FALTARAM'!B:B,0)</f>
        <v>0</v>
      </c>
    </row>
    <row r="406" spans="1:14" x14ac:dyDescent="0.3">
      <c r="A406" t="s">
        <v>2991</v>
      </c>
      <c r="B406" t="s">
        <v>1326</v>
      </c>
      <c r="C406" s="54">
        <v>0</v>
      </c>
      <c r="D406" s="20">
        <v>131551.67000000001</v>
      </c>
      <c r="E406" s="20">
        <v>131551.67000000001</v>
      </c>
      <c r="F406" s="54">
        <v>0</v>
      </c>
      <c r="J406" s="67">
        <v>0</v>
      </c>
      <c r="N406">
        <f>_xlfn.XLOOKUP(M406,'QUADROS QUE FALTARAM'!F:F,'QUADROS QUE FALTARAM'!B:B,0)</f>
        <v>0</v>
      </c>
    </row>
    <row r="407" spans="1:14" x14ac:dyDescent="0.3">
      <c r="A407" t="s">
        <v>2992</v>
      </c>
      <c r="B407" t="s">
        <v>1328</v>
      </c>
      <c r="C407" s="54">
        <v>-501.73</v>
      </c>
      <c r="D407" s="20">
        <v>39162.17</v>
      </c>
      <c r="E407" s="20">
        <v>38699.440000000002</v>
      </c>
      <c r="F407" s="54">
        <v>-39</v>
      </c>
      <c r="J407" s="67">
        <v>0</v>
      </c>
      <c r="N407">
        <f>_xlfn.XLOOKUP(M407,'QUADROS QUE FALTARAM'!F:F,'QUADROS QUE FALTARAM'!B:B,0)</f>
        <v>0</v>
      </c>
    </row>
    <row r="408" spans="1:14" x14ac:dyDescent="0.3">
      <c r="A408" t="s">
        <v>2993</v>
      </c>
      <c r="B408" t="s">
        <v>1332</v>
      </c>
      <c r="C408" s="54">
        <v>-11987.72</v>
      </c>
      <c r="D408" s="20">
        <v>81682.960000000006</v>
      </c>
      <c r="E408" s="20">
        <v>82832.66</v>
      </c>
      <c r="F408" s="54">
        <v>-13137.42</v>
      </c>
      <c r="J408" s="67">
        <v>0</v>
      </c>
      <c r="N408">
        <f>_xlfn.XLOOKUP(M408,'QUADROS QUE FALTARAM'!F:F,'QUADROS QUE FALTARAM'!B:B,0)</f>
        <v>0</v>
      </c>
    </row>
    <row r="409" spans="1:14" x14ac:dyDescent="0.3">
      <c r="A409" t="s">
        <v>2994</v>
      </c>
      <c r="B409" t="s">
        <v>1336</v>
      </c>
      <c r="C409" s="54">
        <v>0</v>
      </c>
      <c r="D409" s="20">
        <v>259589.88</v>
      </c>
      <c r="E409" s="20">
        <v>259589.88</v>
      </c>
      <c r="F409" s="54">
        <v>0</v>
      </c>
      <c r="J409" s="67">
        <v>0</v>
      </c>
      <c r="N409">
        <f>_xlfn.XLOOKUP(M409,'QUADROS QUE FALTARAM'!F:F,'QUADROS QUE FALTARAM'!B:B,0)</f>
        <v>0</v>
      </c>
    </row>
    <row r="410" spans="1:14" x14ac:dyDescent="0.3">
      <c r="A410" t="s">
        <v>2995</v>
      </c>
      <c r="B410" t="s">
        <v>1338</v>
      </c>
      <c r="C410" s="54">
        <v>-18266.939999999999</v>
      </c>
      <c r="D410" s="20">
        <v>43765.55</v>
      </c>
      <c r="E410" s="20">
        <v>38250.1</v>
      </c>
      <c r="F410" s="54">
        <v>-12751.49</v>
      </c>
      <c r="J410" s="67">
        <v>0</v>
      </c>
      <c r="N410">
        <f>_xlfn.XLOOKUP(M410,'QUADROS QUE FALTARAM'!F:F,'QUADROS QUE FALTARAM'!B:B,0)</f>
        <v>0</v>
      </c>
    </row>
    <row r="411" spans="1:14" x14ac:dyDescent="0.3">
      <c r="A411" s="1" t="s">
        <v>2996</v>
      </c>
      <c r="B411" s="1" t="s">
        <v>1342</v>
      </c>
      <c r="C411" s="59">
        <v>-860167.45</v>
      </c>
      <c r="D411" s="62">
        <v>2537082.37</v>
      </c>
      <c r="E411" s="62">
        <v>2783911.45</v>
      </c>
      <c r="F411" s="59">
        <v>-1106996.53</v>
      </c>
      <c r="J411" s="67">
        <v>0</v>
      </c>
      <c r="N411">
        <f>_xlfn.XLOOKUP(M411,'QUADROS QUE FALTARAM'!F:F,'QUADROS QUE FALTARAM'!B:B,0)</f>
        <v>0</v>
      </c>
    </row>
    <row r="412" spans="1:14" x14ac:dyDescent="0.3">
      <c r="A412" t="s">
        <v>2998</v>
      </c>
      <c r="B412" t="s">
        <v>1346</v>
      </c>
      <c r="C412" s="54">
        <v>-205025.79</v>
      </c>
      <c r="D412" s="20">
        <v>215408.7</v>
      </c>
      <c r="E412" s="20">
        <v>179490.65</v>
      </c>
      <c r="F412" s="54">
        <v>-169107.74</v>
      </c>
      <c r="J412" s="67">
        <v>0</v>
      </c>
      <c r="N412">
        <f>_xlfn.XLOOKUP(M412,'QUADROS QUE FALTARAM'!F:F,'QUADROS QUE FALTARAM'!B:B,0)</f>
        <v>0</v>
      </c>
    </row>
    <row r="413" spans="1:14" x14ac:dyDescent="0.3">
      <c r="A413" t="s">
        <v>2999</v>
      </c>
      <c r="B413" t="s">
        <v>1350</v>
      </c>
      <c r="C413" s="54">
        <v>-90778.2</v>
      </c>
      <c r="D413" s="20">
        <v>95375.52</v>
      </c>
      <c r="E413" s="20">
        <v>79472.070000000007</v>
      </c>
      <c r="F413" s="54">
        <v>-74874.75</v>
      </c>
      <c r="J413" s="67">
        <v>0</v>
      </c>
      <c r="N413">
        <f>_xlfn.XLOOKUP(M413,'QUADROS QUE FALTARAM'!F:F,'QUADROS QUE FALTARAM'!B:B,0)</f>
        <v>0</v>
      </c>
    </row>
    <row r="414" spans="1:14" x14ac:dyDescent="0.3">
      <c r="A414" t="s">
        <v>3000</v>
      </c>
      <c r="B414" t="s">
        <v>1354</v>
      </c>
      <c r="C414" s="54">
        <v>-150313.79999999999</v>
      </c>
      <c r="D414" s="20">
        <v>157925.41</v>
      </c>
      <c r="E414" s="20">
        <v>131592.9</v>
      </c>
      <c r="F414" s="54">
        <v>-123981.29</v>
      </c>
      <c r="J414" s="67">
        <v>0</v>
      </c>
      <c r="N414">
        <f>_xlfn.XLOOKUP(M414,'QUADROS QUE FALTARAM'!F:F,'QUADROS QUE FALTARAM'!B:B,0)</f>
        <v>0</v>
      </c>
    </row>
    <row r="415" spans="1:14" x14ac:dyDescent="0.3">
      <c r="A415" t="s">
        <v>3001</v>
      </c>
      <c r="B415" t="s">
        <v>1358</v>
      </c>
      <c r="C415" s="54">
        <v>-62090.76</v>
      </c>
      <c r="D415" s="20">
        <v>65146.15</v>
      </c>
      <c r="E415" s="20">
        <v>71362.7</v>
      </c>
      <c r="F415" s="54">
        <v>-68307.31</v>
      </c>
      <c r="J415" s="67">
        <v>0</v>
      </c>
      <c r="N415">
        <f>_xlfn.XLOOKUP(M415,'QUADROS QUE FALTARAM'!F:F,'QUADROS QUE FALTARAM'!B:B,0)</f>
        <v>0</v>
      </c>
    </row>
    <row r="416" spans="1:14" x14ac:dyDescent="0.3">
      <c r="A416" t="s">
        <v>3002</v>
      </c>
      <c r="B416" t="s">
        <v>1362</v>
      </c>
      <c r="C416" s="54">
        <v>-322219.08</v>
      </c>
      <c r="D416" s="20">
        <v>653308.51</v>
      </c>
      <c r="E416" s="20">
        <v>688696.43</v>
      </c>
      <c r="F416" s="54">
        <v>-357607</v>
      </c>
      <c r="J416" s="67">
        <v>0</v>
      </c>
      <c r="N416">
        <f>_xlfn.XLOOKUP(M416,'QUADROS QUE FALTARAM'!F:F,'QUADROS QUE FALTARAM'!B:B,0)</f>
        <v>0</v>
      </c>
    </row>
    <row r="417" spans="1:14" x14ac:dyDescent="0.3">
      <c r="A417" t="s">
        <v>3003</v>
      </c>
      <c r="B417" t="s">
        <v>1365</v>
      </c>
      <c r="C417" s="54">
        <v>-29739.82</v>
      </c>
      <c r="D417" s="20">
        <v>33073.440000000002</v>
      </c>
      <c r="E417" s="20">
        <v>35147.06</v>
      </c>
      <c r="F417" s="54">
        <v>-31813.439999999999</v>
      </c>
      <c r="J417" s="67">
        <v>0</v>
      </c>
      <c r="N417">
        <f>_xlfn.XLOOKUP(M417,'QUADROS QUE FALTARAM'!F:F,'QUADROS QUE FALTARAM'!B:B,0)</f>
        <v>0</v>
      </c>
    </row>
    <row r="418" spans="1:14" x14ac:dyDescent="0.3">
      <c r="A418" t="s">
        <v>3004</v>
      </c>
      <c r="B418" t="s">
        <v>2274</v>
      </c>
      <c r="C418" s="54">
        <v>0</v>
      </c>
      <c r="D418" s="20">
        <v>1316844.6399999999</v>
      </c>
      <c r="E418" s="20">
        <v>1598149.64</v>
      </c>
      <c r="F418" s="54">
        <v>-281305</v>
      </c>
      <c r="J418" s="67" t="s">
        <v>2129</v>
      </c>
      <c r="N418">
        <f>_xlfn.XLOOKUP(M418,'QUADROS QUE FALTARAM'!F:F,'QUADROS QUE FALTARAM'!B:B,0)</f>
        <v>0</v>
      </c>
    </row>
    <row r="419" spans="1:14" x14ac:dyDescent="0.3">
      <c r="A419" s="1" t="s">
        <v>3005</v>
      </c>
      <c r="B419" s="1" t="s">
        <v>1368</v>
      </c>
      <c r="C419" s="59">
        <v>-6034318.1299999999</v>
      </c>
      <c r="D419" s="62">
        <v>8862447.3100000005</v>
      </c>
      <c r="E419" s="62">
        <v>11657630.939999999</v>
      </c>
      <c r="F419" s="59">
        <v>-8829501.7599999998</v>
      </c>
      <c r="J419" s="67">
        <v>0</v>
      </c>
      <c r="N419">
        <f>_xlfn.XLOOKUP(M419,'QUADROS QUE FALTARAM'!F:F,'QUADROS QUE FALTARAM'!B:B,0)</f>
        <v>0</v>
      </c>
    </row>
    <row r="420" spans="1:14" x14ac:dyDescent="0.3">
      <c r="A420" s="1" t="s">
        <v>3007</v>
      </c>
      <c r="B420" s="1" t="s">
        <v>1372</v>
      </c>
      <c r="C420" s="59">
        <v>-6020890.9400000004</v>
      </c>
      <c r="D420" s="62">
        <v>5294176.21</v>
      </c>
      <c r="E420" s="62">
        <v>8089359.8399999999</v>
      </c>
      <c r="F420" s="59">
        <v>-8816074.5700000003</v>
      </c>
      <c r="J420" s="67">
        <v>0</v>
      </c>
      <c r="N420">
        <f>_xlfn.XLOOKUP(M420,'QUADROS QUE FALTARAM'!F:F,'QUADROS QUE FALTARAM'!B:B,0)</f>
        <v>0</v>
      </c>
    </row>
    <row r="421" spans="1:14" x14ac:dyDescent="0.3">
      <c r="A421" t="s">
        <v>3010</v>
      </c>
      <c r="B421" t="s">
        <v>1375</v>
      </c>
      <c r="C421" s="54">
        <v>-3101163.44</v>
      </c>
      <c r="D421" s="20">
        <v>0</v>
      </c>
      <c r="E421" s="20">
        <v>2795183.63</v>
      </c>
      <c r="F421" s="54">
        <v>-5896347.0700000003</v>
      </c>
      <c r="J421" s="67">
        <v>0</v>
      </c>
      <c r="N421">
        <f>_xlfn.XLOOKUP(M421,'QUADROS QUE FALTARAM'!F:F,'QUADROS QUE FALTARAM'!B:B,0)</f>
        <v>0</v>
      </c>
    </row>
    <row r="422" spans="1:14" x14ac:dyDescent="0.3">
      <c r="A422" t="s">
        <v>3011</v>
      </c>
      <c r="B422" t="s">
        <v>1381</v>
      </c>
      <c r="C422" s="54">
        <v>-2808928.22</v>
      </c>
      <c r="D422" s="20">
        <v>0</v>
      </c>
      <c r="E422" s="20">
        <v>0</v>
      </c>
      <c r="F422" s="54">
        <v>-2808928.22</v>
      </c>
      <c r="J422" s="67">
        <v>0</v>
      </c>
      <c r="N422">
        <f>_xlfn.XLOOKUP(M422,'QUADROS QUE FALTARAM'!F:F,'QUADROS QUE FALTARAM'!B:B,0)</f>
        <v>0</v>
      </c>
    </row>
    <row r="423" spans="1:14" x14ac:dyDescent="0.3">
      <c r="A423" t="s">
        <v>3012</v>
      </c>
      <c r="B423" t="s">
        <v>1384</v>
      </c>
      <c r="C423" s="54">
        <v>0</v>
      </c>
      <c r="D423" s="20">
        <v>5294176.21</v>
      </c>
      <c r="E423" s="20">
        <v>5294176.21</v>
      </c>
      <c r="F423" s="54">
        <v>0</v>
      </c>
      <c r="J423" s="67">
        <v>0</v>
      </c>
      <c r="N423">
        <f>_xlfn.XLOOKUP(M423,'QUADROS QUE FALTARAM'!F:F,'QUADROS QUE FALTARAM'!B:B,0)</f>
        <v>0</v>
      </c>
    </row>
    <row r="424" spans="1:14" x14ac:dyDescent="0.3">
      <c r="A424" t="s">
        <v>3014</v>
      </c>
      <c r="B424" t="s">
        <v>1386</v>
      </c>
      <c r="C424" s="54">
        <v>-110799.28</v>
      </c>
      <c r="D424" s="20">
        <v>0</v>
      </c>
      <c r="E424" s="20">
        <v>0</v>
      </c>
      <c r="F424" s="54">
        <v>-110799.28</v>
      </c>
      <c r="J424" s="67">
        <v>0</v>
      </c>
      <c r="N424">
        <f>_xlfn.XLOOKUP(M424,'QUADROS QUE FALTARAM'!F:F,'QUADROS QUE FALTARAM'!B:B,0)</f>
        <v>0</v>
      </c>
    </row>
    <row r="425" spans="1:14" x14ac:dyDescent="0.3">
      <c r="A425" s="1" t="s">
        <v>3015</v>
      </c>
      <c r="B425" s="1" t="s">
        <v>1389</v>
      </c>
      <c r="C425" s="59">
        <v>-13427.19</v>
      </c>
      <c r="D425" s="62">
        <v>0</v>
      </c>
      <c r="E425" s="62">
        <v>0</v>
      </c>
      <c r="F425" s="59">
        <v>-13427.19</v>
      </c>
      <c r="J425" s="67">
        <v>0</v>
      </c>
      <c r="N425">
        <f>_xlfn.XLOOKUP(M425,'QUADROS QUE FALTARAM'!F:F,'QUADROS QUE FALTARAM'!B:B,0)</f>
        <v>0</v>
      </c>
    </row>
    <row r="426" spans="1:14" x14ac:dyDescent="0.3">
      <c r="A426" t="s">
        <v>3016</v>
      </c>
      <c r="B426" t="s">
        <v>1392</v>
      </c>
      <c r="C426" s="54">
        <v>-13427.19</v>
      </c>
      <c r="D426" s="20">
        <v>0</v>
      </c>
      <c r="E426" s="20">
        <v>0</v>
      </c>
      <c r="F426" s="54">
        <v>-13427.19</v>
      </c>
      <c r="J426" s="67">
        <v>0</v>
      </c>
      <c r="N426">
        <f>_xlfn.XLOOKUP(M426,'QUADROS QUE FALTARAM'!F:F,'QUADROS QUE FALTARAM'!B:B,0)</f>
        <v>0</v>
      </c>
    </row>
    <row r="427" spans="1:14" x14ac:dyDescent="0.3">
      <c r="A427" s="1" t="s">
        <v>3017</v>
      </c>
      <c r="B427" s="1" t="s">
        <v>1396</v>
      </c>
      <c r="C427" s="59">
        <v>0</v>
      </c>
      <c r="D427" s="62">
        <v>3568271.1</v>
      </c>
      <c r="E427" s="62">
        <v>3568271.1</v>
      </c>
      <c r="F427" s="59">
        <v>0</v>
      </c>
      <c r="J427" s="67">
        <v>0</v>
      </c>
      <c r="N427">
        <f>_xlfn.XLOOKUP(M427,'QUADROS QUE FALTARAM'!F:F,'QUADROS QUE FALTARAM'!B:B,0)</f>
        <v>0</v>
      </c>
    </row>
    <row r="428" spans="1:14" x14ac:dyDescent="0.3">
      <c r="A428" t="s">
        <v>3018</v>
      </c>
      <c r="B428" t="s">
        <v>1398</v>
      </c>
      <c r="C428" s="54">
        <v>0</v>
      </c>
      <c r="D428" s="20">
        <v>3568271.1</v>
      </c>
      <c r="E428" s="20">
        <v>3568271.1</v>
      </c>
      <c r="F428" s="54">
        <v>0</v>
      </c>
      <c r="J428" s="67">
        <v>0</v>
      </c>
      <c r="N428">
        <f>_xlfn.XLOOKUP(M428,'QUADROS QUE FALTARAM'!F:F,'QUADROS QUE FALTARAM'!B:B,0)</f>
        <v>0</v>
      </c>
    </row>
    <row r="429" spans="1:14" x14ac:dyDescent="0.3">
      <c r="A429" s="1" t="s">
        <v>3019</v>
      </c>
      <c r="B429" s="1" t="s">
        <v>1400</v>
      </c>
      <c r="C429" s="59">
        <v>-527711.56999999995</v>
      </c>
      <c r="D429" s="62">
        <v>608605.5</v>
      </c>
      <c r="E429" s="62">
        <v>269677.15000000002</v>
      </c>
      <c r="F429" s="59">
        <v>-188783.22</v>
      </c>
      <c r="J429" s="67">
        <v>0</v>
      </c>
      <c r="N429">
        <f>_xlfn.XLOOKUP(M429,'QUADROS QUE FALTARAM'!F:F,'QUADROS QUE FALTARAM'!B:B,0)</f>
        <v>0</v>
      </c>
    </row>
    <row r="430" spans="1:14" x14ac:dyDescent="0.3">
      <c r="A430" s="1" t="s">
        <v>3021</v>
      </c>
      <c r="B430" s="1" t="s">
        <v>1403</v>
      </c>
      <c r="C430" s="59">
        <v>-527711.56999999995</v>
      </c>
      <c r="D430" s="62">
        <v>608605.5</v>
      </c>
      <c r="E430" s="62">
        <v>269677.15000000002</v>
      </c>
      <c r="F430" s="59">
        <v>-188783.22</v>
      </c>
      <c r="J430" s="67">
        <v>0</v>
      </c>
      <c r="N430">
        <f>_xlfn.XLOOKUP(M430,'QUADROS QUE FALTARAM'!F:F,'QUADROS QUE FALTARAM'!B:B,0)</f>
        <v>0</v>
      </c>
    </row>
    <row r="431" spans="1:14" x14ac:dyDescent="0.3">
      <c r="A431" t="s">
        <v>3022</v>
      </c>
      <c r="B431" t="s">
        <v>1406</v>
      </c>
      <c r="C431" s="54">
        <v>-70518.3</v>
      </c>
      <c r="D431" s="20">
        <v>70518.3</v>
      </c>
      <c r="E431" s="20">
        <v>0</v>
      </c>
      <c r="F431" s="54">
        <v>0</v>
      </c>
      <c r="J431" s="67">
        <v>0</v>
      </c>
      <c r="N431">
        <f>_xlfn.XLOOKUP(M431,'QUADROS QUE FALTARAM'!F:F,'QUADROS QUE FALTARAM'!B:B,0)</f>
        <v>0</v>
      </c>
    </row>
    <row r="432" spans="1:14" x14ac:dyDescent="0.3">
      <c r="A432" t="s">
        <v>3023</v>
      </c>
      <c r="B432" t="s">
        <v>1410</v>
      </c>
      <c r="C432" s="54">
        <v>-797.56</v>
      </c>
      <c r="D432" s="20">
        <v>0</v>
      </c>
      <c r="E432" s="20">
        <v>0</v>
      </c>
      <c r="F432" s="54">
        <v>-797.56</v>
      </c>
      <c r="J432" s="67">
        <v>0</v>
      </c>
      <c r="N432">
        <f>_xlfn.XLOOKUP(M432,'QUADROS QUE FALTARAM'!F:F,'QUADROS QUE FALTARAM'!B:B,0)</f>
        <v>0</v>
      </c>
    </row>
    <row r="433" spans="1:14" x14ac:dyDescent="0.3">
      <c r="A433" t="s">
        <v>3024</v>
      </c>
      <c r="B433" t="s">
        <v>1413</v>
      </c>
      <c r="C433" s="54">
        <v>-163422.35999999999</v>
      </c>
      <c r="D433" s="20">
        <v>176847.83</v>
      </c>
      <c r="E433" s="20">
        <v>201411.13</v>
      </c>
      <c r="F433" s="54">
        <v>-187985.66</v>
      </c>
      <c r="J433" s="67">
        <v>0</v>
      </c>
      <c r="N433">
        <f>_xlfn.XLOOKUP(M433,'QUADROS QUE FALTARAM'!F:F,'QUADROS QUE FALTARAM'!B:B,0)</f>
        <v>0</v>
      </c>
    </row>
    <row r="434" spans="1:14" x14ac:dyDescent="0.3">
      <c r="A434" t="s">
        <v>3025</v>
      </c>
      <c r="B434" t="s">
        <v>1416</v>
      </c>
      <c r="C434" s="54">
        <v>-292973.34999999998</v>
      </c>
      <c r="D434" s="20">
        <v>361239.37</v>
      </c>
      <c r="E434" s="20">
        <v>68266.02</v>
      </c>
      <c r="F434" s="54">
        <v>0</v>
      </c>
      <c r="J434" s="67">
        <v>0</v>
      </c>
      <c r="N434">
        <f>_xlfn.XLOOKUP(M434,'QUADROS QUE FALTARAM'!F:F,'QUADROS QUE FALTARAM'!B:B,0)</f>
        <v>0</v>
      </c>
    </row>
    <row r="435" spans="1:14" x14ac:dyDescent="0.3">
      <c r="A435" s="1" t="s">
        <v>3026</v>
      </c>
      <c r="B435" s="1" t="s">
        <v>1419</v>
      </c>
      <c r="C435" s="59">
        <v>-872590.71</v>
      </c>
      <c r="D435" s="62">
        <v>1602116.2</v>
      </c>
      <c r="E435" s="62">
        <v>1733421.27</v>
      </c>
      <c r="F435" s="59">
        <v>-1003895.78</v>
      </c>
      <c r="J435" s="67">
        <v>0</v>
      </c>
      <c r="N435">
        <f>_xlfn.XLOOKUP(M435,'QUADROS QUE FALTARAM'!F:F,'QUADROS QUE FALTARAM'!B:B,0)</f>
        <v>0</v>
      </c>
    </row>
    <row r="436" spans="1:14" x14ac:dyDescent="0.3">
      <c r="A436" s="1" t="s">
        <v>3028</v>
      </c>
      <c r="B436" s="1" t="s">
        <v>1422</v>
      </c>
      <c r="C436" s="59">
        <v>-872590.71</v>
      </c>
      <c r="D436" s="62">
        <v>1602116.2</v>
      </c>
      <c r="E436" s="62">
        <v>1733421.27</v>
      </c>
      <c r="F436" s="59">
        <v>-1003895.78</v>
      </c>
      <c r="J436" s="67">
        <v>0</v>
      </c>
      <c r="N436">
        <f>_xlfn.XLOOKUP(M436,'QUADROS QUE FALTARAM'!F:F,'QUADROS QUE FALTARAM'!B:B,0)</f>
        <v>0</v>
      </c>
    </row>
    <row r="437" spans="1:14" x14ac:dyDescent="0.3">
      <c r="A437" t="s">
        <v>3029</v>
      </c>
      <c r="B437" t="s">
        <v>1425</v>
      </c>
      <c r="C437" s="54">
        <v>-678016.43</v>
      </c>
      <c r="D437" s="20">
        <v>753097</v>
      </c>
      <c r="E437" s="20">
        <v>849663.51</v>
      </c>
      <c r="F437" s="54">
        <v>-774582.94</v>
      </c>
      <c r="J437" s="67">
        <v>0</v>
      </c>
      <c r="N437">
        <f>_xlfn.XLOOKUP(M437,'QUADROS QUE FALTARAM'!F:F,'QUADROS QUE FALTARAM'!B:B,0)</f>
        <v>0</v>
      </c>
    </row>
    <row r="438" spans="1:14" x14ac:dyDescent="0.3">
      <c r="A438" t="s">
        <v>3030</v>
      </c>
      <c r="B438" t="s">
        <v>1429</v>
      </c>
      <c r="C438" s="54">
        <v>-194574.28</v>
      </c>
      <c r="D438" s="20">
        <v>44005.01</v>
      </c>
      <c r="E438" s="20">
        <v>78743.570000000007</v>
      </c>
      <c r="F438" s="54">
        <v>-229312.84</v>
      </c>
      <c r="J438" s="67">
        <v>0</v>
      </c>
      <c r="N438">
        <f>_xlfn.XLOOKUP(M438,'QUADROS QUE FALTARAM'!F:F,'QUADROS QUE FALTARAM'!B:B,0)</f>
        <v>0</v>
      </c>
    </row>
    <row r="439" spans="1:14" x14ac:dyDescent="0.3">
      <c r="A439" t="s">
        <v>3031</v>
      </c>
      <c r="B439" t="s">
        <v>1433</v>
      </c>
      <c r="C439" s="54">
        <v>0</v>
      </c>
      <c r="D439" s="20">
        <v>535943.18999999994</v>
      </c>
      <c r="E439" s="20">
        <v>535943.18999999994</v>
      </c>
      <c r="F439" s="54">
        <v>0</v>
      </c>
      <c r="J439" s="67">
        <v>0</v>
      </c>
      <c r="N439">
        <f>_xlfn.XLOOKUP(M439,'QUADROS QUE FALTARAM'!F:F,'QUADROS QUE FALTARAM'!B:B,0)</f>
        <v>0</v>
      </c>
    </row>
    <row r="440" spans="1:14" x14ac:dyDescent="0.3">
      <c r="A440" t="s">
        <v>3032</v>
      </c>
      <c r="B440" t="s">
        <v>1435</v>
      </c>
      <c r="C440" s="54">
        <v>0</v>
      </c>
      <c r="D440" s="20">
        <v>269071</v>
      </c>
      <c r="E440" s="20">
        <v>269071</v>
      </c>
      <c r="F440" s="54">
        <v>0</v>
      </c>
      <c r="J440" s="67">
        <v>0</v>
      </c>
      <c r="N440">
        <f>_xlfn.XLOOKUP(M440,'QUADROS QUE FALTARAM'!F:F,'QUADROS QUE FALTARAM'!B:B,0)</f>
        <v>0</v>
      </c>
    </row>
    <row r="441" spans="1:14" x14ac:dyDescent="0.3">
      <c r="A441" s="1" t="s">
        <v>3033</v>
      </c>
      <c r="B441" s="1" t="s">
        <v>1438</v>
      </c>
      <c r="C441" s="59">
        <v>-3299290.66</v>
      </c>
      <c r="D441" s="62">
        <v>703151.3</v>
      </c>
      <c r="E441" s="62">
        <v>0</v>
      </c>
      <c r="F441" s="59">
        <v>-2596139.36</v>
      </c>
      <c r="J441" s="67">
        <v>0</v>
      </c>
      <c r="N441">
        <f>_xlfn.XLOOKUP(M441,'QUADROS QUE FALTARAM'!F:F,'QUADROS QUE FALTARAM'!B:B,0)</f>
        <v>0</v>
      </c>
    </row>
    <row r="442" spans="1:14" x14ac:dyDescent="0.3">
      <c r="A442" s="1" t="s">
        <v>3035</v>
      </c>
      <c r="B442" s="1" t="s">
        <v>1441</v>
      </c>
      <c r="C442" s="59">
        <v>-3299290.66</v>
      </c>
      <c r="D442" s="62">
        <v>703151.3</v>
      </c>
      <c r="E442" s="62">
        <v>0</v>
      </c>
      <c r="F442" s="59">
        <v>-2596139.36</v>
      </c>
      <c r="J442" s="67">
        <v>0</v>
      </c>
      <c r="N442">
        <f>_xlfn.XLOOKUP(M442,'QUADROS QUE FALTARAM'!F:F,'QUADROS QUE FALTARAM'!B:B,0)</f>
        <v>0</v>
      </c>
    </row>
    <row r="443" spans="1:14" x14ac:dyDescent="0.3">
      <c r="A443" t="s">
        <v>3036</v>
      </c>
      <c r="B443" t="s">
        <v>1444</v>
      </c>
      <c r="C443" s="54">
        <v>-13247.77</v>
      </c>
      <c r="D443" s="20">
        <v>0</v>
      </c>
      <c r="E443" s="20">
        <v>0</v>
      </c>
      <c r="F443" s="54">
        <v>-13247.77</v>
      </c>
      <c r="J443" s="67">
        <v>0</v>
      </c>
      <c r="N443">
        <f>_xlfn.XLOOKUP(M443,'QUADROS QUE FALTARAM'!F:F,'QUADROS QUE FALTARAM'!B:B,0)</f>
        <v>0</v>
      </c>
    </row>
    <row r="444" spans="1:14" x14ac:dyDescent="0.3">
      <c r="A444" t="s">
        <v>3037</v>
      </c>
      <c r="B444" t="s">
        <v>1447</v>
      </c>
      <c r="C444" s="54">
        <v>-3286042.89</v>
      </c>
      <c r="D444" s="20">
        <v>703151.3</v>
      </c>
      <c r="E444" s="20">
        <v>0</v>
      </c>
      <c r="F444" s="54">
        <v>-2582891.59</v>
      </c>
      <c r="J444" s="67">
        <v>0</v>
      </c>
      <c r="N444">
        <f>_xlfn.XLOOKUP(M444,'QUADROS QUE FALTARAM'!F:F,'QUADROS QUE FALTARAM'!B:B,0)</f>
        <v>0</v>
      </c>
    </row>
    <row r="445" spans="1:14" x14ac:dyDescent="0.3">
      <c r="A445" s="1" t="s">
        <v>3038</v>
      </c>
      <c r="B445" s="1" t="s">
        <v>1453</v>
      </c>
      <c r="C445" s="59">
        <v>-55060252.469999999</v>
      </c>
      <c r="D445" s="62">
        <v>14563838.84</v>
      </c>
      <c r="E445" s="62">
        <v>8218807.3300000001</v>
      </c>
      <c r="F445" s="59">
        <v>-48715220.960000001</v>
      </c>
      <c r="J445" s="67">
        <v>0</v>
      </c>
      <c r="N445">
        <f>_xlfn.XLOOKUP(M445,'QUADROS QUE FALTARAM'!F:F,'QUADROS QUE FALTARAM'!B:B,0)</f>
        <v>0</v>
      </c>
    </row>
    <row r="446" spans="1:14" x14ac:dyDescent="0.3">
      <c r="A446" s="1" t="s">
        <v>3040</v>
      </c>
      <c r="B446" s="1" t="s">
        <v>1457</v>
      </c>
      <c r="C446" s="59">
        <v>-3863781.91</v>
      </c>
      <c r="D446" s="62">
        <v>1098162.78</v>
      </c>
      <c r="E446" s="62">
        <v>1135736.26</v>
      </c>
      <c r="F446" s="59">
        <v>-3901355.39</v>
      </c>
      <c r="J446" s="67">
        <v>0</v>
      </c>
      <c r="N446">
        <f>_xlfn.XLOOKUP(M446,'QUADROS QUE FALTARAM'!F:F,'QUADROS QUE FALTARAM'!B:B,0)</f>
        <v>0</v>
      </c>
    </row>
    <row r="447" spans="1:14" x14ac:dyDescent="0.3">
      <c r="A447" s="1" t="s">
        <v>3042</v>
      </c>
      <c r="B447" s="1" t="s">
        <v>1461</v>
      </c>
      <c r="C447" s="59">
        <v>-640053.21</v>
      </c>
      <c r="D447" s="62">
        <v>200939.7</v>
      </c>
      <c r="E447" s="62">
        <v>0</v>
      </c>
      <c r="F447" s="59">
        <v>-439113.51</v>
      </c>
      <c r="J447" s="67">
        <v>0</v>
      </c>
      <c r="N447">
        <f>_xlfn.XLOOKUP(M447,'QUADROS QUE FALTARAM'!F:F,'QUADROS QUE FALTARAM'!B:B,0)</f>
        <v>0</v>
      </c>
    </row>
    <row r="448" spans="1:14" x14ac:dyDescent="0.3">
      <c r="A448" t="s">
        <v>3043</v>
      </c>
      <c r="B448" t="s">
        <v>1466</v>
      </c>
      <c r="C448" s="54">
        <v>-640053.21</v>
      </c>
      <c r="D448" s="20">
        <v>200939.7</v>
      </c>
      <c r="E448" s="20">
        <v>0</v>
      </c>
      <c r="F448" s="54">
        <v>-439113.51</v>
      </c>
      <c r="J448" s="67">
        <v>0</v>
      </c>
      <c r="N448">
        <f>_xlfn.XLOOKUP(M448,'QUADROS QUE FALTARAM'!F:F,'QUADROS QUE FALTARAM'!B:B,0)</f>
        <v>0</v>
      </c>
    </row>
    <row r="449" spans="1:14" x14ac:dyDescent="0.3">
      <c r="A449" s="1" t="s">
        <v>3044</v>
      </c>
      <c r="B449" s="1" t="s">
        <v>1469</v>
      </c>
      <c r="C449" s="59">
        <v>-1855688.23</v>
      </c>
      <c r="D449" s="62">
        <v>897223.08</v>
      </c>
      <c r="E449" s="62">
        <v>1135736.26</v>
      </c>
      <c r="F449" s="59">
        <v>-2094201.41</v>
      </c>
      <c r="J449" s="67">
        <v>0</v>
      </c>
      <c r="N449">
        <f>_xlfn.XLOOKUP(M449,'QUADROS QUE FALTARAM'!F:F,'QUADROS QUE FALTARAM'!B:B,0)</f>
        <v>0</v>
      </c>
    </row>
    <row r="450" spans="1:14" x14ac:dyDescent="0.3">
      <c r="A450" t="s">
        <v>3047</v>
      </c>
      <c r="B450" t="s">
        <v>1472</v>
      </c>
      <c r="C450" s="54">
        <v>-175786.58</v>
      </c>
      <c r="D450" s="20">
        <v>37534.51</v>
      </c>
      <c r="E450" s="20">
        <v>0</v>
      </c>
      <c r="F450" s="54">
        <v>-138252.07</v>
      </c>
      <c r="J450" s="67">
        <v>0</v>
      </c>
      <c r="N450">
        <f>_xlfn.XLOOKUP(M450,'QUADROS QUE FALTARAM'!F:F,'QUADROS QUE FALTARAM'!B:B,0)</f>
        <v>0</v>
      </c>
    </row>
    <row r="451" spans="1:14" x14ac:dyDescent="0.3">
      <c r="A451" t="s">
        <v>3048</v>
      </c>
      <c r="B451" t="s">
        <v>1476</v>
      </c>
      <c r="C451" s="54">
        <v>-153769.32</v>
      </c>
      <c r="D451" s="20">
        <v>153769.32</v>
      </c>
      <c r="E451" s="20">
        <v>0</v>
      </c>
      <c r="F451" s="54">
        <v>0</v>
      </c>
      <c r="J451" s="67">
        <v>0</v>
      </c>
      <c r="N451">
        <f>_xlfn.XLOOKUP(M451,'QUADROS QUE FALTARAM'!F:F,'QUADROS QUE FALTARAM'!B:B,0)</f>
        <v>0</v>
      </c>
    </row>
    <row r="452" spans="1:14" x14ac:dyDescent="0.3">
      <c r="A452" t="s">
        <v>3049</v>
      </c>
      <c r="B452" t="s">
        <v>1480</v>
      </c>
      <c r="C452" s="54">
        <v>-68083.66</v>
      </c>
      <c r="D452" s="20">
        <v>68083.66</v>
      </c>
      <c r="E452" s="20">
        <v>0</v>
      </c>
      <c r="F452" s="54">
        <v>0</v>
      </c>
      <c r="J452" s="67">
        <v>0</v>
      </c>
      <c r="N452">
        <f>_xlfn.XLOOKUP(M452,'QUADROS QUE FALTARAM'!F:F,'QUADROS QUE FALTARAM'!B:B,0)</f>
        <v>0</v>
      </c>
    </row>
    <row r="453" spans="1:14" x14ac:dyDescent="0.3">
      <c r="A453" t="s">
        <v>3050</v>
      </c>
      <c r="B453" t="s">
        <v>1484</v>
      </c>
      <c r="C453" s="54">
        <v>-112735.39</v>
      </c>
      <c r="D453" s="20">
        <v>112735.39</v>
      </c>
      <c r="E453" s="20">
        <v>0</v>
      </c>
      <c r="F453" s="54">
        <v>0</v>
      </c>
      <c r="J453" s="67">
        <v>0</v>
      </c>
      <c r="N453">
        <f>_xlfn.XLOOKUP(M453,'QUADROS QUE FALTARAM'!F:F,'QUADROS QUE FALTARAM'!B:B,0)</f>
        <v>0</v>
      </c>
    </row>
    <row r="454" spans="1:14" x14ac:dyDescent="0.3">
      <c r="A454" t="s">
        <v>3051</v>
      </c>
      <c r="B454" t="s">
        <v>1488</v>
      </c>
      <c r="C454" s="54">
        <v>-160401.13</v>
      </c>
      <c r="D454" s="20">
        <v>52249</v>
      </c>
      <c r="E454" s="20">
        <v>0</v>
      </c>
      <c r="F454" s="54">
        <v>-108152.13</v>
      </c>
      <c r="J454" s="67">
        <v>0</v>
      </c>
      <c r="N454">
        <f>_xlfn.XLOOKUP(M454,'QUADROS QUE FALTARAM'!F:F,'QUADROS QUE FALTARAM'!B:B,0)</f>
        <v>0</v>
      </c>
    </row>
    <row r="455" spans="1:14" x14ac:dyDescent="0.3">
      <c r="A455" t="s">
        <v>3052</v>
      </c>
      <c r="B455" t="s">
        <v>1492</v>
      </c>
      <c r="C455" s="54">
        <v>-1074063.6000000001</v>
      </c>
      <c r="D455" s="20">
        <v>239648.6</v>
      </c>
      <c r="E455" s="20">
        <v>0</v>
      </c>
      <c r="F455" s="54">
        <v>-834415</v>
      </c>
      <c r="J455" s="67">
        <v>0</v>
      </c>
      <c r="N455">
        <f>_xlfn.XLOOKUP(M455,'QUADROS QUE FALTARAM'!F:F,'QUADROS QUE FALTARAM'!B:B,0)</f>
        <v>0</v>
      </c>
    </row>
    <row r="456" spans="1:14" x14ac:dyDescent="0.3">
      <c r="A456" t="s">
        <v>3053</v>
      </c>
      <c r="B456" t="s">
        <v>1495</v>
      </c>
      <c r="C456" s="54">
        <v>-110848.55</v>
      </c>
      <c r="D456" s="20">
        <v>35147.06</v>
      </c>
      <c r="E456" s="20">
        <v>0</v>
      </c>
      <c r="F456" s="54">
        <v>-75701.490000000005</v>
      </c>
      <c r="J456" s="67">
        <v>0</v>
      </c>
      <c r="N456">
        <f>_xlfn.XLOOKUP(M456,'QUADROS QUE FALTARAM'!F:F,'QUADROS QUE FALTARAM'!B:B,0)</f>
        <v>0</v>
      </c>
    </row>
    <row r="457" spans="1:14" x14ac:dyDescent="0.3">
      <c r="A457" t="s">
        <v>3054</v>
      </c>
      <c r="B457" t="s">
        <v>2286</v>
      </c>
      <c r="C457" s="54">
        <v>0</v>
      </c>
      <c r="D457" s="20">
        <v>198055.54</v>
      </c>
      <c r="E457" s="20">
        <v>1135736.26</v>
      </c>
      <c r="F457" s="54">
        <v>-937680.72</v>
      </c>
      <c r="J457" s="67" t="s">
        <v>2129</v>
      </c>
      <c r="N457">
        <f>_xlfn.XLOOKUP(M457,'QUADROS QUE FALTARAM'!F:F,'QUADROS QUE FALTARAM'!B:B,0)</f>
        <v>0</v>
      </c>
    </row>
    <row r="458" spans="1:14" x14ac:dyDescent="0.3">
      <c r="A458" s="1" t="s">
        <v>3055</v>
      </c>
      <c r="B458" s="1" t="s">
        <v>1498</v>
      </c>
      <c r="C458" s="59">
        <v>-1368040.47</v>
      </c>
      <c r="D458" s="62">
        <v>0</v>
      </c>
      <c r="E458" s="62">
        <v>0</v>
      </c>
      <c r="F458" s="59">
        <v>-1368040.47</v>
      </c>
      <c r="J458" s="67">
        <v>0</v>
      </c>
      <c r="N458">
        <f>_xlfn.XLOOKUP(M458,'QUADROS QUE FALTARAM'!F:F,'QUADROS QUE FALTARAM'!B:B,0)</f>
        <v>0</v>
      </c>
    </row>
    <row r="459" spans="1:14" x14ac:dyDescent="0.3">
      <c r="A459" t="s">
        <v>3056</v>
      </c>
      <c r="B459" t="s">
        <v>1501</v>
      </c>
      <c r="C459" s="54">
        <v>-1368040.47</v>
      </c>
      <c r="D459" s="20">
        <v>0</v>
      </c>
      <c r="E459" s="20">
        <v>0</v>
      </c>
      <c r="F459" s="54">
        <v>-1368040.47</v>
      </c>
      <c r="J459" s="67">
        <v>0</v>
      </c>
      <c r="N459">
        <f>_xlfn.XLOOKUP(M459,'QUADROS QUE FALTARAM'!F:F,'QUADROS QUE FALTARAM'!B:B,0)</f>
        <v>0</v>
      </c>
    </row>
    <row r="460" spans="1:14" x14ac:dyDescent="0.3">
      <c r="A460" s="1" t="s">
        <v>3057</v>
      </c>
      <c r="B460" s="1" t="s">
        <v>1505</v>
      </c>
      <c r="C460" s="59">
        <v>-37731109.909999996</v>
      </c>
      <c r="D460" s="62">
        <v>315.41000000000003</v>
      </c>
      <c r="E460" s="62">
        <v>7083071.0700000003</v>
      </c>
      <c r="F460" s="59">
        <v>-44813865.57</v>
      </c>
      <c r="J460" s="67">
        <v>0</v>
      </c>
      <c r="N460">
        <f>_xlfn.XLOOKUP(M460,'QUADROS QUE FALTARAM'!F:F,'QUADROS QUE FALTARAM'!B:B,0)</f>
        <v>0</v>
      </c>
    </row>
    <row r="461" spans="1:14" x14ac:dyDescent="0.3">
      <c r="A461" s="1" t="s">
        <v>3059</v>
      </c>
      <c r="B461" s="1" t="s">
        <v>1508</v>
      </c>
      <c r="C461" s="59">
        <v>-37731109.909999996</v>
      </c>
      <c r="D461" s="62">
        <v>315.41000000000003</v>
      </c>
      <c r="E461" s="62">
        <v>7083071.0700000003</v>
      </c>
      <c r="F461" s="59">
        <v>-44813865.57</v>
      </c>
      <c r="J461" s="67">
        <v>0</v>
      </c>
      <c r="N461">
        <f>_xlfn.XLOOKUP(M461,'QUADROS QUE FALTARAM'!F:F,'QUADROS QUE FALTARAM'!B:B,0)</f>
        <v>0</v>
      </c>
    </row>
    <row r="462" spans="1:14" x14ac:dyDescent="0.3">
      <c r="A462" t="s">
        <v>3060</v>
      </c>
      <c r="B462" t="s">
        <v>1511</v>
      </c>
      <c r="C462" s="54">
        <v>-8691622.7100000009</v>
      </c>
      <c r="D462" s="20">
        <v>315.41000000000003</v>
      </c>
      <c r="E462" s="20">
        <v>2061051.35</v>
      </c>
      <c r="F462" s="54">
        <v>-10752358.65</v>
      </c>
      <c r="J462" s="67">
        <v>0</v>
      </c>
      <c r="N462">
        <f>_xlfn.XLOOKUP(M462,'QUADROS QUE FALTARAM'!F:F,'QUADROS QUE FALTARAM'!B:B,0)</f>
        <v>0</v>
      </c>
    </row>
    <row r="463" spans="1:14" x14ac:dyDescent="0.3">
      <c r="A463" t="s">
        <v>3061</v>
      </c>
      <c r="B463" t="s">
        <v>1515</v>
      </c>
      <c r="C463" s="54">
        <v>-27117399.670000002</v>
      </c>
      <c r="D463" s="20">
        <v>0</v>
      </c>
      <c r="E463" s="20">
        <v>5022019.72</v>
      </c>
      <c r="F463" s="54">
        <v>-32139419.390000001</v>
      </c>
      <c r="J463" s="67">
        <v>0</v>
      </c>
      <c r="N463">
        <f>_xlfn.XLOOKUP(M463,'QUADROS QUE FALTARAM'!F:F,'QUADROS QUE FALTARAM'!B:B,0)</f>
        <v>0</v>
      </c>
    </row>
    <row r="464" spans="1:14" x14ac:dyDescent="0.3">
      <c r="A464" t="s">
        <v>3062</v>
      </c>
      <c r="B464" t="s">
        <v>1519</v>
      </c>
      <c r="C464" s="54">
        <v>-1922087.53</v>
      </c>
      <c r="D464" s="20">
        <v>0</v>
      </c>
      <c r="E464" s="20">
        <v>0</v>
      </c>
      <c r="F464" s="54">
        <v>-1922087.53</v>
      </c>
      <c r="J464" s="67">
        <v>0</v>
      </c>
      <c r="N464">
        <f>_xlfn.XLOOKUP(M464,'QUADROS QUE FALTARAM'!F:F,'QUADROS QUE FALTARAM'!B:B,0)</f>
        <v>0</v>
      </c>
    </row>
    <row r="465" spans="1:14" x14ac:dyDescent="0.3">
      <c r="A465" s="1" t="s">
        <v>3063</v>
      </c>
      <c r="B465" s="1" t="s">
        <v>1523</v>
      </c>
      <c r="C465" s="59">
        <v>-13465360.65</v>
      </c>
      <c r="D465" s="62">
        <v>13465360.65</v>
      </c>
      <c r="E465" s="62">
        <v>0</v>
      </c>
      <c r="F465" s="59">
        <v>0</v>
      </c>
      <c r="J465" s="67">
        <v>0</v>
      </c>
      <c r="N465">
        <f>_xlfn.XLOOKUP(M465,'QUADROS QUE FALTARAM'!F:F,'QUADROS QUE FALTARAM'!B:B,0)</f>
        <v>0</v>
      </c>
    </row>
    <row r="466" spans="1:14" x14ac:dyDescent="0.3">
      <c r="A466" s="1" t="s">
        <v>3064</v>
      </c>
      <c r="B466" s="1" t="s">
        <v>1535</v>
      </c>
      <c r="C466" s="59">
        <v>-13465360.65</v>
      </c>
      <c r="D466" s="62">
        <v>13465360.65</v>
      </c>
      <c r="E466" s="62">
        <v>0</v>
      </c>
      <c r="F466" s="59">
        <v>0</v>
      </c>
      <c r="J466" s="67">
        <v>0</v>
      </c>
      <c r="N466">
        <f>_xlfn.XLOOKUP(M466,'QUADROS QUE FALTARAM'!F:F,'QUADROS QUE FALTARAM'!B:B,0)</f>
        <v>0</v>
      </c>
    </row>
    <row r="467" spans="1:14" x14ac:dyDescent="0.3">
      <c r="A467" t="s">
        <v>3065</v>
      </c>
      <c r="B467" t="s">
        <v>1539</v>
      </c>
      <c r="C467" s="54">
        <v>-9901000.4800000004</v>
      </c>
      <c r="D467" s="20">
        <v>9901000.4800000004</v>
      </c>
      <c r="E467" s="20">
        <v>0</v>
      </c>
      <c r="F467" s="54">
        <v>0</v>
      </c>
      <c r="J467" s="67">
        <v>0</v>
      </c>
      <c r="N467">
        <f>_xlfn.XLOOKUP(M467,'QUADROS QUE FALTARAM'!F:F,'QUADROS QUE FALTARAM'!B:B,0)</f>
        <v>0</v>
      </c>
    </row>
    <row r="468" spans="1:14" x14ac:dyDescent="0.3">
      <c r="A468" t="s">
        <v>3066</v>
      </c>
      <c r="B468" t="s">
        <v>1542</v>
      </c>
      <c r="C468" s="54">
        <v>-3564360.17</v>
      </c>
      <c r="D468" s="20">
        <v>3564360.17</v>
      </c>
      <c r="E468" s="20">
        <v>0</v>
      </c>
      <c r="F468" s="54">
        <v>0</v>
      </c>
      <c r="J468" s="67">
        <v>0</v>
      </c>
      <c r="N468">
        <f>_xlfn.XLOOKUP(M468,'QUADROS QUE FALTARAM'!F:F,'QUADROS QUE FALTARAM'!B:B,0)</f>
        <v>0</v>
      </c>
    </row>
    <row r="469" spans="1:14" x14ac:dyDescent="0.3">
      <c r="A469" s="94" t="s">
        <v>3067</v>
      </c>
      <c r="B469" s="94" t="s">
        <v>1545</v>
      </c>
      <c r="C469" s="93">
        <v>-1862269.07</v>
      </c>
      <c r="D469" s="92">
        <v>99092861.239999995</v>
      </c>
      <c r="E469" s="92">
        <v>87553750.400000006</v>
      </c>
      <c r="F469" s="93">
        <v>9676841.7699999996</v>
      </c>
      <c r="G469" s="20"/>
      <c r="J469" s="67">
        <v>0</v>
      </c>
      <c r="N469">
        <f>_xlfn.XLOOKUP(M469,'QUADROS QUE FALTARAM'!F:F,'QUADROS QUE FALTARAM'!B:B,0)</f>
        <v>0</v>
      </c>
    </row>
    <row r="470" spans="1:14" x14ac:dyDescent="0.3">
      <c r="A470" s="1" t="s">
        <v>3070</v>
      </c>
      <c r="B470" s="1" t="s">
        <v>1548</v>
      </c>
      <c r="C470" s="59">
        <v>-240000000</v>
      </c>
      <c r="D470" s="62">
        <v>0</v>
      </c>
      <c r="E470" s="62">
        <v>0</v>
      </c>
      <c r="F470" s="59">
        <v>-240000000</v>
      </c>
      <c r="J470" s="67">
        <v>0</v>
      </c>
      <c r="N470">
        <f>_xlfn.XLOOKUP(M470,'QUADROS QUE FALTARAM'!F:F,'QUADROS QUE FALTARAM'!B:B,0)</f>
        <v>0</v>
      </c>
    </row>
    <row r="471" spans="1:14" x14ac:dyDescent="0.3">
      <c r="A471" s="1" t="s">
        <v>3071</v>
      </c>
      <c r="B471" s="1" t="s">
        <v>1551</v>
      </c>
      <c r="C471" s="59">
        <v>-240000000</v>
      </c>
      <c r="D471" s="62">
        <v>0</v>
      </c>
      <c r="E471" s="62">
        <v>0</v>
      </c>
      <c r="F471" s="59">
        <v>-240000000</v>
      </c>
      <c r="J471" s="67">
        <v>0</v>
      </c>
      <c r="N471">
        <f>_xlfn.XLOOKUP(M471,'QUADROS QUE FALTARAM'!F:F,'QUADROS QUE FALTARAM'!B:B,0)</f>
        <v>0</v>
      </c>
    </row>
    <row r="472" spans="1:14" x14ac:dyDescent="0.3">
      <c r="A472" t="s">
        <v>3072</v>
      </c>
      <c r="B472" t="s">
        <v>1554</v>
      </c>
      <c r="C472" s="54">
        <v>-5518</v>
      </c>
      <c r="D472" s="20">
        <v>0</v>
      </c>
      <c r="E472" s="20">
        <v>0</v>
      </c>
      <c r="F472" s="54">
        <v>-5518</v>
      </c>
      <c r="J472" s="67">
        <v>0</v>
      </c>
      <c r="N472">
        <f>_xlfn.XLOOKUP(M472,'QUADROS QUE FALTARAM'!F:F,'QUADROS QUE FALTARAM'!B:B,0)</f>
        <v>0</v>
      </c>
    </row>
    <row r="473" spans="1:14" x14ac:dyDescent="0.3">
      <c r="A473" t="s">
        <v>3073</v>
      </c>
      <c r="B473" t="s">
        <v>1557</v>
      </c>
      <c r="C473" s="54">
        <v>-73</v>
      </c>
      <c r="D473" s="20">
        <v>0</v>
      </c>
      <c r="E473" s="20">
        <v>0</v>
      </c>
      <c r="F473" s="54">
        <v>-73</v>
      </c>
      <c r="J473" s="67">
        <v>0</v>
      </c>
      <c r="N473">
        <f>_xlfn.XLOOKUP(M473,'QUADROS QUE FALTARAM'!F:F,'QUADROS QUE FALTARAM'!B:B,0)</f>
        <v>0</v>
      </c>
    </row>
    <row r="474" spans="1:14" x14ac:dyDescent="0.3">
      <c r="A474" t="s">
        <v>3074</v>
      </c>
      <c r="B474" t="s">
        <v>1560</v>
      </c>
      <c r="C474" s="54">
        <v>-239994409</v>
      </c>
      <c r="D474" s="20">
        <v>0</v>
      </c>
      <c r="E474" s="20">
        <v>0</v>
      </c>
      <c r="F474" s="54">
        <v>-239994409</v>
      </c>
      <c r="J474" s="67">
        <v>0</v>
      </c>
      <c r="N474">
        <f>_xlfn.XLOOKUP(M474,'QUADROS QUE FALTARAM'!F:F,'QUADROS QUE FALTARAM'!B:B,0)</f>
        <v>0</v>
      </c>
    </row>
    <row r="475" spans="1:14" x14ac:dyDescent="0.3">
      <c r="A475" s="94" t="s">
        <v>3075</v>
      </c>
      <c r="B475" s="94" t="s">
        <v>1563</v>
      </c>
      <c r="C475" s="93">
        <v>-15177736.26</v>
      </c>
      <c r="D475" s="92">
        <v>59378661.479999997</v>
      </c>
      <c r="E475" s="92">
        <v>44200925.219999999</v>
      </c>
      <c r="F475" s="93">
        <v>0</v>
      </c>
      <c r="G475" s="20"/>
      <c r="J475" s="67">
        <v>0</v>
      </c>
      <c r="N475">
        <f>_xlfn.XLOOKUP(M475,'QUADROS QUE FALTARAM'!F:F,'QUADROS QUE FALTARAM'!B:B,0)</f>
        <v>0</v>
      </c>
    </row>
    <row r="476" spans="1:14" x14ac:dyDescent="0.3">
      <c r="A476" s="1" t="s">
        <v>3076</v>
      </c>
      <c r="B476" s="1" t="s">
        <v>1566</v>
      </c>
      <c r="C476" s="59">
        <v>-15177736.26</v>
      </c>
      <c r="D476" s="62">
        <v>59378661.479999997</v>
      </c>
      <c r="E476" s="62">
        <v>44200925.219999999</v>
      </c>
      <c r="F476" s="59">
        <v>0</v>
      </c>
      <c r="G476" s="20"/>
      <c r="J476" s="67">
        <v>0</v>
      </c>
      <c r="N476">
        <f>_xlfn.XLOOKUP(M476,'QUADROS QUE FALTARAM'!F:F,'QUADROS QUE FALTARAM'!B:B,0)</f>
        <v>0</v>
      </c>
    </row>
    <row r="477" spans="1:14" x14ac:dyDescent="0.3">
      <c r="A477" t="s">
        <v>3077</v>
      </c>
      <c r="B477" t="s">
        <v>1573</v>
      </c>
      <c r="C477" s="54">
        <v>-15177736.26</v>
      </c>
      <c r="D477" s="20">
        <v>55468770.020000003</v>
      </c>
      <c r="E477" s="20">
        <v>40291033.759999998</v>
      </c>
      <c r="F477" s="54">
        <v>0</v>
      </c>
      <c r="J477" s="67">
        <v>0</v>
      </c>
      <c r="N477">
        <f>_xlfn.XLOOKUP(M477,'QUADROS QUE FALTARAM'!F:F,'QUADROS QUE FALTARAM'!B:B,0)</f>
        <v>0</v>
      </c>
    </row>
    <row r="478" spans="1:14" x14ac:dyDescent="0.3">
      <c r="A478" t="s">
        <v>3078</v>
      </c>
      <c r="B478" t="s">
        <v>2292</v>
      </c>
      <c r="C478" s="54">
        <v>0</v>
      </c>
      <c r="D478" s="20">
        <v>3909891.46</v>
      </c>
      <c r="E478" s="20">
        <v>3909891.46</v>
      </c>
      <c r="F478" s="54">
        <v>0</v>
      </c>
      <c r="J478" s="67" t="s">
        <v>2129</v>
      </c>
      <c r="N478">
        <f>_xlfn.XLOOKUP(M478,'QUADROS QUE FALTARAM'!F:F,'QUADROS QUE FALTARAM'!B:B,0)</f>
        <v>0</v>
      </c>
    </row>
    <row r="479" spans="1:14" x14ac:dyDescent="0.3">
      <c r="A479" s="1" t="s">
        <v>3079</v>
      </c>
      <c r="B479" s="1" t="s">
        <v>1588</v>
      </c>
      <c r="C479" s="59">
        <v>236799213.87</v>
      </c>
      <c r="D479" s="62">
        <v>39714199.759999998</v>
      </c>
      <c r="E479" s="62">
        <v>43352825.18</v>
      </c>
      <c r="F479" s="59">
        <v>233160588.44999999</v>
      </c>
      <c r="G479" s="20"/>
      <c r="J479" s="67">
        <v>0</v>
      </c>
      <c r="N479">
        <f>_xlfn.XLOOKUP(M479,'QUADROS QUE FALTARAM'!F:F,'QUADROS QUE FALTARAM'!B:B,0)</f>
        <v>0</v>
      </c>
    </row>
    <row r="480" spans="1:14" x14ac:dyDescent="0.3">
      <c r="A480" s="94" t="s">
        <v>3082</v>
      </c>
      <c r="B480" s="94" t="s">
        <v>1591</v>
      </c>
      <c r="C480" s="93">
        <v>10358651.029999999</v>
      </c>
      <c r="D480" s="92">
        <v>16901433.469999999</v>
      </c>
      <c r="E480" s="92">
        <v>18441029.32</v>
      </c>
      <c r="F480" s="93">
        <v>8819055.1799999997</v>
      </c>
      <c r="G480" s="20"/>
      <c r="J480" s="67">
        <v>0</v>
      </c>
      <c r="N480">
        <f>_xlfn.XLOOKUP(M480,'QUADROS QUE FALTARAM'!F:F,'QUADROS QUE FALTARAM'!B:B,0)</f>
        <v>0</v>
      </c>
    </row>
    <row r="481" spans="1:14" x14ac:dyDescent="0.3">
      <c r="A481" t="s">
        <v>3086</v>
      </c>
      <c r="B481" t="s">
        <v>1598</v>
      </c>
      <c r="C481" s="54">
        <v>10358651.029999999</v>
      </c>
      <c r="D481" s="20">
        <v>16901433.469999999</v>
      </c>
      <c r="E481" s="20">
        <v>18441029.32</v>
      </c>
      <c r="F481" s="54">
        <v>8819055.1799999997</v>
      </c>
      <c r="J481" s="67">
        <v>0</v>
      </c>
      <c r="N481">
        <f>_xlfn.XLOOKUP(M481,'QUADROS QUE FALTARAM'!F:F,'QUADROS QUE FALTARAM'!B:B,0)</f>
        <v>0</v>
      </c>
    </row>
    <row r="482" spans="1:14" x14ac:dyDescent="0.3">
      <c r="A482" s="94" t="s">
        <v>3087</v>
      </c>
      <c r="B482" s="94" t="s">
        <v>1601</v>
      </c>
      <c r="C482" s="93">
        <v>226440562.84</v>
      </c>
      <c r="D482" s="92">
        <v>22812766.289999999</v>
      </c>
      <c r="E482" s="92">
        <v>24911795.859999999</v>
      </c>
      <c r="F482" s="93">
        <v>224341533.27000001</v>
      </c>
      <c r="G482" s="20"/>
      <c r="J482" s="67">
        <v>0</v>
      </c>
      <c r="N482">
        <f>_xlfn.XLOOKUP(M482,'QUADROS QUE FALTARAM'!F:F,'QUADROS QUE FALTARAM'!B:B,0)</f>
        <v>0</v>
      </c>
    </row>
    <row r="483" spans="1:14" x14ac:dyDescent="0.3">
      <c r="A483" t="s">
        <v>3090</v>
      </c>
      <c r="B483" t="s">
        <v>1604</v>
      </c>
      <c r="C483" s="54">
        <v>220157379.13</v>
      </c>
      <c r="D483" s="20">
        <v>22812766.289999999</v>
      </c>
      <c r="E483" s="20">
        <v>18628612.149999999</v>
      </c>
      <c r="F483" s="54">
        <v>224341533.27000001</v>
      </c>
      <c r="J483" s="67">
        <v>0</v>
      </c>
      <c r="N483">
        <f>_xlfn.XLOOKUP(M483,'QUADROS QUE FALTARAM'!F:F,'QUADROS QUE FALTARAM'!B:B,0)</f>
        <v>0</v>
      </c>
    </row>
    <row r="484" spans="1:14" x14ac:dyDescent="0.3">
      <c r="A484" t="s">
        <v>3091</v>
      </c>
      <c r="B484" t="s">
        <v>1608</v>
      </c>
      <c r="C484" s="54">
        <v>6283183.71</v>
      </c>
      <c r="D484" s="20">
        <v>0</v>
      </c>
      <c r="E484" s="20">
        <v>6283183.71</v>
      </c>
      <c r="F484" s="54">
        <v>0</v>
      </c>
      <c r="J484" s="67">
        <v>0</v>
      </c>
      <c r="N484">
        <f>_xlfn.XLOOKUP(M484,'QUADROS QUE FALTARAM'!F:F,'QUADROS QUE FALTARAM'!B:B,0)</f>
        <v>0</v>
      </c>
    </row>
    <row r="485" spans="1:14" x14ac:dyDescent="0.3">
      <c r="A485" s="1" t="s">
        <v>3093</v>
      </c>
      <c r="B485" s="1" t="s">
        <v>1611</v>
      </c>
      <c r="C485" s="59">
        <v>16516253.32</v>
      </c>
      <c r="D485" s="62">
        <v>0</v>
      </c>
      <c r="E485" s="62">
        <v>0</v>
      </c>
      <c r="F485" s="59">
        <v>16516253.32</v>
      </c>
      <c r="J485" s="67">
        <v>0</v>
      </c>
      <c r="N485">
        <f>_xlfn.XLOOKUP(M485,'QUADROS QUE FALTARAM'!F:F,'QUADROS QUE FALTARAM'!B:B,0)</f>
        <v>0</v>
      </c>
    </row>
    <row r="486" spans="1:14" x14ac:dyDescent="0.3">
      <c r="A486" s="1" t="s">
        <v>3094</v>
      </c>
      <c r="B486" s="1" t="s">
        <v>1614</v>
      </c>
      <c r="C486" s="59">
        <v>16516253.32</v>
      </c>
      <c r="D486" s="62">
        <v>0</v>
      </c>
      <c r="E486" s="62">
        <v>0</v>
      </c>
      <c r="F486" s="59">
        <v>16516253.32</v>
      </c>
      <c r="J486" s="67">
        <v>0</v>
      </c>
      <c r="N486">
        <f>_xlfn.XLOOKUP(M486,'QUADROS QUE FALTARAM'!F:F,'QUADROS QUE FALTARAM'!B:B,0)</f>
        <v>0</v>
      </c>
    </row>
    <row r="487" spans="1:14" x14ac:dyDescent="0.3">
      <c r="A487" t="s">
        <v>3095</v>
      </c>
      <c r="B487" t="s">
        <v>1617</v>
      </c>
      <c r="C487" s="54">
        <v>16516253.32</v>
      </c>
      <c r="D487" s="20">
        <v>0</v>
      </c>
      <c r="E487" s="20">
        <v>0</v>
      </c>
      <c r="F487" s="54">
        <v>16516253.32</v>
      </c>
      <c r="J487" s="67">
        <v>0</v>
      </c>
      <c r="N487">
        <f>_xlfn.XLOOKUP(M487,'QUADROS QUE FALTARAM'!F:F,'QUADROS QUE FALTARAM'!B:B,0)</f>
        <v>0</v>
      </c>
    </row>
    <row r="488" spans="1:14" hidden="1" x14ac:dyDescent="0.3"/>
    <row r="489" spans="1:14" x14ac:dyDescent="0.3">
      <c r="A489" s="51" t="s">
        <v>3096</v>
      </c>
      <c r="B489" s="51" t="s">
        <v>1634</v>
      </c>
      <c r="C489" s="57">
        <v>0</v>
      </c>
      <c r="D489" s="58">
        <v>47572282.670000002</v>
      </c>
      <c r="E489" s="58">
        <v>5647263.8499999996</v>
      </c>
      <c r="F489" s="57">
        <v>41925018.82</v>
      </c>
      <c r="J489" s="67">
        <v>0</v>
      </c>
      <c r="K489" t="e">
        <f>_xlfn.XLOOKUP(J489,DRE!B:B,DRE!A:A)</f>
        <v>#N/A</v>
      </c>
      <c r="N489">
        <f>_xlfn.XLOOKUP(M489,'QUADROS QUE FALTARAM'!F:F,'QUADROS QUE FALTARAM'!B:B,0)</f>
        <v>0</v>
      </c>
    </row>
    <row r="490" spans="1:14" x14ac:dyDescent="0.3">
      <c r="A490" s="1" t="s">
        <v>3097</v>
      </c>
      <c r="B490" s="1" t="s">
        <v>1637</v>
      </c>
      <c r="C490" s="59">
        <v>0</v>
      </c>
      <c r="D490" s="62">
        <v>15466158.369999999</v>
      </c>
      <c r="E490" s="62">
        <v>5244695.7699999996</v>
      </c>
      <c r="F490" s="59">
        <v>10221462.6</v>
      </c>
      <c r="J490" s="67">
        <v>0</v>
      </c>
      <c r="K490" t="e">
        <f>_xlfn.XLOOKUP(J490,DRE!B:B,DRE!A:A)</f>
        <v>#N/A</v>
      </c>
      <c r="N490">
        <f>_xlfn.XLOOKUP(M490,'QUADROS QUE FALTARAM'!F:F,'QUADROS QUE FALTARAM'!B:B,0)</f>
        <v>0</v>
      </c>
    </row>
    <row r="491" spans="1:14" x14ac:dyDescent="0.3">
      <c r="A491" s="1" t="s">
        <v>3098</v>
      </c>
      <c r="B491" s="1" t="s">
        <v>2297</v>
      </c>
      <c r="C491" s="59">
        <v>0</v>
      </c>
      <c r="D491" s="62">
        <v>8111610.9800000004</v>
      </c>
      <c r="E491" s="62">
        <v>3389550.4</v>
      </c>
      <c r="F491" s="59">
        <v>4722060.58</v>
      </c>
      <c r="J491" s="67" t="s">
        <v>2129</v>
      </c>
      <c r="K491" t="e">
        <f>_xlfn.XLOOKUP(J491,DRE!B:B,DRE!A:A)</f>
        <v>#N/A</v>
      </c>
      <c r="N491">
        <f>_xlfn.XLOOKUP(M491,'QUADROS QUE FALTARAM'!F:F,'QUADROS QUE FALTARAM'!B:B,0)</f>
        <v>0</v>
      </c>
    </row>
    <row r="492" spans="1:14" x14ac:dyDescent="0.3">
      <c r="A492" s="1" t="s">
        <v>3099</v>
      </c>
      <c r="B492" s="1" t="s">
        <v>2298</v>
      </c>
      <c r="C492" s="59">
        <v>0</v>
      </c>
      <c r="D492" s="62">
        <v>8111610.9800000004</v>
      </c>
      <c r="E492" s="62">
        <v>3389550.4</v>
      </c>
      <c r="F492" s="59">
        <v>4722060.58</v>
      </c>
      <c r="J492" s="67" t="s">
        <v>2129</v>
      </c>
      <c r="K492" t="e">
        <f>_xlfn.XLOOKUP(J492,DRE!B:B,DRE!A:A)</f>
        <v>#N/A</v>
      </c>
      <c r="N492">
        <f>_xlfn.XLOOKUP(M492,'QUADROS QUE FALTARAM'!F:F,'QUADROS QUE FALTARAM'!B:B,0)</f>
        <v>0</v>
      </c>
    </row>
    <row r="493" spans="1:14" x14ac:dyDescent="0.3">
      <c r="A493" t="s">
        <v>3100</v>
      </c>
      <c r="B493" t="s">
        <v>2299</v>
      </c>
      <c r="C493" s="54">
        <v>0</v>
      </c>
      <c r="D493" s="20">
        <v>8111610.9800000004</v>
      </c>
      <c r="E493" s="20">
        <v>3016771.84</v>
      </c>
      <c r="F493" s="54">
        <v>5094839.1399999997</v>
      </c>
      <c r="J493" s="67">
        <v>22</v>
      </c>
      <c r="K493" t="str">
        <f>_xlfn.XLOOKUP(J493,DRE!B:B,DRE!A:A)</f>
        <v>Custos com fabricação de Produtos</v>
      </c>
      <c r="M493" t="s">
        <v>2067</v>
      </c>
      <c r="N493" t="str">
        <f>_xlfn.XLOOKUP(M493,'QUADROS QUE FALTARAM'!F:F,'QUADROS QUE FALTARAM'!B:B,0)</f>
        <v>Salários e Encargos</v>
      </c>
    </row>
    <row r="494" spans="1:14" x14ac:dyDescent="0.3">
      <c r="A494" t="s">
        <v>3101</v>
      </c>
      <c r="B494" t="s">
        <v>2300</v>
      </c>
      <c r="C494" s="54">
        <v>0</v>
      </c>
      <c r="D494" s="20">
        <v>0</v>
      </c>
      <c r="E494" s="20">
        <v>372778.56</v>
      </c>
      <c r="F494" s="54">
        <v>-372778.56</v>
      </c>
      <c r="J494" s="69">
        <v>22</v>
      </c>
      <c r="K494" t="str">
        <f>_xlfn.XLOOKUP(J494,DRE!B:B,DRE!A:A)</f>
        <v>Custos com fabricação de Produtos</v>
      </c>
      <c r="M494" t="s">
        <v>2069</v>
      </c>
      <c r="N494" t="str">
        <f>_xlfn.XLOOKUP(M494,'QUADROS QUE FALTARAM'!F:F,'QUADROS QUE FALTARAM'!B:B,0)</f>
        <v>Gastos Gerais de Fabricação e Estoques</v>
      </c>
    </row>
    <row r="495" spans="1:14" x14ac:dyDescent="0.3">
      <c r="A495" s="1" t="s">
        <v>3102</v>
      </c>
      <c r="B495" s="1" t="s">
        <v>1639</v>
      </c>
      <c r="C495" s="59">
        <v>0</v>
      </c>
      <c r="D495" s="62">
        <v>794730.75</v>
      </c>
      <c r="E495" s="62">
        <v>100269.13</v>
      </c>
      <c r="F495" s="59">
        <v>694461.62</v>
      </c>
      <c r="J495" s="67">
        <v>0</v>
      </c>
      <c r="K495" t="e">
        <f>_xlfn.XLOOKUP(J495,DRE!B:B,DRE!A:A)</f>
        <v>#N/A</v>
      </c>
      <c r="N495">
        <f>_xlfn.XLOOKUP(M495,'QUADROS QUE FALTARAM'!F:F,'QUADROS QUE FALTARAM'!B:B,0)</f>
        <v>0</v>
      </c>
    </row>
    <row r="496" spans="1:14" x14ac:dyDescent="0.3">
      <c r="A496" s="1" t="s">
        <v>3103</v>
      </c>
      <c r="B496" s="1" t="s">
        <v>1642</v>
      </c>
      <c r="C496" s="59">
        <v>0</v>
      </c>
      <c r="D496" s="62">
        <v>141116.92000000001</v>
      </c>
      <c r="E496" s="62">
        <v>23403.72</v>
      </c>
      <c r="F496" s="59">
        <v>117713.2</v>
      </c>
      <c r="J496" s="67">
        <v>0</v>
      </c>
      <c r="K496" t="e">
        <f>_xlfn.XLOOKUP(J496,DRE!B:B,DRE!A:A)</f>
        <v>#N/A</v>
      </c>
      <c r="N496">
        <f>_xlfn.XLOOKUP(M496,'QUADROS QUE FALTARAM'!F:F,'QUADROS QUE FALTARAM'!B:B,0)</f>
        <v>0</v>
      </c>
    </row>
    <row r="497" spans="1:14" x14ac:dyDescent="0.3">
      <c r="A497" t="s">
        <v>3104</v>
      </c>
      <c r="B497" t="s">
        <v>1645</v>
      </c>
      <c r="C497" s="54">
        <v>0</v>
      </c>
      <c r="D497" s="20">
        <v>141116.92000000001</v>
      </c>
      <c r="E497" s="20">
        <v>23403.72</v>
      </c>
      <c r="F497" s="54">
        <v>117713.2</v>
      </c>
      <c r="J497" s="69">
        <v>22</v>
      </c>
      <c r="K497" t="str">
        <f>_xlfn.XLOOKUP(J497,DRE!B:B,DRE!A:A)</f>
        <v>Custos com fabricação de Produtos</v>
      </c>
      <c r="M497" t="s">
        <v>2069</v>
      </c>
      <c r="N497" t="str">
        <f>_xlfn.XLOOKUP(M497,'QUADROS QUE FALTARAM'!F:F,'QUADROS QUE FALTARAM'!B:B,0)</f>
        <v>Gastos Gerais de Fabricação e Estoques</v>
      </c>
    </row>
    <row r="498" spans="1:14" x14ac:dyDescent="0.3">
      <c r="A498" s="1" t="s">
        <v>3105</v>
      </c>
      <c r="B498" s="1" t="s">
        <v>1647</v>
      </c>
      <c r="C498" s="59">
        <v>0</v>
      </c>
      <c r="D498" s="62">
        <v>653613.82999999996</v>
      </c>
      <c r="E498" s="62">
        <v>76865.41</v>
      </c>
      <c r="F498" s="59">
        <v>576748.42000000004</v>
      </c>
      <c r="J498" s="67">
        <v>0</v>
      </c>
      <c r="K498" t="e">
        <f>_xlfn.XLOOKUP(J498,DRE!B:B,DRE!A:A)</f>
        <v>#N/A</v>
      </c>
      <c r="N498">
        <f>_xlfn.XLOOKUP(M498,'QUADROS QUE FALTARAM'!F:F,'QUADROS QUE FALTARAM'!B:B,0)</f>
        <v>0</v>
      </c>
    </row>
    <row r="499" spans="1:14" x14ac:dyDescent="0.3">
      <c r="A499" t="s">
        <v>3106</v>
      </c>
      <c r="B499" t="s">
        <v>1650</v>
      </c>
      <c r="C499" s="54">
        <v>0</v>
      </c>
      <c r="D499" s="20">
        <v>1340</v>
      </c>
      <c r="E499" s="20">
        <v>0</v>
      </c>
      <c r="F499" s="54">
        <v>1340</v>
      </c>
      <c r="J499" s="67">
        <v>22</v>
      </c>
      <c r="K499" t="str">
        <f>_xlfn.XLOOKUP(J499,DRE!B:B,DRE!A:A)</f>
        <v>Custos com fabricação de Produtos</v>
      </c>
      <c r="M499" t="s">
        <v>2069</v>
      </c>
      <c r="N499" t="str">
        <f>_xlfn.XLOOKUP(M499,'QUADROS QUE FALTARAM'!F:F,'QUADROS QUE FALTARAM'!B:B,0)</f>
        <v>Gastos Gerais de Fabricação e Estoques</v>
      </c>
    </row>
    <row r="500" spans="1:14" x14ac:dyDescent="0.3">
      <c r="A500" t="s">
        <v>3107</v>
      </c>
      <c r="B500" t="s">
        <v>1653</v>
      </c>
      <c r="C500" s="54">
        <v>0</v>
      </c>
      <c r="D500" s="20">
        <v>6000</v>
      </c>
      <c r="E500" s="20">
        <v>0</v>
      </c>
      <c r="F500" s="54">
        <v>6000</v>
      </c>
      <c r="J500" s="67">
        <v>22</v>
      </c>
      <c r="K500" t="str">
        <f>_xlfn.XLOOKUP(J500,DRE!B:B,DRE!A:A)</f>
        <v>Custos com fabricação de Produtos</v>
      </c>
      <c r="M500" t="s">
        <v>2069</v>
      </c>
      <c r="N500" t="str">
        <f>_xlfn.XLOOKUP(M500,'QUADROS QUE FALTARAM'!F:F,'QUADROS QUE FALTARAM'!B:B,0)</f>
        <v>Gastos Gerais de Fabricação e Estoques</v>
      </c>
    </row>
    <row r="501" spans="1:14" x14ac:dyDescent="0.3">
      <c r="A501" t="s">
        <v>3108</v>
      </c>
      <c r="B501" t="s">
        <v>1655</v>
      </c>
      <c r="C501" s="54">
        <v>0</v>
      </c>
      <c r="D501" s="20">
        <v>383942.99</v>
      </c>
      <c r="E501" s="20">
        <v>76832.509999999995</v>
      </c>
      <c r="F501" s="54">
        <v>307110.48</v>
      </c>
      <c r="J501" s="67">
        <v>22</v>
      </c>
      <c r="K501" t="str">
        <f>_xlfn.XLOOKUP(J501,DRE!B:B,DRE!A:A)</f>
        <v>Custos com fabricação de Produtos</v>
      </c>
      <c r="L501" t="s">
        <v>2097</v>
      </c>
      <c r="M501" t="s">
        <v>2069</v>
      </c>
      <c r="N501" t="str">
        <f>_xlfn.XLOOKUP(M501,'QUADROS QUE FALTARAM'!F:F,'QUADROS QUE FALTARAM'!B:B,0)</f>
        <v>Gastos Gerais de Fabricação e Estoques</v>
      </c>
    </row>
    <row r="502" spans="1:14" x14ac:dyDescent="0.3">
      <c r="A502" t="s">
        <v>3109</v>
      </c>
      <c r="B502" t="s">
        <v>1657</v>
      </c>
      <c r="C502" s="54">
        <v>0</v>
      </c>
      <c r="D502" s="20">
        <v>246333.61</v>
      </c>
      <c r="E502" s="20">
        <v>0</v>
      </c>
      <c r="F502" s="54">
        <v>246333.61</v>
      </c>
      <c r="J502" s="67">
        <v>22</v>
      </c>
      <c r="K502" t="str">
        <f>_xlfn.XLOOKUP(J502,DRE!B:B,DRE!A:A)</f>
        <v>Custos com fabricação de Produtos</v>
      </c>
      <c r="M502" t="s">
        <v>2069</v>
      </c>
      <c r="N502" t="str">
        <f>_xlfn.XLOOKUP(M502,'QUADROS QUE FALTARAM'!F:F,'QUADROS QUE FALTARAM'!B:B,0)</f>
        <v>Gastos Gerais de Fabricação e Estoques</v>
      </c>
    </row>
    <row r="503" spans="1:14" x14ac:dyDescent="0.3">
      <c r="A503" t="s">
        <v>3110</v>
      </c>
      <c r="B503" t="s">
        <v>1663</v>
      </c>
      <c r="C503" s="54">
        <v>0</v>
      </c>
      <c r="D503" s="20">
        <v>32.9</v>
      </c>
      <c r="E503" s="20">
        <v>32.9</v>
      </c>
      <c r="F503" s="54">
        <v>0</v>
      </c>
      <c r="J503" s="67">
        <v>22</v>
      </c>
      <c r="K503" t="str">
        <f>_xlfn.XLOOKUP(J503,DRE!B:B,DRE!A:A)</f>
        <v>Custos com fabricação de Produtos</v>
      </c>
      <c r="M503" t="s">
        <v>2069</v>
      </c>
      <c r="N503" t="str">
        <f>_xlfn.XLOOKUP(M503,'QUADROS QUE FALTARAM'!F:F,'QUADROS QUE FALTARAM'!B:B,0)</f>
        <v>Gastos Gerais de Fabricação e Estoques</v>
      </c>
    </row>
    <row r="504" spans="1:14" x14ac:dyDescent="0.3">
      <c r="A504" t="s">
        <v>3111</v>
      </c>
      <c r="B504" t="s">
        <v>1666</v>
      </c>
      <c r="C504" s="54">
        <v>0</v>
      </c>
      <c r="D504" s="20">
        <v>15964.33</v>
      </c>
      <c r="E504" s="20">
        <v>0</v>
      </c>
      <c r="F504" s="54">
        <v>15964.33</v>
      </c>
      <c r="J504" s="67">
        <v>22</v>
      </c>
      <c r="K504" t="str">
        <f>_xlfn.XLOOKUP(J504,DRE!B:B,DRE!A:A)</f>
        <v>Custos com fabricação de Produtos</v>
      </c>
      <c r="M504" t="s">
        <v>2069</v>
      </c>
      <c r="N504" t="str">
        <f>_xlfn.XLOOKUP(M504,'QUADROS QUE FALTARAM'!F:F,'QUADROS QUE FALTARAM'!B:B,0)</f>
        <v>Gastos Gerais de Fabricação e Estoques</v>
      </c>
    </row>
    <row r="505" spans="1:14" x14ac:dyDescent="0.3">
      <c r="A505" s="1" t="s">
        <v>3112</v>
      </c>
      <c r="B505" s="1" t="s">
        <v>1668</v>
      </c>
      <c r="C505" s="59">
        <v>0</v>
      </c>
      <c r="D505" s="62">
        <v>6559816.6399999997</v>
      </c>
      <c r="E505" s="62">
        <v>1754876.24</v>
      </c>
      <c r="F505" s="59">
        <v>4804940.4000000004</v>
      </c>
      <c r="J505" s="67">
        <v>0</v>
      </c>
      <c r="K505" t="e">
        <f>_xlfn.XLOOKUP(J505,DRE!B:B,DRE!A:A)</f>
        <v>#N/A</v>
      </c>
      <c r="N505">
        <f>_xlfn.XLOOKUP(M505,'QUADROS QUE FALTARAM'!F:F,'QUADROS QUE FALTARAM'!B:B,0)</f>
        <v>0</v>
      </c>
    </row>
    <row r="506" spans="1:14" x14ac:dyDescent="0.3">
      <c r="A506" s="1" t="s">
        <v>3113</v>
      </c>
      <c r="B506" s="1" t="s">
        <v>2302</v>
      </c>
      <c r="C506" s="59">
        <v>0</v>
      </c>
      <c r="D506" s="62">
        <v>2865668.22</v>
      </c>
      <c r="E506" s="62">
        <v>0</v>
      </c>
      <c r="F506" s="59">
        <v>2865668.22</v>
      </c>
      <c r="J506" s="67" t="s">
        <v>2129</v>
      </c>
      <c r="K506" t="e">
        <f>_xlfn.XLOOKUP(J506,DRE!B:B,DRE!A:A)</f>
        <v>#N/A</v>
      </c>
      <c r="N506">
        <f>_xlfn.XLOOKUP(M506,'QUADROS QUE FALTARAM'!F:F,'QUADROS QUE FALTARAM'!B:B,0)</f>
        <v>0</v>
      </c>
    </row>
    <row r="507" spans="1:14" x14ac:dyDescent="0.3">
      <c r="A507" t="s">
        <v>3114</v>
      </c>
      <c r="B507" t="s">
        <v>2304</v>
      </c>
      <c r="C507" s="54">
        <v>0</v>
      </c>
      <c r="D507" s="20">
        <v>19466.12</v>
      </c>
      <c r="E507" s="20">
        <v>0</v>
      </c>
      <c r="F507" s="54">
        <v>19466.12</v>
      </c>
      <c r="J507" s="69">
        <v>22</v>
      </c>
      <c r="K507" t="str">
        <f>_xlfn.XLOOKUP(J507,DRE!B:B,DRE!A:A)</f>
        <v>Custos com fabricação de Produtos</v>
      </c>
      <c r="M507" t="s">
        <v>2069</v>
      </c>
      <c r="N507" t="str">
        <f>_xlfn.XLOOKUP(M507,'QUADROS QUE FALTARAM'!F:F,'QUADROS QUE FALTARAM'!B:B,0)</f>
        <v>Gastos Gerais de Fabricação e Estoques</v>
      </c>
    </row>
    <row r="508" spans="1:14" x14ac:dyDescent="0.3">
      <c r="A508" t="s">
        <v>3115</v>
      </c>
      <c r="B508" t="s">
        <v>2306</v>
      </c>
      <c r="C508" s="54">
        <v>0</v>
      </c>
      <c r="D508" s="20">
        <v>11800.49</v>
      </c>
      <c r="E508" s="20">
        <v>0</v>
      </c>
      <c r="F508" s="54">
        <v>11800.49</v>
      </c>
      <c r="J508" s="69">
        <v>22</v>
      </c>
      <c r="K508" t="str">
        <f>_xlfn.XLOOKUP(J508,DRE!B:B,DRE!A:A)</f>
        <v>Custos com fabricação de Produtos</v>
      </c>
      <c r="M508" t="s">
        <v>2069</v>
      </c>
      <c r="N508" t="str">
        <f>_xlfn.XLOOKUP(M508,'QUADROS QUE FALTARAM'!F:F,'QUADROS QUE FALTARAM'!B:B,0)</f>
        <v>Gastos Gerais de Fabricação e Estoques</v>
      </c>
    </row>
    <row r="509" spans="1:14" x14ac:dyDescent="0.3">
      <c r="A509" t="s">
        <v>3116</v>
      </c>
      <c r="B509" t="s">
        <v>2308</v>
      </c>
      <c r="C509" s="54">
        <v>0</v>
      </c>
      <c r="D509" s="20">
        <v>2834401.61</v>
      </c>
      <c r="E509" s="20">
        <v>0</v>
      </c>
      <c r="F509" s="54">
        <v>2834401.61</v>
      </c>
      <c r="J509" s="69">
        <v>22</v>
      </c>
      <c r="K509" t="str">
        <f>_xlfn.XLOOKUP(J509,DRE!B:B,DRE!A:A)</f>
        <v>Custos com fabricação de Produtos</v>
      </c>
      <c r="M509" t="s">
        <v>2069</v>
      </c>
      <c r="N509" t="str">
        <f>_xlfn.XLOOKUP(M509,'QUADROS QUE FALTARAM'!F:F,'QUADROS QUE FALTARAM'!B:B,0)</f>
        <v>Gastos Gerais de Fabricação e Estoques</v>
      </c>
    </row>
    <row r="510" spans="1:14" x14ac:dyDescent="0.3">
      <c r="A510" s="1" t="s">
        <v>3117</v>
      </c>
      <c r="B510" s="1" t="s">
        <v>1676</v>
      </c>
      <c r="C510" s="59">
        <v>0</v>
      </c>
      <c r="D510" s="62">
        <v>3667501.99</v>
      </c>
      <c r="E510" s="62">
        <v>1754876.24</v>
      </c>
      <c r="F510" s="59">
        <v>1912625.75</v>
      </c>
      <c r="J510" s="67">
        <v>0</v>
      </c>
      <c r="K510" t="e">
        <f>_xlfn.XLOOKUP(J510,DRE!B:B,DRE!A:A)</f>
        <v>#N/A</v>
      </c>
      <c r="N510">
        <f>_xlfn.XLOOKUP(M510,'QUADROS QUE FALTARAM'!F:F,'QUADROS QUE FALTARAM'!B:B,0)</f>
        <v>0</v>
      </c>
    </row>
    <row r="511" spans="1:14" x14ac:dyDescent="0.3">
      <c r="A511" t="s">
        <v>3118</v>
      </c>
      <c r="B511" t="s">
        <v>1679</v>
      </c>
      <c r="C511" s="54">
        <v>0</v>
      </c>
      <c r="D511" s="20">
        <v>517.87</v>
      </c>
      <c r="E511" s="20">
        <v>0</v>
      </c>
      <c r="F511" s="54">
        <v>517.87</v>
      </c>
      <c r="J511" s="67">
        <v>22</v>
      </c>
      <c r="K511" t="str">
        <f>_xlfn.XLOOKUP(J511,DRE!B:B,DRE!A:A)</f>
        <v>Custos com fabricação de Produtos</v>
      </c>
      <c r="M511" t="s">
        <v>2069</v>
      </c>
      <c r="N511" t="str">
        <f>_xlfn.XLOOKUP(M511,'QUADROS QUE FALTARAM'!F:F,'QUADROS QUE FALTARAM'!B:B,0)</f>
        <v>Gastos Gerais de Fabricação e Estoques</v>
      </c>
    </row>
    <row r="512" spans="1:14" x14ac:dyDescent="0.3">
      <c r="A512" t="s">
        <v>3119</v>
      </c>
      <c r="B512" t="s">
        <v>1682</v>
      </c>
      <c r="C512" s="54">
        <v>0</v>
      </c>
      <c r="D512" s="20">
        <v>3666187.14</v>
      </c>
      <c r="E512" s="20">
        <v>1754876.24</v>
      </c>
      <c r="F512" s="54">
        <v>1911310.9</v>
      </c>
      <c r="J512" s="67">
        <v>22</v>
      </c>
      <c r="K512" t="str">
        <f>_xlfn.XLOOKUP(J512,DRE!B:B,DRE!A:A)</f>
        <v>Custos com fabricação de Produtos</v>
      </c>
      <c r="M512" t="s">
        <v>2069</v>
      </c>
      <c r="N512" t="str">
        <f>_xlfn.XLOOKUP(M512,'QUADROS QUE FALTARAM'!F:F,'QUADROS QUE FALTARAM'!B:B,0)</f>
        <v>Gastos Gerais de Fabricação e Estoques</v>
      </c>
    </row>
    <row r="513" spans="1:14" x14ac:dyDescent="0.3">
      <c r="A513" t="s">
        <v>3120</v>
      </c>
      <c r="B513" t="s">
        <v>1685</v>
      </c>
      <c r="C513" s="54">
        <v>0</v>
      </c>
      <c r="D513" s="20">
        <v>621.77</v>
      </c>
      <c r="E513" s="20">
        <v>0</v>
      </c>
      <c r="F513" s="54">
        <v>621.77</v>
      </c>
      <c r="J513" s="67">
        <v>22</v>
      </c>
      <c r="K513" t="str">
        <f>_xlfn.XLOOKUP(J513,DRE!B:B,DRE!A:A)</f>
        <v>Custos com fabricação de Produtos</v>
      </c>
      <c r="M513" t="s">
        <v>2071</v>
      </c>
      <c r="N513" t="str">
        <f>_xlfn.XLOOKUP(M513,'QUADROS QUE FALTARAM'!F:F,'QUADROS QUE FALTARAM'!B:B,0)</f>
        <v>Despesas com Importação</v>
      </c>
    </row>
    <row r="514" spans="1:14" x14ac:dyDescent="0.3">
      <c r="A514" t="s">
        <v>3121</v>
      </c>
      <c r="B514" t="s">
        <v>1688</v>
      </c>
      <c r="C514" s="54">
        <v>0</v>
      </c>
      <c r="D514" s="20">
        <v>172.04</v>
      </c>
      <c r="E514" s="20">
        <v>0</v>
      </c>
      <c r="F514" s="54">
        <v>172.04</v>
      </c>
      <c r="J514" s="67">
        <v>22</v>
      </c>
      <c r="K514" t="str">
        <f>_xlfn.XLOOKUP(J514,DRE!B:B,DRE!A:A)</f>
        <v>Custos com fabricação de Produtos</v>
      </c>
      <c r="M514" t="s">
        <v>2073</v>
      </c>
      <c r="N514" t="str">
        <f>_xlfn.XLOOKUP(M514,'QUADROS QUE FALTARAM'!F:F,'QUADROS QUE FALTARAM'!B:B,0)</f>
        <v xml:space="preserve">Outros  </v>
      </c>
    </row>
    <row r="515" spans="1:14" x14ac:dyDescent="0.3">
      <c r="A515" t="s">
        <v>3122</v>
      </c>
      <c r="B515" t="s">
        <v>1691</v>
      </c>
      <c r="C515" s="54">
        <v>0</v>
      </c>
      <c r="D515" s="20">
        <v>2.89</v>
      </c>
      <c r="E515" s="20">
        <v>0</v>
      </c>
      <c r="F515" s="54">
        <v>2.89</v>
      </c>
      <c r="J515" s="67">
        <v>22</v>
      </c>
      <c r="K515" t="str">
        <f>_xlfn.XLOOKUP(J515,DRE!B:B,DRE!A:A)</f>
        <v>Custos com fabricação de Produtos</v>
      </c>
      <c r="M515" t="s">
        <v>2073</v>
      </c>
      <c r="N515" t="str">
        <f>_xlfn.XLOOKUP(M515,'QUADROS QUE FALTARAM'!F:F,'QUADROS QUE FALTARAM'!B:B,0)</f>
        <v xml:space="preserve">Outros  </v>
      </c>
    </row>
    <row r="516" spans="1:14" x14ac:dyDescent="0.3">
      <c r="A516" t="s">
        <v>3123</v>
      </c>
      <c r="B516" t="s">
        <v>2310</v>
      </c>
      <c r="C516" s="54">
        <v>0</v>
      </c>
      <c r="D516" s="20">
        <v>0.28000000000000003</v>
      </c>
      <c r="E516" s="20">
        <v>0</v>
      </c>
      <c r="F516" s="54">
        <v>0.28000000000000003</v>
      </c>
      <c r="J516" s="67">
        <v>22</v>
      </c>
      <c r="K516" t="str">
        <f>_xlfn.XLOOKUP(J516,DRE!B:B,DRE!A:A)</f>
        <v>Custos com fabricação de Produtos</v>
      </c>
      <c r="M516" t="s">
        <v>2073</v>
      </c>
      <c r="N516" t="str">
        <f>_xlfn.XLOOKUP(M516,'QUADROS QUE FALTARAM'!F:F,'QUADROS QUE FALTARAM'!B:B,0)</f>
        <v xml:space="preserve">Outros  </v>
      </c>
    </row>
    <row r="517" spans="1:14" x14ac:dyDescent="0.3">
      <c r="A517" s="1" t="s">
        <v>3124</v>
      </c>
      <c r="B517" s="1" t="s">
        <v>2312</v>
      </c>
      <c r="C517" s="59">
        <v>0</v>
      </c>
      <c r="D517" s="62">
        <v>26646.43</v>
      </c>
      <c r="E517" s="62">
        <v>0</v>
      </c>
      <c r="F517" s="59">
        <v>26646.43</v>
      </c>
      <c r="J517" s="67" t="s">
        <v>2129</v>
      </c>
      <c r="K517" t="e">
        <f>_xlfn.XLOOKUP(J517,DRE!B:B,DRE!A:A)</f>
        <v>#N/A</v>
      </c>
      <c r="N517">
        <f>_xlfn.XLOOKUP(M517,'QUADROS QUE FALTARAM'!F:F,'QUADROS QUE FALTARAM'!B:B,0)</f>
        <v>0</v>
      </c>
    </row>
    <row r="518" spans="1:14" x14ac:dyDescent="0.3">
      <c r="A518" t="s">
        <v>3125</v>
      </c>
      <c r="B518" t="s">
        <v>2314</v>
      </c>
      <c r="C518" s="54">
        <v>0</v>
      </c>
      <c r="D518" s="20">
        <v>26646.43</v>
      </c>
      <c r="E518" s="20">
        <v>0</v>
      </c>
      <c r="F518" s="54">
        <v>26646.43</v>
      </c>
      <c r="J518" s="67">
        <v>22</v>
      </c>
      <c r="K518" t="str">
        <f>_xlfn.XLOOKUP(J518,DRE!B:B,DRE!A:A)</f>
        <v>Custos com fabricação de Produtos</v>
      </c>
      <c r="M518" t="s">
        <v>2073</v>
      </c>
      <c r="N518" t="str">
        <f>_xlfn.XLOOKUP(M518,'QUADROS QUE FALTARAM'!F:F,'QUADROS QUE FALTARAM'!B:B,0)</f>
        <v xml:space="preserve">Outros  </v>
      </c>
    </row>
    <row r="519" spans="1:14" x14ac:dyDescent="0.3">
      <c r="A519" s="51" t="s">
        <v>3126</v>
      </c>
      <c r="B519" s="51" t="s">
        <v>1694</v>
      </c>
      <c r="C519" s="57">
        <v>0</v>
      </c>
      <c r="D519" s="58">
        <v>32106124.300000001</v>
      </c>
      <c r="E519" s="58">
        <v>402568.08</v>
      </c>
      <c r="F519" s="57">
        <v>31703556.219999999</v>
      </c>
      <c r="J519" s="67">
        <v>0</v>
      </c>
      <c r="K519" t="e">
        <f>_xlfn.XLOOKUP(J519,DRE!B:B,DRE!A:A)</f>
        <v>#N/A</v>
      </c>
      <c r="N519">
        <f>_xlfn.XLOOKUP(M519,'QUADROS QUE FALTARAM'!F:F,'QUADROS QUE FALTARAM'!B:B,0)</f>
        <v>0</v>
      </c>
    </row>
    <row r="520" spans="1:14" x14ac:dyDescent="0.3">
      <c r="A520" s="1" t="s">
        <v>3127</v>
      </c>
      <c r="B520" s="1" t="s">
        <v>1697</v>
      </c>
      <c r="C520" s="59">
        <v>0</v>
      </c>
      <c r="D520" s="62">
        <v>32106124.300000001</v>
      </c>
      <c r="E520" s="62">
        <v>402568.08</v>
      </c>
      <c r="F520" s="59">
        <v>31703556.219999999</v>
      </c>
      <c r="J520" s="67">
        <v>0</v>
      </c>
      <c r="K520" t="e">
        <f>_xlfn.XLOOKUP(J520,DRE!B:B,DRE!A:A)</f>
        <v>#N/A</v>
      </c>
      <c r="N520">
        <f>_xlfn.XLOOKUP(M520,'QUADROS QUE FALTARAM'!F:F,'QUADROS QUE FALTARAM'!B:B,0)</f>
        <v>0</v>
      </c>
    </row>
    <row r="521" spans="1:14" x14ac:dyDescent="0.3">
      <c r="A521" s="1" t="s">
        <v>3128</v>
      </c>
      <c r="B521" s="1" t="s">
        <v>1699</v>
      </c>
      <c r="C521" s="59">
        <v>0</v>
      </c>
      <c r="D521" s="62">
        <v>7125493.7000000002</v>
      </c>
      <c r="E521" s="62">
        <v>251674.1</v>
      </c>
      <c r="F521" s="59">
        <v>6873819.5999999996</v>
      </c>
      <c r="J521" s="67">
        <v>0</v>
      </c>
      <c r="K521" t="e">
        <f>_xlfn.XLOOKUP(J521,DRE!B:B,DRE!A:A)</f>
        <v>#N/A</v>
      </c>
      <c r="N521">
        <f>_xlfn.XLOOKUP(M521,'QUADROS QUE FALTARAM'!F:F,'QUADROS QUE FALTARAM'!B:B,0)</f>
        <v>0</v>
      </c>
    </row>
    <row r="522" spans="1:14" x14ac:dyDescent="0.3">
      <c r="A522" t="s">
        <v>3129</v>
      </c>
      <c r="B522" t="s">
        <v>1702</v>
      </c>
      <c r="C522" s="54">
        <v>0</v>
      </c>
      <c r="D522" s="20">
        <v>195397.71</v>
      </c>
      <c r="E522" s="20">
        <v>31.97</v>
      </c>
      <c r="F522" s="54">
        <v>195365.74</v>
      </c>
      <c r="J522" s="67">
        <v>23</v>
      </c>
      <c r="K522" t="str">
        <f>_xlfn.XLOOKUP(J522,DRE!B:B,DRE!A:A)</f>
        <v>DESPESAS OPERACIONAIS E ADMINISTRATIVAS</v>
      </c>
      <c r="M522" s="17" t="s">
        <v>2076</v>
      </c>
      <c r="N522" t="str">
        <f>_xlfn.XLOOKUP(M522,'QUADROS QUE FALTARAM'!F:F,'QUADROS QUE FALTARAM'!B:B,0)</f>
        <v>Com pessoal e encargos</v>
      </c>
    </row>
    <row r="523" spans="1:14" x14ac:dyDescent="0.3">
      <c r="A523" t="s">
        <v>3130</v>
      </c>
      <c r="B523" t="s">
        <v>1705</v>
      </c>
      <c r="C523" s="54">
        <v>0</v>
      </c>
      <c r="D523" s="20">
        <v>175646.98</v>
      </c>
      <c r="E523" s="20">
        <v>0</v>
      </c>
      <c r="F523" s="54">
        <v>175646.98</v>
      </c>
      <c r="J523" s="67">
        <v>23</v>
      </c>
      <c r="K523" t="str">
        <f>_xlfn.XLOOKUP(J523,DRE!B:B,DRE!A:A)</f>
        <v>DESPESAS OPERACIONAIS E ADMINISTRATIVAS</v>
      </c>
      <c r="M523" s="17" t="s">
        <v>2076</v>
      </c>
      <c r="N523" t="str">
        <f>_xlfn.XLOOKUP(M523,'QUADROS QUE FALTARAM'!F:F,'QUADROS QUE FALTARAM'!B:B,0)</f>
        <v>Com pessoal e encargos</v>
      </c>
    </row>
    <row r="524" spans="1:14" x14ac:dyDescent="0.3">
      <c r="A524" t="s">
        <v>3131</v>
      </c>
      <c r="B524" t="s">
        <v>1711</v>
      </c>
      <c r="C524" s="54">
        <v>0</v>
      </c>
      <c r="D524" s="20">
        <v>57490.46</v>
      </c>
      <c r="E524" s="20">
        <v>0</v>
      </c>
      <c r="F524" s="54">
        <v>57490.46</v>
      </c>
      <c r="J524" s="67">
        <v>23</v>
      </c>
      <c r="K524" t="str">
        <f>_xlfn.XLOOKUP(J524,DRE!B:B,DRE!A:A)</f>
        <v>DESPESAS OPERACIONAIS E ADMINISTRATIVAS</v>
      </c>
      <c r="M524" s="17" t="s">
        <v>2076</v>
      </c>
      <c r="N524" t="str">
        <f>_xlfn.XLOOKUP(M524,'QUADROS QUE FALTARAM'!F:F,'QUADROS QUE FALTARAM'!B:B,0)</f>
        <v>Com pessoal e encargos</v>
      </c>
    </row>
    <row r="525" spans="1:14" x14ac:dyDescent="0.3">
      <c r="A525" t="s">
        <v>3132</v>
      </c>
      <c r="B525" t="s">
        <v>2315</v>
      </c>
      <c r="C525" s="54">
        <v>0</v>
      </c>
      <c r="D525" s="20">
        <v>0</v>
      </c>
      <c r="E525" s="20">
        <v>1359.98</v>
      </c>
      <c r="F525" s="54">
        <v>-1359.98</v>
      </c>
      <c r="J525" s="69">
        <v>23</v>
      </c>
      <c r="K525" t="str">
        <f>_xlfn.XLOOKUP(J525,DRE!B:B,DRE!A:A)</f>
        <v>DESPESAS OPERACIONAIS E ADMINISTRATIVAS</v>
      </c>
      <c r="M525" s="17" t="s">
        <v>2076</v>
      </c>
      <c r="N525" t="str">
        <f>_xlfn.XLOOKUP(M525,'QUADROS QUE FALTARAM'!F:F,'QUADROS QUE FALTARAM'!B:B,0)</f>
        <v>Com pessoal e encargos</v>
      </c>
    </row>
    <row r="526" spans="1:14" x14ac:dyDescent="0.3">
      <c r="A526" t="s">
        <v>3133</v>
      </c>
      <c r="B526" t="s">
        <v>2316</v>
      </c>
      <c r="C526" s="54">
        <v>0</v>
      </c>
      <c r="D526" s="20">
        <v>1901.06</v>
      </c>
      <c r="E526" s="20">
        <v>0</v>
      </c>
      <c r="F526" s="54">
        <v>1901.06</v>
      </c>
      <c r="J526" s="69">
        <v>23</v>
      </c>
      <c r="K526" t="str">
        <f>_xlfn.XLOOKUP(J526,DRE!B:B,DRE!A:A)</f>
        <v>DESPESAS OPERACIONAIS E ADMINISTRATIVAS</v>
      </c>
      <c r="M526" s="17" t="s">
        <v>2076</v>
      </c>
      <c r="N526" t="str">
        <f>_xlfn.XLOOKUP(M526,'QUADROS QUE FALTARAM'!F:F,'QUADROS QUE FALTARAM'!B:B,0)</f>
        <v>Com pessoal e encargos</v>
      </c>
    </row>
    <row r="527" spans="1:14" x14ac:dyDescent="0.3">
      <c r="A527" t="s">
        <v>3134</v>
      </c>
      <c r="B527" t="s">
        <v>1717</v>
      </c>
      <c r="C527" s="54">
        <v>0</v>
      </c>
      <c r="D527" s="20">
        <v>2735490.17</v>
      </c>
      <c r="E527" s="20">
        <v>0</v>
      </c>
      <c r="F527" s="54">
        <v>2735490.17</v>
      </c>
      <c r="J527" s="67">
        <v>23</v>
      </c>
      <c r="K527" t="str">
        <f>_xlfn.XLOOKUP(J527,DRE!B:B,DRE!A:A)</f>
        <v>DESPESAS OPERACIONAIS E ADMINISTRATIVAS</v>
      </c>
      <c r="M527" s="17" t="s">
        <v>2076</v>
      </c>
      <c r="N527" t="str">
        <f>_xlfn.XLOOKUP(M527,'QUADROS QUE FALTARAM'!F:F,'QUADROS QUE FALTARAM'!B:B,0)</f>
        <v>Com pessoal e encargos</v>
      </c>
    </row>
    <row r="528" spans="1:14" x14ac:dyDescent="0.3">
      <c r="A528" t="s">
        <v>3135</v>
      </c>
      <c r="B528" t="s">
        <v>2317</v>
      </c>
      <c r="C528" s="54">
        <v>0</v>
      </c>
      <c r="D528" s="20">
        <v>4026.33</v>
      </c>
      <c r="E528" s="20">
        <v>0</v>
      </c>
      <c r="F528" s="54">
        <v>4026.33</v>
      </c>
      <c r="J528" s="69">
        <v>23</v>
      </c>
      <c r="K528" t="str">
        <f>_xlfn.XLOOKUP(J528,DRE!B:B,DRE!A:A)</f>
        <v>DESPESAS OPERACIONAIS E ADMINISTRATIVAS</v>
      </c>
      <c r="M528" s="17" t="s">
        <v>2076</v>
      </c>
      <c r="N528" t="str">
        <f>_xlfn.XLOOKUP(M528,'QUADROS QUE FALTARAM'!F:F,'QUADROS QUE FALTARAM'!B:B,0)</f>
        <v>Com pessoal e encargos</v>
      </c>
    </row>
    <row r="529" spans="1:14" x14ac:dyDescent="0.3">
      <c r="A529" t="s">
        <v>3136</v>
      </c>
      <c r="B529" t="s">
        <v>1720</v>
      </c>
      <c r="C529" s="54">
        <v>0</v>
      </c>
      <c r="D529" s="20">
        <v>642936.17000000004</v>
      </c>
      <c r="E529" s="20">
        <v>7905.58</v>
      </c>
      <c r="F529" s="54">
        <v>635030.59</v>
      </c>
      <c r="J529" s="67">
        <v>23</v>
      </c>
      <c r="K529" t="str">
        <f>_xlfn.XLOOKUP(J529,DRE!B:B,DRE!A:A)</f>
        <v>DESPESAS OPERACIONAIS E ADMINISTRATIVAS</v>
      </c>
      <c r="M529" s="17" t="s">
        <v>2076</v>
      </c>
      <c r="N529" t="str">
        <f>_xlfn.XLOOKUP(M529,'QUADROS QUE FALTARAM'!F:F,'QUADROS QUE FALTARAM'!B:B,0)</f>
        <v>Com pessoal e encargos</v>
      </c>
    </row>
    <row r="530" spans="1:14" x14ac:dyDescent="0.3">
      <c r="A530" t="s">
        <v>3137</v>
      </c>
      <c r="B530" t="s">
        <v>1723</v>
      </c>
      <c r="C530" s="54">
        <v>0</v>
      </c>
      <c r="D530" s="20">
        <v>56026.09</v>
      </c>
      <c r="E530" s="20">
        <v>0</v>
      </c>
      <c r="F530" s="54">
        <v>56026.09</v>
      </c>
      <c r="J530" s="67">
        <v>23</v>
      </c>
      <c r="K530" t="str">
        <f>_xlfn.XLOOKUP(J530,DRE!B:B,DRE!A:A)</f>
        <v>DESPESAS OPERACIONAIS E ADMINISTRATIVAS</v>
      </c>
      <c r="M530" s="17" t="s">
        <v>2076</v>
      </c>
      <c r="N530" t="str">
        <f>_xlfn.XLOOKUP(M530,'QUADROS QUE FALTARAM'!F:F,'QUADROS QUE FALTARAM'!B:B,0)</f>
        <v>Com pessoal e encargos</v>
      </c>
    </row>
    <row r="531" spans="1:14" x14ac:dyDescent="0.3">
      <c r="A531" t="s">
        <v>3138</v>
      </c>
      <c r="B531" t="s">
        <v>1726</v>
      </c>
      <c r="C531" s="54">
        <v>0</v>
      </c>
      <c r="D531" s="20">
        <v>75827.64</v>
      </c>
      <c r="E531" s="20">
        <v>0</v>
      </c>
      <c r="F531" s="54">
        <v>75827.64</v>
      </c>
      <c r="J531" s="67">
        <v>23</v>
      </c>
      <c r="K531" t="str">
        <f>_xlfn.XLOOKUP(J531,DRE!B:B,DRE!A:A)</f>
        <v>DESPESAS OPERACIONAIS E ADMINISTRATIVAS</v>
      </c>
      <c r="M531" s="17" t="s">
        <v>2076</v>
      </c>
      <c r="N531" t="str">
        <f>_xlfn.XLOOKUP(M531,'QUADROS QUE FALTARAM'!F:F,'QUADROS QUE FALTARAM'!B:B,0)</f>
        <v>Com pessoal e encargos</v>
      </c>
    </row>
    <row r="532" spans="1:14" x14ac:dyDescent="0.3">
      <c r="A532" t="s">
        <v>3139</v>
      </c>
      <c r="B532" t="s">
        <v>1729</v>
      </c>
      <c r="C532" s="54">
        <v>0</v>
      </c>
      <c r="D532" s="20">
        <v>2209828.52</v>
      </c>
      <c r="E532" s="20">
        <v>240996.35</v>
      </c>
      <c r="F532" s="54">
        <v>1968832.17</v>
      </c>
      <c r="J532" s="67">
        <v>23</v>
      </c>
      <c r="K532" t="str">
        <f>_xlfn.XLOOKUP(J532,DRE!B:B,DRE!A:A)</f>
        <v>DESPESAS OPERACIONAIS E ADMINISTRATIVAS</v>
      </c>
      <c r="M532" s="17" t="s">
        <v>2076</v>
      </c>
      <c r="N532" t="str">
        <f>_xlfn.XLOOKUP(M532,'QUADROS QUE FALTARAM'!F:F,'QUADROS QUE FALTARAM'!B:B,0)</f>
        <v>Com pessoal e encargos</v>
      </c>
    </row>
    <row r="533" spans="1:14" x14ac:dyDescent="0.3">
      <c r="A533" t="s">
        <v>3140</v>
      </c>
      <c r="B533" t="s">
        <v>2318</v>
      </c>
      <c r="C533" s="54">
        <v>0</v>
      </c>
      <c r="D533" s="20">
        <v>1429.73</v>
      </c>
      <c r="E533" s="20">
        <v>0</v>
      </c>
      <c r="F533" s="54">
        <v>1429.73</v>
      </c>
      <c r="J533" s="69">
        <v>23</v>
      </c>
      <c r="K533" t="str">
        <f>_xlfn.XLOOKUP(J533,DRE!B:B,DRE!A:A)</f>
        <v>DESPESAS OPERACIONAIS E ADMINISTRATIVAS</v>
      </c>
      <c r="M533" s="17" t="s">
        <v>2076</v>
      </c>
      <c r="N533" t="str">
        <f>_xlfn.XLOOKUP(M533,'QUADROS QUE FALTARAM'!F:F,'QUADROS QUE FALTARAM'!B:B,0)</f>
        <v>Com pessoal e encargos</v>
      </c>
    </row>
    <row r="534" spans="1:14" x14ac:dyDescent="0.3">
      <c r="A534" t="s">
        <v>3141</v>
      </c>
      <c r="B534" t="s">
        <v>1732</v>
      </c>
      <c r="C534" s="54">
        <v>0</v>
      </c>
      <c r="D534" s="20">
        <v>13785</v>
      </c>
      <c r="E534" s="20">
        <v>1380.22</v>
      </c>
      <c r="F534" s="54">
        <v>12404.78</v>
      </c>
      <c r="J534" s="67">
        <v>23</v>
      </c>
      <c r="K534" t="str">
        <f>_xlfn.XLOOKUP(J534,DRE!B:B,DRE!A:A)</f>
        <v>DESPESAS OPERACIONAIS E ADMINISTRATIVAS</v>
      </c>
      <c r="M534" s="17" t="s">
        <v>2076</v>
      </c>
      <c r="N534" t="str">
        <f>_xlfn.XLOOKUP(M534,'QUADROS QUE FALTARAM'!F:F,'QUADROS QUE FALTARAM'!B:B,0)</f>
        <v>Com pessoal e encargos</v>
      </c>
    </row>
    <row r="535" spans="1:14" x14ac:dyDescent="0.3">
      <c r="A535" t="s">
        <v>3142</v>
      </c>
      <c r="B535" t="s">
        <v>1735</v>
      </c>
      <c r="C535" s="54">
        <v>0</v>
      </c>
      <c r="D535" s="20">
        <v>423551.21</v>
      </c>
      <c r="E535" s="20">
        <v>0</v>
      </c>
      <c r="F535" s="54">
        <v>423551.21</v>
      </c>
      <c r="J535" s="67">
        <v>23</v>
      </c>
      <c r="K535" t="str">
        <f>_xlfn.XLOOKUP(J535,DRE!B:B,DRE!A:A)</f>
        <v>DESPESAS OPERACIONAIS E ADMINISTRATIVAS</v>
      </c>
      <c r="M535" s="17" t="s">
        <v>2076</v>
      </c>
      <c r="N535" t="str">
        <f>_xlfn.XLOOKUP(M535,'QUADROS QUE FALTARAM'!F:F,'QUADROS QUE FALTARAM'!B:B,0)</f>
        <v>Com pessoal e encargos</v>
      </c>
    </row>
    <row r="536" spans="1:14" x14ac:dyDescent="0.3">
      <c r="A536" t="s">
        <v>3143</v>
      </c>
      <c r="B536" t="s">
        <v>1738</v>
      </c>
      <c r="C536" s="54">
        <v>0</v>
      </c>
      <c r="D536" s="20">
        <v>79364.67</v>
      </c>
      <c r="E536" s="20">
        <v>0</v>
      </c>
      <c r="F536" s="54">
        <v>79364.67</v>
      </c>
      <c r="J536" s="67">
        <v>23</v>
      </c>
      <c r="K536" t="str">
        <f>_xlfn.XLOOKUP(J536,DRE!B:B,DRE!A:A)</f>
        <v>DESPESAS OPERACIONAIS E ADMINISTRATIVAS</v>
      </c>
      <c r="M536" s="17" t="s">
        <v>2076</v>
      </c>
      <c r="N536" t="str">
        <f>_xlfn.XLOOKUP(M536,'QUADROS QUE FALTARAM'!F:F,'QUADROS QUE FALTARAM'!B:B,0)</f>
        <v>Com pessoal e encargos</v>
      </c>
    </row>
    <row r="537" spans="1:14" x14ac:dyDescent="0.3">
      <c r="A537" t="s">
        <v>3144</v>
      </c>
      <c r="B537" t="s">
        <v>2319</v>
      </c>
      <c r="C537" s="54">
        <v>0</v>
      </c>
      <c r="D537" s="20">
        <v>1982.85</v>
      </c>
      <c r="E537" s="20">
        <v>0</v>
      </c>
      <c r="F537" s="54">
        <v>1982.85</v>
      </c>
      <c r="J537" s="69">
        <v>23</v>
      </c>
      <c r="K537" t="str">
        <f>_xlfn.XLOOKUP(J537,DRE!B:B,DRE!A:A)</f>
        <v>DESPESAS OPERACIONAIS E ADMINISTRATIVAS</v>
      </c>
      <c r="M537" s="17" t="s">
        <v>2076</v>
      </c>
      <c r="N537" t="str">
        <f>_xlfn.XLOOKUP(M537,'QUADROS QUE FALTARAM'!F:F,'QUADROS QUE FALTARAM'!B:B,0)</f>
        <v>Com pessoal e encargos</v>
      </c>
    </row>
    <row r="538" spans="1:14" x14ac:dyDescent="0.3">
      <c r="A538" t="s">
        <v>3145</v>
      </c>
      <c r="B538" t="s">
        <v>1741</v>
      </c>
      <c r="C538" s="54">
        <v>0</v>
      </c>
      <c r="D538" s="20">
        <v>450809.11</v>
      </c>
      <c r="E538" s="20">
        <v>0</v>
      </c>
      <c r="F538" s="54">
        <v>450809.11</v>
      </c>
      <c r="J538" s="67">
        <v>23</v>
      </c>
      <c r="K538" t="str">
        <f>_xlfn.XLOOKUP(J538,DRE!B:B,DRE!A:A)</f>
        <v>DESPESAS OPERACIONAIS E ADMINISTRATIVAS</v>
      </c>
      <c r="M538" s="17" t="s">
        <v>2076</v>
      </c>
      <c r="N538" t="str">
        <f>_xlfn.XLOOKUP(M538,'QUADROS QUE FALTARAM'!F:F,'QUADROS QUE FALTARAM'!B:B,0)</f>
        <v>Com pessoal e encargos</v>
      </c>
    </row>
    <row r="539" spans="1:14" x14ac:dyDescent="0.3">
      <c r="A539" s="1" t="s">
        <v>3146</v>
      </c>
      <c r="B539" s="1" t="s">
        <v>1744</v>
      </c>
      <c r="C539" s="59">
        <v>0</v>
      </c>
      <c r="D539" s="62">
        <v>2138053.7799999998</v>
      </c>
      <c r="E539" s="62">
        <v>0</v>
      </c>
      <c r="F539" s="59">
        <v>2138053.7799999998</v>
      </c>
      <c r="J539" s="67">
        <v>0</v>
      </c>
      <c r="K539" t="e">
        <f>_xlfn.XLOOKUP(J539,DRE!B:B,DRE!A:A)</f>
        <v>#N/A</v>
      </c>
      <c r="N539">
        <f>_xlfn.XLOOKUP(M539,'QUADROS QUE FALTARAM'!F:F,'QUADROS QUE FALTARAM'!B:B,0)</f>
        <v>0</v>
      </c>
    </row>
    <row r="540" spans="1:14" x14ac:dyDescent="0.3">
      <c r="A540" t="s">
        <v>3147</v>
      </c>
      <c r="B540" t="s">
        <v>1746</v>
      </c>
      <c r="C540" s="54">
        <v>0</v>
      </c>
      <c r="D540" s="20">
        <v>495694.54</v>
      </c>
      <c r="E540" s="20">
        <v>0</v>
      </c>
      <c r="F540" s="54">
        <v>495694.54</v>
      </c>
      <c r="J540" s="67">
        <v>23</v>
      </c>
      <c r="K540" t="str">
        <f>_xlfn.XLOOKUP(J540,DRE!B:B,DRE!A:A)</f>
        <v>DESPESAS OPERACIONAIS E ADMINISTRATIVAS</v>
      </c>
      <c r="M540" s="17" t="s">
        <v>2076</v>
      </c>
      <c r="N540" t="str">
        <f>_xlfn.XLOOKUP(M540,'QUADROS QUE FALTARAM'!F:F,'QUADROS QUE FALTARAM'!B:B,0)</f>
        <v>Com pessoal e encargos</v>
      </c>
    </row>
    <row r="541" spans="1:14" x14ac:dyDescent="0.3">
      <c r="A541" t="s">
        <v>3148</v>
      </c>
      <c r="B541" t="s">
        <v>1749</v>
      </c>
      <c r="C541" s="54">
        <v>0</v>
      </c>
      <c r="D541" s="20">
        <v>1509835.05</v>
      </c>
      <c r="E541" s="20">
        <v>0</v>
      </c>
      <c r="F541" s="54">
        <v>1509835.05</v>
      </c>
      <c r="J541" s="67">
        <v>23</v>
      </c>
      <c r="K541" t="str">
        <f>_xlfn.XLOOKUP(J541,DRE!B:B,DRE!A:A)</f>
        <v>DESPESAS OPERACIONAIS E ADMINISTRATIVAS</v>
      </c>
      <c r="M541" s="17" t="s">
        <v>2076</v>
      </c>
      <c r="N541" t="str">
        <f>_xlfn.XLOOKUP(M541,'QUADROS QUE FALTARAM'!F:F,'QUADROS QUE FALTARAM'!B:B,0)</f>
        <v>Com pessoal e encargos</v>
      </c>
    </row>
    <row r="542" spans="1:14" x14ac:dyDescent="0.3">
      <c r="A542" t="s">
        <v>3149</v>
      </c>
      <c r="B542" t="s">
        <v>1752</v>
      </c>
      <c r="C542" s="54">
        <v>0</v>
      </c>
      <c r="D542" s="20">
        <v>79514.53</v>
      </c>
      <c r="E542" s="20">
        <v>0</v>
      </c>
      <c r="F542" s="54">
        <v>79514.53</v>
      </c>
      <c r="J542" s="67">
        <v>23</v>
      </c>
      <c r="K542" t="str">
        <f>_xlfn.XLOOKUP(J542,DRE!B:B,DRE!A:A)</f>
        <v>DESPESAS OPERACIONAIS E ADMINISTRATIVAS</v>
      </c>
      <c r="M542" s="17" t="s">
        <v>2076</v>
      </c>
      <c r="N542" t="str">
        <f>_xlfn.XLOOKUP(M542,'QUADROS QUE FALTARAM'!F:F,'QUADROS QUE FALTARAM'!B:B,0)</f>
        <v>Com pessoal e encargos</v>
      </c>
    </row>
    <row r="543" spans="1:14" x14ac:dyDescent="0.3">
      <c r="A543" t="s">
        <v>3150</v>
      </c>
      <c r="B543" t="s">
        <v>1755</v>
      </c>
      <c r="C543" s="54">
        <v>0</v>
      </c>
      <c r="D543" s="20">
        <v>53009.66</v>
      </c>
      <c r="E543" s="20">
        <v>0</v>
      </c>
      <c r="F543" s="54">
        <v>53009.66</v>
      </c>
      <c r="J543" s="67">
        <v>23</v>
      </c>
      <c r="K543" t="str">
        <f>_xlfn.XLOOKUP(J543,DRE!B:B,DRE!A:A)</f>
        <v>DESPESAS OPERACIONAIS E ADMINISTRATIVAS</v>
      </c>
      <c r="M543" s="17" t="s">
        <v>2076</v>
      </c>
      <c r="N543" t="str">
        <f>_xlfn.XLOOKUP(M543,'QUADROS QUE FALTARAM'!F:F,'QUADROS QUE FALTARAM'!B:B,0)</f>
        <v>Com pessoal e encargos</v>
      </c>
    </row>
    <row r="544" spans="1:14" x14ac:dyDescent="0.3">
      <c r="A544" s="1" t="s">
        <v>3151</v>
      </c>
      <c r="B544" s="1" t="s">
        <v>1758</v>
      </c>
      <c r="C544" s="59">
        <v>0</v>
      </c>
      <c r="D544" s="62">
        <v>11427131.630000001</v>
      </c>
      <c r="E544" s="62">
        <v>0</v>
      </c>
      <c r="F544" s="59">
        <v>11427131.630000001</v>
      </c>
      <c r="J544" s="67">
        <v>0</v>
      </c>
      <c r="K544" t="e">
        <f>_xlfn.XLOOKUP(J544,DRE!B:B,DRE!A:A)</f>
        <v>#N/A</v>
      </c>
      <c r="N544">
        <f>_xlfn.XLOOKUP(M544,'QUADROS QUE FALTARAM'!F:F,'QUADROS QUE FALTARAM'!B:B,0)</f>
        <v>0</v>
      </c>
    </row>
    <row r="545" spans="1:14" x14ac:dyDescent="0.3">
      <c r="A545" t="s">
        <v>3152</v>
      </c>
      <c r="B545" t="s">
        <v>1761</v>
      </c>
      <c r="C545" s="54">
        <v>0</v>
      </c>
      <c r="D545" s="20">
        <v>849663.51</v>
      </c>
      <c r="E545" s="20">
        <v>0</v>
      </c>
      <c r="F545" s="54">
        <v>849663.51</v>
      </c>
      <c r="J545" s="67">
        <v>23</v>
      </c>
      <c r="K545" t="str">
        <f>_xlfn.XLOOKUP(J545,DRE!B:B,DRE!A:A)</f>
        <v>DESPESAS OPERACIONAIS E ADMINISTRATIVAS</v>
      </c>
      <c r="M545" s="17" t="s">
        <v>2076</v>
      </c>
      <c r="N545" t="str">
        <f>_xlfn.XLOOKUP(M545,'QUADROS QUE FALTARAM'!F:F,'QUADROS QUE FALTARAM'!B:B,0)</f>
        <v>Com pessoal e encargos</v>
      </c>
    </row>
    <row r="546" spans="1:14" x14ac:dyDescent="0.3">
      <c r="A546" t="s">
        <v>3153</v>
      </c>
      <c r="B546" t="s">
        <v>1764</v>
      </c>
      <c r="C546" s="54">
        <v>0</v>
      </c>
      <c r="D546" s="20">
        <v>78743.570000000007</v>
      </c>
      <c r="E546" s="20">
        <v>0</v>
      </c>
      <c r="F546" s="54">
        <v>78743.570000000007</v>
      </c>
      <c r="J546" s="67">
        <v>23</v>
      </c>
      <c r="K546" t="str">
        <f>_xlfn.XLOOKUP(J546,DRE!B:B,DRE!A:A)</f>
        <v>DESPESAS OPERACIONAIS E ADMINISTRATIVAS</v>
      </c>
      <c r="M546" s="17" t="s">
        <v>2076</v>
      </c>
      <c r="N546" t="str">
        <f>_xlfn.XLOOKUP(M546,'QUADROS QUE FALTARAM'!F:F,'QUADROS QUE FALTARAM'!B:B,0)</f>
        <v>Com pessoal e encargos</v>
      </c>
    </row>
    <row r="547" spans="1:14" x14ac:dyDescent="0.3">
      <c r="A547" t="s">
        <v>3154</v>
      </c>
      <c r="B547" t="s">
        <v>1767</v>
      </c>
      <c r="C547" s="54">
        <v>0</v>
      </c>
      <c r="D547" s="20">
        <v>532602.43999999994</v>
      </c>
      <c r="E547" s="20">
        <v>0</v>
      </c>
      <c r="F547" s="54">
        <v>532602.43999999994</v>
      </c>
      <c r="J547" s="67">
        <v>23</v>
      </c>
      <c r="K547" t="str">
        <f>_xlfn.XLOOKUP(J547,DRE!B:B,DRE!A:A)</f>
        <v>DESPESAS OPERACIONAIS E ADMINISTRATIVAS</v>
      </c>
      <c r="M547" s="17" t="s">
        <v>2076</v>
      </c>
      <c r="N547" t="str">
        <f>_xlfn.XLOOKUP(M547,'QUADROS QUE FALTARAM'!F:F,'QUADROS QUE FALTARAM'!B:B,0)</f>
        <v>Com pessoal e encargos</v>
      </c>
    </row>
    <row r="548" spans="1:14" x14ac:dyDescent="0.3">
      <c r="A548" t="s">
        <v>3155</v>
      </c>
      <c r="B548" t="s">
        <v>1770</v>
      </c>
      <c r="C548" s="54">
        <v>0</v>
      </c>
      <c r="D548" s="20">
        <v>87867.41</v>
      </c>
      <c r="E548" s="20">
        <v>0</v>
      </c>
      <c r="F548" s="54">
        <v>87867.41</v>
      </c>
      <c r="J548" s="67">
        <v>23</v>
      </c>
      <c r="K548" t="str">
        <f>_xlfn.XLOOKUP(J548,DRE!B:B,DRE!A:A)</f>
        <v>DESPESAS OPERACIONAIS E ADMINISTRATIVAS</v>
      </c>
      <c r="M548" s="17" t="s">
        <v>2076</v>
      </c>
      <c r="N548" t="str">
        <f>_xlfn.XLOOKUP(M548,'QUADROS QUE FALTARAM'!F:F,'QUADROS QUE FALTARAM'!B:B,0)</f>
        <v>Com pessoal e encargos</v>
      </c>
    </row>
    <row r="549" spans="1:14" x14ac:dyDescent="0.3">
      <c r="A549" t="s">
        <v>3156</v>
      </c>
      <c r="B549" t="s">
        <v>1773</v>
      </c>
      <c r="C549" s="54">
        <v>0</v>
      </c>
      <c r="D549" s="20">
        <v>2061051.35</v>
      </c>
      <c r="E549" s="20">
        <v>0</v>
      </c>
      <c r="F549" s="54">
        <v>2061051.35</v>
      </c>
      <c r="J549" s="67">
        <v>23</v>
      </c>
      <c r="K549" t="str">
        <f>_xlfn.XLOOKUP(J549,DRE!B:B,DRE!A:A)</f>
        <v>DESPESAS OPERACIONAIS E ADMINISTRATIVAS</v>
      </c>
      <c r="M549" s="17" t="s">
        <v>2076</v>
      </c>
      <c r="N549" t="str">
        <f>_xlfn.XLOOKUP(M549,'QUADROS QUE FALTARAM'!F:F,'QUADROS QUE FALTARAM'!B:B,0)</f>
        <v>Com pessoal e encargos</v>
      </c>
    </row>
    <row r="550" spans="1:14" x14ac:dyDescent="0.3">
      <c r="A550" t="s">
        <v>3157</v>
      </c>
      <c r="B550" t="s">
        <v>1776</v>
      </c>
      <c r="C550" s="54">
        <v>0</v>
      </c>
      <c r="D550" s="20">
        <v>5022019.72</v>
      </c>
      <c r="E550" s="20">
        <v>0</v>
      </c>
      <c r="F550" s="54">
        <v>5022019.72</v>
      </c>
      <c r="J550" s="67">
        <v>23</v>
      </c>
      <c r="K550" t="str">
        <f>_xlfn.XLOOKUP(J550,DRE!B:B,DRE!A:A)</f>
        <v>DESPESAS OPERACIONAIS E ADMINISTRATIVAS</v>
      </c>
      <c r="M550" s="17" t="s">
        <v>2076</v>
      </c>
      <c r="N550" t="str">
        <f>_xlfn.XLOOKUP(M550,'QUADROS QUE FALTARAM'!F:F,'QUADROS QUE FALTARAM'!B:B,0)</f>
        <v>Com pessoal e encargos</v>
      </c>
    </row>
    <row r="551" spans="1:14" x14ac:dyDescent="0.3">
      <c r="A551" t="s">
        <v>3158</v>
      </c>
      <c r="B551" t="s">
        <v>2320</v>
      </c>
      <c r="C551" s="54">
        <v>0</v>
      </c>
      <c r="D551" s="20">
        <v>2795183.63</v>
      </c>
      <c r="E551" s="20">
        <v>0</v>
      </c>
      <c r="F551" s="54">
        <v>2795183.63</v>
      </c>
      <c r="J551" s="69">
        <v>23</v>
      </c>
      <c r="K551" t="str">
        <f>_xlfn.XLOOKUP(J551,DRE!B:B,DRE!A:A)</f>
        <v>DESPESAS OPERACIONAIS E ADMINISTRATIVAS</v>
      </c>
      <c r="M551" s="17" t="s">
        <v>2094</v>
      </c>
      <c r="N551" t="str">
        <f>_xlfn.XLOOKUP(M551,'QUADROS QUE FALTARAM'!F:F,'QUADROS QUE FALTARAM'!B:B,0)</f>
        <v>Outras</v>
      </c>
    </row>
    <row r="552" spans="1:14" x14ac:dyDescent="0.3">
      <c r="A552" s="1" t="s">
        <v>3159</v>
      </c>
      <c r="B552" s="1" t="s">
        <v>1779</v>
      </c>
      <c r="C552" s="59">
        <v>0</v>
      </c>
      <c r="D552" s="62">
        <v>8171726.0099999998</v>
      </c>
      <c r="E552" s="62">
        <v>76381.47</v>
      </c>
      <c r="F552" s="59">
        <v>8095344.54</v>
      </c>
      <c r="J552" s="67">
        <v>0</v>
      </c>
      <c r="K552" t="e">
        <f>_xlfn.XLOOKUP(J552,DRE!B:B,DRE!A:A)</f>
        <v>#N/A</v>
      </c>
      <c r="N552">
        <f>_xlfn.XLOOKUP(M552,'QUADROS QUE FALTARAM'!F:F,'QUADROS QUE FALTARAM'!B:B,0)</f>
        <v>0</v>
      </c>
    </row>
    <row r="553" spans="1:14" x14ac:dyDescent="0.3">
      <c r="A553" t="s">
        <v>3160</v>
      </c>
      <c r="B553" t="s">
        <v>1782</v>
      </c>
      <c r="C553" s="54">
        <v>0</v>
      </c>
      <c r="D553" s="20">
        <v>106460.44</v>
      </c>
      <c r="E553" s="20">
        <v>0</v>
      </c>
      <c r="F553" s="54">
        <v>106460.44</v>
      </c>
      <c r="J553" s="67">
        <v>23</v>
      </c>
      <c r="K553" t="str">
        <f>_xlfn.XLOOKUP(J553,DRE!B:B,DRE!A:A)</f>
        <v>DESPESAS OPERACIONAIS E ADMINISTRATIVAS</v>
      </c>
      <c r="M553" s="17" t="s">
        <v>2078</v>
      </c>
      <c r="N553" t="str">
        <f>_xlfn.XLOOKUP(M553,'QUADROS QUE FALTARAM'!F:F,'QUADROS QUE FALTARAM'!B:B,0)</f>
        <v>Água, Energia e Telefone.</v>
      </c>
    </row>
    <row r="554" spans="1:14" x14ac:dyDescent="0.3">
      <c r="A554" t="s">
        <v>3161</v>
      </c>
      <c r="B554" t="s">
        <v>1785</v>
      </c>
      <c r="C554" s="54">
        <v>0</v>
      </c>
      <c r="D554" s="20">
        <v>190541.27</v>
      </c>
      <c r="E554" s="20">
        <v>0</v>
      </c>
      <c r="F554" s="54">
        <v>190541.27</v>
      </c>
      <c r="J554" s="67">
        <v>23</v>
      </c>
      <c r="K554" t="str">
        <f>_xlfn.XLOOKUP(J554,DRE!B:B,DRE!A:A)</f>
        <v>DESPESAS OPERACIONAIS E ADMINISTRATIVAS</v>
      </c>
      <c r="M554" s="17" t="s">
        <v>2078</v>
      </c>
      <c r="N554" t="str">
        <f>_xlfn.XLOOKUP(M554,'QUADROS QUE FALTARAM'!F:F,'QUADROS QUE FALTARAM'!B:B,0)</f>
        <v>Água, Energia e Telefone.</v>
      </c>
    </row>
    <row r="555" spans="1:14" x14ac:dyDescent="0.3">
      <c r="A555" t="s">
        <v>3162</v>
      </c>
      <c r="B555" t="s">
        <v>1788</v>
      </c>
      <c r="C555" s="54">
        <v>0</v>
      </c>
      <c r="D555" s="20">
        <v>4738.71</v>
      </c>
      <c r="E555" s="20">
        <v>0</v>
      </c>
      <c r="F555" s="54">
        <v>4738.71</v>
      </c>
      <c r="J555" s="67">
        <v>23</v>
      </c>
      <c r="K555" t="str">
        <f>_xlfn.XLOOKUP(J555,DRE!B:B,DRE!A:A)</f>
        <v>DESPESAS OPERACIONAIS E ADMINISTRATIVAS</v>
      </c>
      <c r="M555" s="17" t="s">
        <v>2078</v>
      </c>
      <c r="N555" t="str">
        <f>_xlfn.XLOOKUP(M555,'QUADROS QUE FALTARAM'!F:F,'QUADROS QUE FALTARAM'!B:B,0)</f>
        <v>Água, Energia e Telefone.</v>
      </c>
    </row>
    <row r="556" spans="1:14" x14ac:dyDescent="0.3">
      <c r="A556" t="s">
        <v>3163</v>
      </c>
      <c r="B556" t="s">
        <v>1791</v>
      </c>
      <c r="C556" s="54">
        <v>0</v>
      </c>
      <c r="D556" s="20">
        <v>607681.76</v>
      </c>
      <c r="E556" s="20">
        <v>0</v>
      </c>
      <c r="F556" s="54">
        <v>607681.76</v>
      </c>
      <c r="J556" s="67">
        <v>23</v>
      </c>
      <c r="K556" t="str">
        <f>_xlfn.XLOOKUP(J556,DRE!B:B,DRE!A:A)</f>
        <v>DESPESAS OPERACIONAIS E ADMINISTRATIVAS</v>
      </c>
      <c r="M556" s="17" t="s">
        <v>2080</v>
      </c>
      <c r="N556" t="str">
        <f>_xlfn.XLOOKUP(M556,'QUADROS QUE FALTARAM'!F:F,'QUADROS QUE FALTARAM'!B:B,0)</f>
        <v>Serviço de Limpeza e Manutenção</v>
      </c>
    </row>
    <row r="557" spans="1:14" x14ac:dyDescent="0.3">
      <c r="A557" t="s">
        <v>3164</v>
      </c>
      <c r="B557" t="s">
        <v>1797</v>
      </c>
      <c r="C557" s="54">
        <v>0</v>
      </c>
      <c r="D557" s="20">
        <v>239892.14</v>
      </c>
      <c r="E557" s="20">
        <v>20260</v>
      </c>
      <c r="F557" s="54">
        <v>219632.14</v>
      </c>
      <c r="J557" s="67">
        <v>23</v>
      </c>
      <c r="K557" t="str">
        <f>_xlfn.XLOOKUP(J557,DRE!B:B,DRE!A:A)</f>
        <v>DESPESAS OPERACIONAIS E ADMINISTRATIVAS</v>
      </c>
      <c r="M557" s="17" t="s">
        <v>2084</v>
      </c>
      <c r="N557" t="str">
        <f>_xlfn.XLOOKUP(M557,'QUADROS QUE FALTARAM'!F:F,'QUADROS QUE FALTARAM'!B:B,0)</f>
        <v>Serviços de Terceiros</v>
      </c>
    </row>
    <row r="558" spans="1:14" x14ac:dyDescent="0.3">
      <c r="A558" t="s">
        <v>3165</v>
      </c>
      <c r="B558" t="s">
        <v>1803</v>
      </c>
      <c r="C558" s="54">
        <v>0</v>
      </c>
      <c r="D558" s="20">
        <v>3969.22</v>
      </c>
      <c r="E558" s="20">
        <v>0</v>
      </c>
      <c r="F558" s="54">
        <v>3969.22</v>
      </c>
      <c r="J558" s="67">
        <v>23</v>
      </c>
      <c r="K558" t="str">
        <f>_xlfn.XLOOKUP(J558,DRE!B:B,DRE!A:A)</f>
        <v>DESPESAS OPERACIONAIS E ADMINISTRATIVAS</v>
      </c>
      <c r="M558" s="17" t="s">
        <v>2094</v>
      </c>
      <c r="N558" t="str">
        <f>_xlfn.XLOOKUP(M558,'QUADROS QUE FALTARAM'!F:F,'QUADROS QUE FALTARAM'!B:B,0)</f>
        <v>Outras</v>
      </c>
    </row>
    <row r="559" spans="1:14" x14ac:dyDescent="0.3">
      <c r="A559" t="s">
        <v>3166</v>
      </c>
      <c r="B559" t="s">
        <v>1806</v>
      </c>
      <c r="C559" s="54">
        <v>0</v>
      </c>
      <c r="D559" s="20">
        <v>576330.71</v>
      </c>
      <c r="E559" s="20">
        <v>0</v>
      </c>
      <c r="F559" s="54">
        <v>576330.71</v>
      </c>
      <c r="J559" s="67">
        <v>23</v>
      </c>
      <c r="K559" t="str">
        <f>_xlfn.XLOOKUP(J559,DRE!B:B,DRE!A:A)</f>
        <v>DESPESAS OPERACIONAIS E ADMINISTRATIVAS</v>
      </c>
      <c r="M559" s="17" t="s">
        <v>2082</v>
      </c>
      <c r="N559" t="str">
        <f>_xlfn.XLOOKUP(M559,'QUADROS QUE FALTARAM'!F:F,'QUADROS QUE FALTARAM'!B:B,0)</f>
        <v>Fretes</v>
      </c>
    </row>
    <row r="560" spans="1:14" x14ac:dyDescent="0.3">
      <c r="A560" t="s">
        <v>3167</v>
      </c>
      <c r="B560" t="s">
        <v>1809</v>
      </c>
      <c r="C560" s="54">
        <v>0</v>
      </c>
      <c r="D560" s="20">
        <v>22547.52</v>
      </c>
      <c r="E560" s="20">
        <v>0</v>
      </c>
      <c r="F560" s="54">
        <v>22547.52</v>
      </c>
      <c r="J560" s="67">
        <v>23</v>
      </c>
      <c r="K560" t="str">
        <f>_xlfn.XLOOKUP(J560,DRE!B:B,DRE!A:A)</f>
        <v>DESPESAS OPERACIONAIS E ADMINISTRATIVAS</v>
      </c>
      <c r="M560" s="17" t="s">
        <v>2094</v>
      </c>
      <c r="N560" t="str">
        <f>_xlfn.XLOOKUP(M560,'QUADROS QUE FALTARAM'!F:F,'QUADROS QUE FALTARAM'!B:B,0)</f>
        <v>Outras</v>
      </c>
    </row>
    <row r="561" spans="1:14" x14ac:dyDescent="0.3">
      <c r="A561" t="s">
        <v>3168</v>
      </c>
      <c r="B561" t="s">
        <v>1812</v>
      </c>
      <c r="C561" s="54">
        <v>0</v>
      </c>
      <c r="D561" s="20">
        <v>17287.21</v>
      </c>
      <c r="E561" s="20">
        <v>0</v>
      </c>
      <c r="F561" s="54">
        <v>17287.21</v>
      </c>
      <c r="J561" s="67">
        <v>23</v>
      </c>
      <c r="K561" t="str">
        <f>_xlfn.XLOOKUP(J561,DRE!B:B,DRE!A:A)</f>
        <v>DESPESAS OPERACIONAIS E ADMINISTRATIVAS</v>
      </c>
      <c r="M561" s="17" t="s">
        <v>2090</v>
      </c>
      <c r="N561" t="str">
        <f>_xlfn.XLOOKUP(M561,'QUADROS QUE FALTARAM'!F:F,'QUADROS QUE FALTARAM'!B:B,0)</f>
        <v>Despesas com viagens e veículos</v>
      </c>
    </row>
    <row r="562" spans="1:14" x14ac:dyDescent="0.3">
      <c r="A562" t="s">
        <v>3169</v>
      </c>
      <c r="B562" t="s">
        <v>1815</v>
      </c>
      <c r="C562" s="54">
        <v>0</v>
      </c>
      <c r="D562" s="20">
        <v>97108.89</v>
      </c>
      <c r="E562" s="20">
        <v>0</v>
      </c>
      <c r="F562" s="54">
        <v>97108.89</v>
      </c>
      <c r="J562" s="67">
        <v>23</v>
      </c>
      <c r="K562" t="str">
        <f>_xlfn.XLOOKUP(J562,DRE!B:B,DRE!A:A)</f>
        <v>DESPESAS OPERACIONAIS E ADMINISTRATIVAS</v>
      </c>
      <c r="M562" s="17" t="s">
        <v>2086</v>
      </c>
      <c r="N562" t="str">
        <f>_xlfn.XLOOKUP(M562,'QUADROS QUE FALTARAM'!F:F,'QUADROS QUE FALTARAM'!B:B,0)</f>
        <v>Material em Geral</v>
      </c>
    </row>
    <row r="563" spans="1:14" x14ac:dyDescent="0.3">
      <c r="A563" t="s">
        <v>3170</v>
      </c>
      <c r="B563" t="s">
        <v>1818</v>
      </c>
      <c r="C563" s="54">
        <v>0</v>
      </c>
      <c r="D563" s="20">
        <v>120580.5</v>
      </c>
      <c r="E563" s="20">
        <v>51600.07</v>
      </c>
      <c r="F563" s="54">
        <v>68980.429999999993</v>
      </c>
      <c r="J563" s="67">
        <v>23</v>
      </c>
      <c r="K563" t="str">
        <f>_xlfn.XLOOKUP(J563,DRE!B:B,DRE!A:A)</f>
        <v>DESPESAS OPERACIONAIS E ADMINISTRATIVAS</v>
      </c>
      <c r="L563" t="s">
        <v>2097</v>
      </c>
      <c r="M563" s="17" t="s">
        <v>2098</v>
      </c>
      <c r="N563" t="str">
        <f>_xlfn.XLOOKUP(M563,'QUADROS QUE FALTARAM'!F:F,'QUADROS QUE FALTARAM'!B:B,0)</f>
        <v>Depreciação</v>
      </c>
    </row>
    <row r="564" spans="1:14" x14ac:dyDescent="0.3">
      <c r="A564" t="s">
        <v>3171</v>
      </c>
      <c r="B564" t="s">
        <v>1820</v>
      </c>
      <c r="C564" s="54">
        <v>0</v>
      </c>
      <c r="D564" s="20">
        <v>5751.8</v>
      </c>
      <c r="E564" s="20">
        <v>261.25</v>
      </c>
      <c r="F564" s="54">
        <v>5490.55</v>
      </c>
      <c r="J564" s="67">
        <v>23</v>
      </c>
      <c r="K564" t="str">
        <f>_xlfn.XLOOKUP(J564,DRE!B:B,DRE!A:A)</f>
        <v>DESPESAS OPERACIONAIS E ADMINISTRATIVAS</v>
      </c>
      <c r="M564" s="17" t="s">
        <v>2094</v>
      </c>
      <c r="N564" t="str">
        <f>_xlfn.XLOOKUP(M564,'QUADROS QUE FALTARAM'!F:F,'QUADROS QUE FALTARAM'!B:B,0)</f>
        <v>Outras</v>
      </c>
    </row>
    <row r="565" spans="1:14" x14ac:dyDescent="0.3">
      <c r="A565" t="s">
        <v>3172</v>
      </c>
      <c r="B565" t="s">
        <v>1823</v>
      </c>
      <c r="C565" s="54">
        <v>0</v>
      </c>
      <c r="D565" s="20">
        <v>19069.45</v>
      </c>
      <c r="E565" s="20">
        <v>0</v>
      </c>
      <c r="F565" s="54">
        <v>19069.45</v>
      </c>
      <c r="J565" s="67">
        <v>23</v>
      </c>
      <c r="K565" t="str">
        <f>_xlfn.XLOOKUP(J565,DRE!B:B,DRE!A:A)</f>
        <v>DESPESAS OPERACIONAIS E ADMINISTRATIVAS</v>
      </c>
      <c r="M565" s="17" t="s">
        <v>2094</v>
      </c>
      <c r="N565" t="str">
        <f>_xlfn.XLOOKUP(M565,'QUADROS QUE FALTARAM'!F:F,'QUADROS QUE FALTARAM'!B:B,0)</f>
        <v>Outras</v>
      </c>
    </row>
    <row r="566" spans="1:14" x14ac:dyDescent="0.3">
      <c r="A566" t="s">
        <v>3173</v>
      </c>
      <c r="B566" t="s">
        <v>1826</v>
      </c>
      <c r="C566" s="54">
        <v>0</v>
      </c>
      <c r="D566" s="20">
        <v>24086.15</v>
      </c>
      <c r="E566" s="20">
        <v>0</v>
      </c>
      <c r="F566" s="54">
        <v>24086.15</v>
      </c>
      <c r="J566" s="67">
        <v>23</v>
      </c>
      <c r="K566" t="str">
        <f>_xlfn.XLOOKUP(J566,DRE!B:B,DRE!A:A)</f>
        <v>DESPESAS OPERACIONAIS E ADMINISTRATIVAS</v>
      </c>
      <c r="M566" s="17" t="s">
        <v>2094</v>
      </c>
      <c r="N566" t="str">
        <f>_xlfn.XLOOKUP(M566,'QUADROS QUE FALTARAM'!F:F,'QUADROS QUE FALTARAM'!B:B,0)</f>
        <v>Outras</v>
      </c>
    </row>
    <row r="567" spans="1:14" x14ac:dyDescent="0.3">
      <c r="A567" t="s">
        <v>3174</v>
      </c>
      <c r="B567" t="s">
        <v>1829</v>
      </c>
      <c r="C567" s="54">
        <v>0</v>
      </c>
      <c r="D567" s="20">
        <v>9899.84</v>
      </c>
      <c r="E567" s="20">
        <v>0</v>
      </c>
      <c r="F567" s="54">
        <v>9899.84</v>
      </c>
      <c r="J567" s="67">
        <v>23</v>
      </c>
      <c r="K567" t="str">
        <f>_xlfn.XLOOKUP(J567,DRE!B:B,DRE!A:A)</f>
        <v>DESPESAS OPERACIONAIS E ADMINISTRATIVAS</v>
      </c>
      <c r="M567" s="17" t="s">
        <v>2090</v>
      </c>
      <c r="N567" t="str">
        <f>_xlfn.XLOOKUP(M567,'QUADROS QUE FALTARAM'!F:F,'QUADROS QUE FALTARAM'!B:B,0)</f>
        <v>Despesas com viagens e veículos</v>
      </c>
    </row>
    <row r="568" spans="1:14" x14ac:dyDescent="0.3">
      <c r="A568" t="s">
        <v>3175</v>
      </c>
      <c r="B568" t="s">
        <v>1832</v>
      </c>
      <c r="C568" s="54">
        <v>0</v>
      </c>
      <c r="D568" s="20">
        <v>3690.39</v>
      </c>
      <c r="E568" s="20">
        <v>0</v>
      </c>
      <c r="F568" s="54">
        <v>3690.39</v>
      </c>
      <c r="J568" s="67">
        <v>23</v>
      </c>
      <c r="K568" t="str">
        <f>_xlfn.XLOOKUP(J568,DRE!B:B,DRE!A:A)</f>
        <v>DESPESAS OPERACIONAIS E ADMINISTRATIVAS</v>
      </c>
      <c r="M568" s="17" t="s">
        <v>2094</v>
      </c>
      <c r="N568" t="str">
        <f>_xlfn.XLOOKUP(M568,'QUADROS QUE FALTARAM'!F:F,'QUADROS QUE FALTARAM'!B:B,0)</f>
        <v>Outras</v>
      </c>
    </row>
    <row r="569" spans="1:14" x14ac:dyDescent="0.3">
      <c r="A569" t="s">
        <v>3176</v>
      </c>
      <c r="B569" t="s">
        <v>1835</v>
      </c>
      <c r="C569" s="54">
        <v>0</v>
      </c>
      <c r="D569" s="20">
        <v>9415.34</v>
      </c>
      <c r="E569" s="20">
        <v>350.28</v>
      </c>
      <c r="F569" s="54">
        <v>9065.06</v>
      </c>
      <c r="J569" s="67">
        <v>23</v>
      </c>
      <c r="K569" t="str">
        <f>_xlfn.XLOOKUP(J569,DRE!B:B,DRE!A:A)</f>
        <v>DESPESAS OPERACIONAIS E ADMINISTRATIVAS</v>
      </c>
      <c r="M569" t="s">
        <v>2088</v>
      </c>
      <c r="N569" t="str">
        <f>_xlfn.XLOOKUP(M569,'QUADROS QUE FALTARAM'!F:F,'QUADROS QUE FALTARAM'!B:B,0)</f>
        <v>Registros, Licenças, Assinatura e Publicações.</v>
      </c>
    </row>
    <row r="570" spans="1:14" x14ac:dyDescent="0.3">
      <c r="A570" t="s">
        <v>3177</v>
      </c>
      <c r="B570" t="s">
        <v>1838</v>
      </c>
      <c r="C570" s="54">
        <v>0</v>
      </c>
      <c r="D570" s="20">
        <v>2518.39</v>
      </c>
      <c r="E570" s="20">
        <v>0</v>
      </c>
      <c r="F570" s="54">
        <v>2518.39</v>
      </c>
      <c r="J570" s="67">
        <v>23</v>
      </c>
      <c r="K570" t="str">
        <f>_xlfn.XLOOKUP(J570,DRE!B:B,DRE!A:A)</f>
        <v>DESPESAS OPERACIONAIS E ADMINISTRATIVAS</v>
      </c>
      <c r="M570" s="17" t="s">
        <v>2094</v>
      </c>
      <c r="N570" t="str">
        <f>_xlfn.XLOOKUP(M570,'QUADROS QUE FALTARAM'!F:F,'QUADROS QUE FALTARAM'!B:B,0)</f>
        <v>Outras</v>
      </c>
    </row>
    <row r="571" spans="1:14" x14ac:dyDescent="0.3">
      <c r="A571" t="s">
        <v>3178</v>
      </c>
      <c r="B571" t="s">
        <v>1841</v>
      </c>
      <c r="C571" s="54">
        <v>0</v>
      </c>
      <c r="D571" s="20">
        <v>15669.5</v>
      </c>
      <c r="E571" s="20">
        <v>0</v>
      </c>
      <c r="F571" s="54">
        <v>15669.5</v>
      </c>
      <c r="J571" s="67">
        <v>23</v>
      </c>
      <c r="K571" t="str">
        <f>_xlfn.XLOOKUP(J571,DRE!B:B,DRE!A:A)</f>
        <v>DESPESAS OPERACIONAIS E ADMINISTRATIVAS</v>
      </c>
      <c r="M571" s="17" t="s">
        <v>2092</v>
      </c>
      <c r="N571" t="str">
        <f>_xlfn.XLOOKUP(M571,'QUADROS QUE FALTARAM'!F:F,'QUADROS QUE FALTARAM'!B:B,0)</f>
        <v>Refeições e Lanches</v>
      </c>
    </row>
    <row r="572" spans="1:14" x14ac:dyDescent="0.3">
      <c r="A572" t="s">
        <v>3179</v>
      </c>
      <c r="B572" t="s">
        <v>2321</v>
      </c>
      <c r="C572" s="54">
        <v>0</v>
      </c>
      <c r="D572" s="20">
        <v>219.9</v>
      </c>
      <c r="E572" s="20">
        <v>0</v>
      </c>
      <c r="F572" s="54">
        <v>219.9</v>
      </c>
      <c r="J572" s="69">
        <v>23</v>
      </c>
      <c r="K572" t="str">
        <f>_xlfn.XLOOKUP(J572,DRE!B:B,DRE!A:A)</f>
        <v>DESPESAS OPERACIONAIS E ADMINISTRATIVAS</v>
      </c>
      <c r="M572" s="17" t="s">
        <v>2094</v>
      </c>
      <c r="N572" t="str">
        <f>_xlfn.XLOOKUP(M572,'QUADROS QUE FALTARAM'!F:F,'QUADROS QUE FALTARAM'!B:B,0)</f>
        <v>Outras</v>
      </c>
    </row>
    <row r="573" spans="1:14" x14ac:dyDescent="0.3">
      <c r="A573" t="s">
        <v>3180</v>
      </c>
      <c r="B573" t="s">
        <v>1844</v>
      </c>
      <c r="C573" s="54">
        <v>0</v>
      </c>
      <c r="D573" s="20">
        <v>13258.75</v>
      </c>
      <c r="E573" s="20">
        <v>0</v>
      </c>
      <c r="F573" s="54">
        <v>13258.75</v>
      </c>
      <c r="J573" s="67">
        <v>23</v>
      </c>
      <c r="K573" t="str">
        <f>_xlfn.XLOOKUP(J573,DRE!B:B,DRE!A:A)</f>
        <v>DESPESAS OPERACIONAIS E ADMINISTRATIVAS</v>
      </c>
      <c r="M573" s="17" t="s">
        <v>2090</v>
      </c>
      <c r="N573" t="str">
        <f>_xlfn.XLOOKUP(M573,'QUADROS QUE FALTARAM'!F:F,'QUADROS QUE FALTARAM'!B:B,0)</f>
        <v>Despesas com viagens e veículos</v>
      </c>
    </row>
    <row r="574" spans="1:14" x14ac:dyDescent="0.3">
      <c r="A574" t="s">
        <v>3181</v>
      </c>
      <c r="B574" t="s">
        <v>2322</v>
      </c>
      <c r="C574" s="54">
        <v>0</v>
      </c>
      <c r="D574" s="20">
        <v>6016200.1799999997</v>
      </c>
      <c r="E574" s="20">
        <v>0</v>
      </c>
      <c r="F574" s="54">
        <v>6016200.1799999997</v>
      </c>
      <c r="J574" s="69">
        <v>23</v>
      </c>
      <c r="K574" t="str">
        <f>_xlfn.XLOOKUP(J574,DRE!B:B,DRE!A:A)</f>
        <v>DESPESAS OPERACIONAIS E ADMINISTRATIVAS</v>
      </c>
      <c r="M574" s="17" t="s">
        <v>2096</v>
      </c>
      <c r="N574" t="str">
        <f>_xlfn.XLOOKUP(M574,'QUADROS QUE FALTARAM'!F:F,'QUADROS QUE FALTARAM'!B:B,0)</f>
        <v>Impairment</v>
      </c>
    </row>
    <row r="575" spans="1:14" x14ac:dyDescent="0.3">
      <c r="A575" t="s">
        <v>3182</v>
      </c>
      <c r="B575" t="s">
        <v>2323</v>
      </c>
      <c r="C575" s="54">
        <v>0</v>
      </c>
      <c r="D575" s="20">
        <v>16993.5</v>
      </c>
      <c r="E575" s="20">
        <v>0</v>
      </c>
      <c r="F575" s="54">
        <v>16993.5</v>
      </c>
      <c r="J575" s="69">
        <v>23</v>
      </c>
      <c r="K575" t="str">
        <f>_xlfn.XLOOKUP(J575,DRE!B:B,DRE!A:A)</f>
        <v>DESPESAS OPERACIONAIS E ADMINISTRATIVAS</v>
      </c>
      <c r="M575" s="17" t="s">
        <v>2094</v>
      </c>
      <c r="N575" t="str">
        <f>_xlfn.XLOOKUP(M575,'QUADROS QUE FALTARAM'!F:F,'QUADROS QUE FALTARAM'!B:B,0)</f>
        <v>Outras</v>
      </c>
    </row>
    <row r="576" spans="1:14" x14ac:dyDescent="0.3">
      <c r="A576" t="s">
        <v>3183</v>
      </c>
      <c r="B576" t="s">
        <v>1850</v>
      </c>
      <c r="C576" s="54">
        <v>0</v>
      </c>
      <c r="D576" s="20">
        <v>40355.99</v>
      </c>
      <c r="E576" s="20">
        <v>671.37</v>
      </c>
      <c r="F576" s="54">
        <v>39684.620000000003</v>
      </c>
      <c r="J576" s="67">
        <v>23</v>
      </c>
      <c r="K576" t="str">
        <f>_xlfn.XLOOKUP(J576,DRE!B:B,DRE!A:A)</f>
        <v>DESPESAS OPERACIONAIS E ADMINISTRATIVAS</v>
      </c>
      <c r="M576" s="17" t="s">
        <v>2094</v>
      </c>
      <c r="N576" t="str">
        <f>_xlfn.XLOOKUP(M576,'QUADROS QUE FALTARAM'!F:F,'QUADROS QUE FALTARAM'!B:B,0)</f>
        <v>Outras</v>
      </c>
    </row>
    <row r="577" spans="1:14" x14ac:dyDescent="0.3">
      <c r="A577" t="s">
        <v>3184</v>
      </c>
      <c r="B577" t="s">
        <v>1853</v>
      </c>
      <c r="C577" s="54">
        <v>0</v>
      </c>
      <c r="D577" s="20">
        <v>7458.46</v>
      </c>
      <c r="E577" s="20">
        <v>3238.5</v>
      </c>
      <c r="F577" s="54">
        <v>4219.96</v>
      </c>
      <c r="J577" s="67">
        <v>23</v>
      </c>
      <c r="K577" t="str">
        <f>_xlfn.XLOOKUP(J577,DRE!B:B,DRE!A:A)</f>
        <v>DESPESAS OPERACIONAIS E ADMINISTRATIVAS</v>
      </c>
      <c r="M577" s="17" t="s">
        <v>2094</v>
      </c>
      <c r="N577" t="str">
        <f>_xlfn.XLOOKUP(M577,'QUADROS QUE FALTARAM'!F:F,'QUADROS QUE FALTARAM'!B:B,0)</f>
        <v>Outras</v>
      </c>
    </row>
    <row r="578" spans="1:14" x14ac:dyDescent="0.3">
      <c r="A578" s="1" t="s">
        <v>3185</v>
      </c>
      <c r="B578" s="1" t="s">
        <v>1859</v>
      </c>
      <c r="C578" s="59">
        <v>0</v>
      </c>
      <c r="D578" s="62">
        <v>1395037.33</v>
      </c>
      <c r="E578" s="62">
        <v>851.13</v>
      </c>
      <c r="F578" s="59">
        <v>1394186.2</v>
      </c>
      <c r="J578" s="67">
        <v>0</v>
      </c>
      <c r="K578" t="e">
        <f>_xlfn.XLOOKUP(J578,DRE!B:B,DRE!A:A)</f>
        <v>#N/A</v>
      </c>
      <c r="N578">
        <f>_xlfn.XLOOKUP(M578,'QUADROS QUE FALTARAM'!F:F,'QUADROS QUE FALTARAM'!B:B,0)</f>
        <v>0</v>
      </c>
    </row>
    <row r="579" spans="1:14" x14ac:dyDescent="0.3">
      <c r="A579" t="s">
        <v>3186</v>
      </c>
      <c r="B579" t="s">
        <v>1866</v>
      </c>
      <c r="C579" s="54">
        <v>0</v>
      </c>
      <c r="D579" s="20">
        <v>6181.62</v>
      </c>
      <c r="E579" s="20">
        <v>380</v>
      </c>
      <c r="F579" s="54">
        <v>5801.62</v>
      </c>
      <c r="J579" s="67" t="s">
        <v>1864</v>
      </c>
      <c r="K579" t="str">
        <f>_xlfn.XLOOKUP(J579,DRE!B:B,DRE!A:A)</f>
        <v>(-) Despesas Financeiras</v>
      </c>
      <c r="M579" s="17" t="s">
        <v>2110</v>
      </c>
      <c r="N579" t="str">
        <f>_xlfn.XLOOKUP(M579,'QUADROS QUE FALTARAM'!F:F,'QUADROS QUE FALTARAM'!B:B,0)</f>
        <v>Despesa Financeira</v>
      </c>
    </row>
    <row r="580" spans="1:14" x14ac:dyDescent="0.3">
      <c r="A580" t="s">
        <v>3187</v>
      </c>
      <c r="B580" t="s">
        <v>1869</v>
      </c>
      <c r="C580" s="54">
        <v>0</v>
      </c>
      <c r="D580" s="20">
        <v>125160.16</v>
      </c>
      <c r="E580" s="20">
        <v>471.13</v>
      </c>
      <c r="F580" s="54">
        <v>124689.03</v>
      </c>
      <c r="J580" s="67" t="s">
        <v>1864</v>
      </c>
      <c r="K580" t="str">
        <f>_xlfn.XLOOKUP(J580,DRE!B:B,DRE!A:A)</f>
        <v>(-) Despesas Financeiras</v>
      </c>
      <c r="M580" s="17" t="s">
        <v>2110</v>
      </c>
      <c r="N580" t="str">
        <f>_xlfn.XLOOKUP(M580,'QUADROS QUE FALTARAM'!F:F,'QUADROS QUE FALTARAM'!B:B,0)</f>
        <v>Despesa Financeira</v>
      </c>
    </row>
    <row r="581" spans="1:14" x14ac:dyDescent="0.3">
      <c r="A581" t="s">
        <v>3188</v>
      </c>
      <c r="B581" t="s">
        <v>1875</v>
      </c>
      <c r="C581" s="54">
        <v>0</v>
      </c>
      <c r="D581" s="20">
        <v>8976.27</v>
      </c>
      <c r="E581" s="20">
        <v>0</v>
      </c>
      <c r="F581" s="54">
        <v>8976.27</v>
      </c>
      <c r="J581" s="67" t="s">
        <v>1864</v>
      </c>
      <c r="K581" t="str">
        <f>_xlfn.XLOOKUP(J581,DRE!B:B,DRE!A:A)</f>
        <v>(-) Despesas Financeiras</v>
      </c>
      <c r="M581" s="17" t="s">
        <v>2110</v>
      </c>
      <c r="N581" t="str">
        <f>_xlfn.XLOOKUP(M581,'QUADROS QUE FALTARAM'!F:F,'QUADROS QUE FALTARAM'!B:B,0)</f>
        <v>Despesa Financeira</v>
      </c>
    </row>
    <row r="582" spans="1:14" x14ac:dyDescent="0.3">
      <c r="A582" t="s">
        <v>3189</v>
      </c>
      <c r="B582" t="s">
        <v>1878</v>
      </c>
      <c r="C582" s="54">
        <v>0</v>
      </c>
      <c r="D582" s="20">
        <v>301090.44</v>
      </c>
      <c r="E582" s="20">
        <v>0</v>
      </c>
      <c r="F582" s="54">
        <v>301090.44</v>
      </c>
      <c r="J582" s="67" t="s">
        <v>1864</v>
      </c>
      <c r="K582" t="str">
        <f>_xlfn.XLOOKUP(J582,DRE!B:B,DRE!A:A)</f>
        <v>(-) Despesas Financeiras</v>
      </c>
      <c r="M582" s="17" t="s">
        <v>2110</v>
      </c>
      <c r="N582" t="str">
        <f>_xlfn.XLOOKUP(M582,'QUADROS QUE FALTARAM'!F:F,'QUADROS QUE FALTARAM'!B:B,0)</f>
        <v>Despesa Financeira</v>
      </c>
    </row>
    <row r="583" spans="1:14" x14ac:dyDescent="0.3">
      <c r="A583" t="s">
        <v>3190</v>
      </c>
      <c r="B583" t="s">
        <v>2324</v>
      </c>
      <c r="C583" s="54">
        <v>0</v>
      </c>
      <c r="D583" s="20">
        <v>953628.84</v>
      </c>
      <c r="E583" s="20">
        <v>0</v>
      </c>
      <c r="F583" s="54">
        <v>953628.84</v>
      </c>
      <c r="J583" s="69" t="s">
        <v>1864</v>
      </c>
      <c r="K583" t="str">
        <f>_xlfn.XLOOKUP(J583,DRE!B:B,DRE!A:A)</f>
        <v>(-) Despesas Financeiras</v>
      </c>
      <c r="M583" s="17" t="s">
        <v>2110</v>
      </c>
      <c r="N583" t="str">
        <f>_xlfn.XLOOKUP(M583,'QUADROS QUE FALTARAM'!F:F,'QUADROS QUE FALTARAM'!B:B,0)</f>
        <v>Despesa Financeira</v>
      </c>
    </row>
    <row r="584" spans="1:14" x14ac:dyDescent="0.3">
      <c r="A584" s="1" t="s">
        <v>3191</v>
      </c>
      <c r="B584" s="1" t="s">
        <v>2325</v>
      </c>
      <c r="C584" s="59">
        <v>0</v>
      </c>
      <c r="D584" s="62">
        <v>1310464.8999999999</v>
      </c>
      <c r="E584" s="62">
        <v>0</v>
      </c>
      <c r="F584" s="59">
        <v>1310464.8999999999</v>
      </c>
      <c r="J584" s="67" t="s">
        <v>2129</v>
      </c>
      <c r="K584" t="e">
        <f>_xlfn.XLOOKUP(J584,DRE!B:B,DRE!A:A)</f>
        <v>#N/A</v>
      </c>
      <c r="N584">
        <f>_xlfn.XLOOKUP(M584,'QUADROS QUE FALTARAM'!F:F,'QUADROS QUE FALTARAM'!B:B,0)</f>
        <v>0</v>
      </c>
    </row>
    <row r="585" spans="1:14" x14ac:dyDescent="0.3">
      <c r="A585" t="s">
        <v>3192</v>
      </c>
      <c r="B585" t="s">
        <v>2326</v>
      </c>
      <c r="C585" s="54">
        <v>0</v>
      </c>
      <c r="D585" s="20">
        <v>1310464.8999999999</v>
      </c>
      <c r="E585" s="20">
        <v>0</v>
      </c>
      <c r="F585" s="54">
        <v>1310464.8999999999</v>
      </c>
      <c r="J585" s="69">
        <v>24</v>
      </c>
      <c r="K585" t="str">
        <f>_xlfn.XLOOKUP(J585,DRE!B:B,DRE!A:A)</f>
        <v>DESPESAS TRIBUTARIAS</v>
      </c>
      <c r="M585" s="17" t="s">
        <v>2105</v>
      </c>
      <c r="N585" t="str">
        <f>_xlfn.XLOOKUP(M585,'QUADROS QUE FALTARAM'!F:F,'QUADROS QUE FALTARAM'!B:B,0)</f>
        <v>Outras Despesas Tributarias</v>
      </c>
    </row>
    <row r="586" spans="1:14" x14ac:dyDescent="0.3">
      <c r="A586" s="1" t="s">
        <v>3193</v>
      </c>
      <c r="B586" s="1" t="s">
        <v>1881</v>
      </c>
      <c r="C586" s="59">
        <v>0</v>
      </c>
      <c r="D586" s="62">
        <v>538216.94999999995</v>
      </c>
      <c r="E586" s="62">
        <v>73661.38</v>
      </c>
      <c r="F586" s="59">
        <v>464555.57</v>
      </c>
      <c r="J586" s="67">
        <v>0</v>
      </c>
      <c r="K586" t="e">
        <f>_xlfn.XLOOKUP(J586,DRE!B:B,DRE!A:A)</f>
        <v>#N/A</v>
      </c>
      <c r="N586">
        <f>_xlfn.XLOOKUP(M586,'QUADROS QUE FALTARAM'!F:F,'QUADROS QUE FALTARAM'!B:B,0)</f>
        <v>0</v>
      </c>
    </row>
    <row r="587" spans="1:14" x14ac:dyDescent="0.3">
      <c r="A587" t="s">
        <v>3194</v>
      </c>
      <c r="B587" t="s">
        <v>1884</v>
      </c>
      <c r="C587" s="54">
        <v>0</v>
      </c>
      <c r="D587" s="20">
        <v>4918.4399999999996</v>
      </c>
      <c r="E587" s="20">
        <v>0</v>
      </c>
      <c r="F587" s="221">
        <v>4918.4399999999996</v>
      </c>
      <c r="J587" s="67">
        <v>24</v>
      </c>
      <c r="K587" t="str">
        <f>_xlfn.XLOOKUP(J587,DRE!B:B,DRE!A:A)</f>
        <v>DESPESAS TRIBUTARIAS</v>
      </c>
      <c r="M587" s="17" t="s">
        <v>2101</v>
      </c>
      <c r="N587" t="str">
        <f>_xlfn.XLOOKUP(M587,'QUADROS QUE FALTARAM'!F:F,'QUADROS QUE FALTARAM'!B:B,0)</f>
        <v>Taxas e Tributos Federais</v>
      </c>
    </row>
    <row r="588" spans="1:14" x14ac:dyDescent="0.3">
      <c r="A588" t="s">
        <v>3195</v>
      </c>
      <c r="B588" t="s">
        <v>1887</v>
      </c>
      <c r="C588" s="54">
        <v>0</v>
      </c>
      <c r="D588" s="20">
        <v>799.25</v>
      </c>
      <c r="E588" s="20">
        <v>0</v>
      </c>
      <c r="F588" s="221">
        <v>799.25</v>
      </c>
      <c r="J588" s="67">
        <v>24</v>
      </c>
      <c r="K588" t="str">
        <f>_xlfn.XLOOKUP(J588,DRE!B:B,DRE!A:A)</f>
        <v>DESPESAS TRIBUTARIAS</v>
      </c>
      <c r="M588" s="17" t="s">
        <v>2101</v>
      </c>
      <c r="N588" t="str">
        <f>_xlfn.XLOOKUP(M588,'QUADROS QUE FALTARAM'!F:F,'QUADROS QUE FALTARAM'!B:B,0)</f>
        <v>Taxas e Tributos Federais</v>
      </c>
    </row>
    <row r="589" spans="1:14" x14ac:dyDescent="0.3">
      <c r="A589" t="s">
        <v>3196</v>
      </c>
      <c r="B589" t="s">
        <v>1890</v>
      </c>
      <c r="C589" s="54">
        <v>0</v>
      </c>
      <c r="D589" s="20">
        <v>10878.42</v>
      </c>
      <c r="E589" s="20">
        <v>856.58</v>
      </c>
      <c r="F589" s="54">
        <v>10021.84</v>
      </c>
      <c r="J589" s="67">
        <v>24</v>
      </c>
      <c r="K589" t="str">
        <f>_xlfn.XLOOKUP(J589,DRE!B:B,DRE!A:A)</f>
        <v>DESPESAS TRIBUTARIAS</v>
      </c>
      <c r="M589" s="17" t="s">
        <v>2103</v>
      </c>
      <c r="N589" t="str">
        <f>_xlfn.XLOOKUP(M589,'QUADROS QUE FALTARAM'!F:F,'QUADROS QUE FALTARAM'!B:B,0)</f>
        <v>Impostos e Taxas Estaduais</v>
      </c>
    </row>
    <row r="590" spans="1:14" x14ac:dyDescent="0.3">
      <c r="A590" t="s">
        <v>3197</v>
      </c>
      <c r="B590" t="s">
        <v>1893</v>
      </c>
      <c r="C590" s="54">
        <v>0</v>
      </c>
      <c r="D590" s="20">
        <v>227376.6</v>
      </c>
      <c r="E590" s="20">
        <v>72804.800000000003</v>
      </c>
      <c r="F590" s="221">
        <v>154571.79999999999</v>
      </c>
      <c r="J590" s="67">
        <v>24</v>
      </c>
      <c r="K590" t="str">
        <f>_xlfn.XLOOKUP(J590,DRE!B:B,DRE!A:A)</f>
        <v>DESPESAS TRIBUTARIAS</v>
      </c>
      <c r="M590" s="17" t="s">
        <v>2101</v>
      </c>
      <c r="N590" t="str">
        <f>_xlfn.XLOOKUP(M590,'QUADROS QUE FALTARAM'!F:F,'QUADROS QUE FALTARAM'!B:B,0)</f>
        <v>Taxas e Tributos Federais</v>
      </c>
    </row>
    <row r="591" spans="1:14" x14ac:dyDescent="0.3">
      <c r="A591" t="s">
        <v>3198</v>
      </c>
      <c r="B591" t="s">
        <v>1896</v>
      </c>
      <c r="C591" s="54">
        <v>0</v>
      </c>
      <c r="D591" s="20">
        <v>33259.03</v>
      </c>
      <c r="E591" s="20">
        <v>0</v>
      </c>
      <c r="F591" s="54">
        <v>33259.03</v>
      </c>
      <c r="J591" s="67">
        <v>24</v>
      </c>
      <c r="K591" t="str">
        <f>_xlfn.XLOOKUP(J591,DRE!B:B,DRE!A:A)</f>
        <v>DESPESAS TRIBUTARIAS</v>
      </c>
      <c r="M591" s="17" t="s">
        <v>2105</v>
      </c>
      <c r="N591" t="str">
        <f>_xlfn.XLOOKUP(M591,'QUADROS QUE FALTARAM'!F:F,'QUADROS QUE FALTARAM'!B:B,0)</f>
        <v>Outras Despesas Tributarias</v>
      </c>
    </row>
    <row r="592" spans="1:14" x14ac:dyDescent="0.3">
      <c r="A592" t="s">
        <v>3199</v>
      </c>
      <c r="B592" t="s">
        <v>1899</v>
      </c>
      <c r="C592" s="54">
        <v>0</v>
      </c>
      <c r="D592" s="20">
        <v>260985.21</v>
      </c>
      <c r="E592" s="20">
        <v>0</v>
      </c>
      <c r="F592" s="54">
        <v>260985.21</v>
      </c>
      <c r="J592" s="67">
        <v>24</v>
      </c>
      <c r="K592" t="str">
        <f>_xlfn.XLOOKUP(J592,DRE!B:B,DRE!A:A)</f>
        <v>DESPESAS TRIBUTARIAS</v>
      </c>
      <c r="M592" s="17" t="s">
        <v>2105</v>
      </c>
      <c r="N592" t="str">
        <f>_xlfn.XLOOKUP(M592,'QUADROS QUE FALTARAM'!F:F,'QUADROS QUE FALTARAM'!B:B,0)</f>
        <v>Outras Despesas Tributarias</v>
      </c>
    </row>
    <row r="593" spans="1:14" x14ac:dyDescent="0.3">
      <c r="A593" s="51" t="s">
        <v>3200</v>
      </c>
      <c r="B593" s="51" t="s">
        <v>1902</v>
      </c>
      <c r="C593" s="57">
        <v>0</v>
      </c>
      <c r="D593" s="58">
        <v>9923954.9399999995</v>
      </c>
      <c r="E593" s="58">
        <v>34525767.200000003</v>
      </c>
      <c r="F593" s="57">
        <v>-24601812.260000002</v>
      </c>
      <c r="J593" s="67">
        <v>0</v>
      </c>
      <c r="K593" t="e">
        <f>_xlfn.XLOOKUP(J593,DRE!B:B,DRE!A:A)</f>
        <v>#N/A</v>
      </c>
      <c r="N593">
        <f>_xlfn.XLOOKUP(M593,'QUADROS QUE FALTARAM'!F:F,'QUADROS QUE FALTARAM'!B:B,0)</f>
        <v>0</v>
      </c>
    </row>
    <row r="594" spans="1:14" x14ac:dyDescent="0.3">
      <c r="A594" s="1" t="s">
        <v>3201</v>
      </c>
      <c r="B594" s="1" t="s">
        <v>1904</v>
      </c>
      <c r="C594" s="59">
        <v>0</v>
      </c>
      <c r="D594" s="62">
        <v>856778.08</v>
      </c>
      <c r="E594" s="62">
        <v>9173890.1999999993</v>
      </c>
      <c r="F594" s="59">
        <v>-8317112.1200000001</v>
      </c>
      <c r="J594" s="67">
        <v>0</v>
      </c>
      <c r="K594" t="e">
        <f>_xlfn.XLOOKUP(J594,DRE!B:B,DRE!A:A)</f>
        <v>#N/A</v>
      </c>
      <c r="N594">
        <f>_xlfn.XLOOKUP(M594,'QUADROS QUE FALTARAM'!F:F,'QUADROS QUE FALTARAM'!B:B,0)</f>
        <v>0</v>
      </c>
    </row>
    <row r="595" spans="1:14" x14ac:dyDescent="0.3">
      <c r="A595" s="1" t="s">
        <v>3202</v>
      </c>
      <c r="B595" s="1" t="s">
        <v>1907</v>
      </c>
      <c r="C595" s="59">
        <v>0</v>
      </c>
      <c r="D595" s="62">
        <v>856778.08</v>
      </c>
      <c r="E595" s="62">
        <v>9173890.1999999993</v>
      </c>
      <c r="F595" s="59">
        <v>-8317112.1200000001</v>
      </c>
      <c r="J595" s="67">
        <v>0</v>
      </c>
      <c r="K595" t="e">
        <f>_xlfn.XLOOKUP(J595,DRE!B:B,DRE!A:A)</f>
        <v>#N/A</v>
      </c>
      <c r="N595">
        <f>_xlfn.XLOOKUP(M595,'QUADROS QUE FALTARAM'!F:F,'QUADROS QUE FALTARAM'!B:B,0)</f>
        <v>0</v>
      </c>
    </row>
    <row r="596" spans="1:14" x14ac:dyDescent="0.3">
      <c r="A596" s="1" t="s">
        <v>3203</v>
      </c>
      <c r="B596" s="1" t="s">
        <v>1910</v>
      </c>
      <c r="C596" s="59">
        <v>0</v>
      </c>
      <c r="D596" s="62">
        <v>856778.08</v>
      </c>
      <c r="E596" s="62">
        <v>9173890.1999999993</v>
      </c>
      <c r="F596" s="59">
        <v>-8317112.1200000001</v>
      </c>
      <c r="J596" s="67">
        <v>0</v>
      </c>
      <c r="K596" t="e">
        <f>_xlfn.XLOOKUP(J596,DRE!B:B,DRE!A:A)</f>
        <v>#N/A</v>
      </c>
      <c r="N596">
        <f>_xlfn.XLOOKUP(M596,'QUADROS QUE FALTARAM'!F:F,'QUADROS QUE FALTARAM'!B:B,0)</f>
        <v>0</v>
      </c>
    </row>
    <row r="597" spans="1:14" x14ac:dyDescent="0.3">
      <c r="A597" t="s">
        <v>3204</v>
      </c>
      <c r="B597" t="s">
        <v>1912</v>
      </c>
      <c r="C597" s="54">
        <v>0</v>
      </c>
      <c r="D597" s="20">
        <v>0</v>
      </c>
      <c r="E597" s="20">
        <v>4491125.5</v>
      </c>
      <c r="F597" s="54">
        <v>-4491125.5</v>
      </c>
      <c r="J597" s="67" t="s">
        <v>1924</v>
      </c>
      <c r="K597" t="str">
        <f>_xlfn.XLOOKUP(J597,DRE!B:B,DRE!A:A)</f>
        <v>RECEITAS OPERACIONAIS</v>
      </c>
      <c r="N597">
        <f>_xlfn.XLOOKUP(M597,'QUADROS QUE FALTARAM'!F:F,'QUADROS QUE FALTARAM'!B:B,0)</f>
        <v>0</v>
      </c>
    </row>
    <row r="598" spans="1:14" x14ac:dyDescent="0.3">
      <c r="A598" t="s">
        <v>3205</v>
      </c>
      <c r="B598" t="s">
        <v>1915</v>
      </c>
      <c r="C598" s="54">
        <v>0</v>
      </c>
      <c r="D598" s="20">
        <v>856778.08</v>
      </c>
      <c r="E598" s="20">
        <v>4682764.7</v>
      </c>
      <c r="F598" s="54">
        <v>-3825986.62</v>
      </c>
      <c r="J598" s="67" t="s">
        <v>1924</v>
      </c>
      <c r="K598" t="str">
        <f>_xlfn.XLOOKUP(J598,DRE!B:B,DRE!A:A)</f>
        <v>RECEITAS OPERACIONAIS</v>
      </c>
      <c r="N598">
        <f>_xlfn.XLOOKUP(M598,'QUADROS QUE FALTARAM'!F:F,'QUADROS QUE FALTARAM'!B:B,0)</f>
        <v>0</v>
      </c>
    </row>
    <row r="599" spans="1:14" x14ac:dyDescent="0.3">
      <c r="A599" s="1" t="s">
        <v>3206</v>
      </c>
      <c r="B599" s="1" t="s">
        <v>1926</v>
      </c>
      <c r="C599" s="59">
        <v>0</v>
      </c>
      <c r="D599" s="62">
        <v>8240047.6600000001</v>
      </c>
      <c r="E599" s="62">
        <v>25343585.059999999</v>
      </c>
      <c r="F599" s="59">
        <v>-17103537.399999999</v>
      </c>
      <c r="J599" s="67">
        <v>0</v>
      </c>
      <c r="K599" t="e">
        <f>_xlfn.XLOOKUP(J599,DRE!B:B,DRE!A:A)</f>
        <v>#N/A</v>
      </c>
      <c r="N599">
        <f>_xlfn.XLOOKUP(M599,'QUADROS QUE FALTARAM'!F:F,'QUADROS QUE FALTARAM'!B:B,0)</f>
        <v>0</v>
      </c>
    </row>
    <row r="600" spans="1:14" x14ac:dyDescent="0.3">
      <c r="A600" s="1" t="s">
        <v>3207</v>
      </c>
      <c r="B600" s="1" t="s">
        <v>1929</v>
      </c>
      <c r="C600" s="59">
        <v>0</v>
      </c>
      <c r="D600" s="62">
        <v>0</v>
      </c>
      <c r="E600" s="62">
        <v>1917986.65</v>
      </c>
      <c r="F600" s="59">
        <v>-1917986.65</v>
      </c>
      <c r="J600" s="67">
        <v>0</v>
      </c>
      <c r="K600" t="e">
        <f>_xlfn.XLOOKUP(J600,DRE!B:B,DRE!A:A)</f>
        <v>#N/A</v>
      </c>
      <c r="N600">
        <f>_xlfn.XLOOKUP(M600,'QUADROS QUE FALTARAM'!F:F,'QUADROS QUE FALTARAM'!B:B,0)</f>
        <v>0</v>
      </c>
    </row>
    <row r="601" spans="1:14" x14ac:dyDescent="0.3">
      <c r="A601" s="1" t="s">
        <v>3208</v>
      </c>
      <c r="B601" s="1" t="s">
        <v>1932</v>
      </c>
      <c r="C601" s="59">
        <v>0</v>
      </c>
      <c r="D601" s="62">
        <v>0</v>
      </c>
      <c r="E601" s="62">
        <v>1917986.65</v>
      </c>
      <c r="F601" s="59">
        <v>-1917986.65</v>
      </c>
      <c r="J601" s="67">
        <v>0</v>
      </c>
      <c r="K601" t="e">
        <f>_xlfn.XLOOKUP(J601,DRE!B:B,DRE!A:A)</f>
        <v>#N/A</v>
      </c>
      <c r="N601">
        <f>_xlfn.XLOOKUP(M601,'QUADROS QUE FALTARAM'!F:F,'QUADROS QUE FALTARAM'!B:B,0)</f>
        <v>0</v>
      </c>
    </row>
    <row r="602" spans="1:14" x14ac:dyDescent="0.3">
      <c r="A602" t="s">
        <v>3209</v>
      </c>
      <c r="B602" t="s">
        <v>1934</v>
      </c>
      <c r="C602" s="54">
        <v>0</v>
      </c>
      <c r="D602" s="20">
        <v>0</v>
      </c>
      <c r="E602" s="20">
        <v>1917986.65</v>
      </c>
      <c r="F602" s="54">
        <v>-1917986.65</v>
      </c>
      <c r="J602" s="67" t="s">
        <v>2327</v>
      </c>
      <c r="K602" t="str">
        <f>_xlfn.XLOOKUP(J602,DRE!B:B,DRE!A:A)</f>
        <v>Outras receitas</v>
      </c>
      <c r="N602">
        <f>_xlfn.XLOOKUP(M602,'QUADROS QUE FALTARAM'!F:F,'QUADROS QUE FALTARAM'!B:B,0)</f>
        <v>0</v>
      </c>
    </row>
    <row r="603" spans="1:14" x14ac:dyDescent="0.3">
      <c r="A603" s="1" t="s">
        <v>3210</v>
      </c>
      <c r="B603" s="1" t="s">
        <v>1936</v>
      </c>
      <c r="C603" s="59">
        <v>0</v>
      </c>
      <c r="D603" s="62">
        <v>0</v>
      </c>
      <c r="E603" s="62">
        <v>226.68</v>
      </c>
      <c r="F603" s="59">
        <v>-226.68</v>
      </c>
      <c r="J603" s="67">
        <v>0</v>
      </c>
      <c r="K603" t="e">
        <f>_xlfn.XLOOKUP(J603,DRE!B:B,DRE!A:A)</f>
        <v>#N/A</v>
      </c>
      <c r="N603">
        <f>_xlfn.XLOOKUP(M603,'QUADROS QUE FALTARAM'!F:F,'QUADROS QUE FALTARAM'!B:B,0)</f>
        <v>0</v>
      </c>
    </row>
    <row r="604" spans="1:14" x14ac:dyDescent="0.3">
      <c r="A604" s="1" t="s">
        <v>3211</v>
      </c>
      <c r="B604" s="1" t="s">
        <v>1939</v>
      </c>
      <c r="C604" s="59">
        <v>0</v>
      </c>
      <c r="D604" s="62">
        <v>0</v>
      </c>
      <c r="E604" s="62">
        <v>226.68</v>
      </c>
      <c r="F604" s="59">
        <v>-226.68</v>
      </c>
      <c r="J604" s="67">
        <v>0</v>
      </c>
      <c r="K604" t="e">
        <f>_xlfn.XLOOKUP(J604,DRE!B:B,DRE!A:A)</f>
        <v>#N/A</v>
      </c>
      <c r="N604">
        <f>_xlfn.XLOOKUP(M604,'QUADROS QUE FALTARAM'!F:F,'QUADROS QUE FALTARAM'!B:B,0)</f>
        <v>0</v>
      </c>
    </row>
    <row r="605" spans="1:14" x14ac:dyDescent="0.3">
      <c r="A605" t="s">
        <v>3212</v>
      </c>
      <c r="B605" t="s">
        <v>1941</v>
      </c>
      <c r="C605" s="54">
        <v>0</v>
      </c>
      <c r="D605" s="20">
        <v>0</v>
      </c>
      <c r="E605" s="20">
        <v>226.68</v>
      </c>
      <c r="F605" s="54">
        <v>-226.68</v>
      </c>
      <c r="J605" s="67" t="s">
        <v>2327</v>
      </c>
      <c r="K605" t="str">
        <f>_xlfn.XLOOKUP(J605,DRE!B:B,DRE!A:A)</f>
        <v>Outras receitas</v>
      </c>
      <c r="N605">
        <f>_xlfn.XLOOKUP(M605,'QUADROS QUE FALTARAM'!F:F,'QUADROS QUE FALTARAM'!B:B,0)</f>
        <v>0</v>
      </c>
    </row>
    <row r="606" spans="1:14" x14ac:dyDescent="0.3">
      <c r="A606" s="1" t="s">
        <v>3213</v>
      </c>
      <c r="B606" s="1" t="s">
        <v>1943</v>
      </c>
      <c r="C606" s="59">
        <v>0</v>
      </c>
      <c r="D606" s="62">
        <v>7470047.04</v>
      </c>
      <c r="E606" s="62">
        <v>22109501.440000001</v>
      </c>
      <c r="F606" s="59">
        <v>-14639454.4</v>
      </c>
      <c r="J606" s="67">
        <v>0</v>
      </c>
      <c r="K606" t="e">
        <f>_xlfn.XLOOKUP(J606,DRE!B:B,DRE!A:A)</f>
        <v>#N/A</v>
      </c>
      <c r="N606">
        <f>_xlfn.XLOOKUP(M606,'QUADROS QUE FALTARAM'!F:F,'QUADROS QUE FALTARAM'!B:B,0)</f>
        <v>0</v>
      </c>
    </row>
    <row r="607" spans="1:14" x14ac:dyDescent="0.3">
      <c r="A607" s="1" t="s">
        <v>3214</v>
      </c>
      <c r="B607" s="1" t="s">
        <v>1946</v>
      </c>
      <c r="C607" s="59">
        <v>0</v>
      </c>
      <c r="D607" s="62">
        <v>0</v>
      </c>
      <c r="E607" s="62">
        <v>60032.06</v>
      </c>
      <c r="F607" s="59">
        <v>-60032.06</v>
      </c>
      <c r="J607" s="67">
        <v>0</v>
      </c>
      <c r="K607" t="e">
        <f>_xlfn.XLOOKUP(J607,DRE!B:B,DRE!A:A)</f>
        <v>#N/A</v>
      </c>
      <c r="N607">
        <f>_xlfn.XLOOKUP(M607,'QUADROS QUE FALTARAM'!F:F,'QUADROS QUE FALTARAM'!B:B,0)</f>
        <v>0</v>
      </c>
    </row>
    <row r="608" spans="1:14" x14ac:dyDescent="0.3">
      <c r="A608" t="s">
        <v>3215</v>
      </c>
      <c r="B608" t="s">
        <v>1949</v>
      </c>
      <c r="C608" s="54">
        <v>0</v>
      </c>
      <c r="D608" s="20">
        <v>0</v>
      </c>
      <c r="E608" s="20">
        <v>60032.06</v>
      </c>
      <c r="F608" s="54">
        <v>-60032.06</v>
      </c>
      <c r="J608" s="67" t="s">
        <v>2327</v>
      </c>
      <c r="K608" t="str">
        <f>_xlfn.XLOOKUP(J608,DRE!B:B,DRE!A:A)</f>
        <v>Outras receitas</v>
      </c>
      <c r="N608">
        <f>_xlfn.XLOOKUP(M608,'QUADROS QUE FALTARAM'!F:F,'QUADROS QUE FALTARAM'!B:B,0)</f>
        <v>0</v>
      </c>
    </row>
    <row r="609" spans="1:14" x14ac:dyDescent="0.3">
      <c r="A609" s="1" t="s">
        <v>3216</v>
      </c>
      <c r="B609" s="1" t="s">
        <v>1951</v>
      </c>
      <c r="C609" s="59">
        <v>0</v>
      </c>
      <c r="D609" s="62">
        <v>7470047.04</v>
      </c>
      <c r="E609" s="62">
        <v>22049469.379999999</v>
      </c>
      <c r="F609" s="59">
        <v>-14579422.34</v>
      </c>
      <c r="J609" s="67">
        <v>0</v>
      </c>
      <c r="K609" t="e">
        <f>_xlfn.XLOOKUP(J609,DRE!B:B,DRE!A:A)</f>
        <v>#N/A</v>
      </c>
      <c r="N609">
        <f>_xlfn.XLOOKUP(M609,'QUADROS QUE FALTARAM'!F:F,'QUADROS QUE FALTARAM'!B:B,0)</f>
        <v>0</v>
      </c>
    </row>
    <row r="610" spans="1:14" x14ac:dyDescent="0.3">
      <c r="A610" t="s">
        <v>3217</v>
      </c>
      <c r="B610" t="s">
        <v>1954</v>
      </c>
      <c r="C610" s="54">
        <v>0</v>
      </c>
      <c r="D610" s="20">
        <v>7470047.04</v>
      </c>
      <c r="E610" s="20">
        <v>22049469.379999999</v>
      </c>
      <c r="F610" s="54">
        <v>-14579422.34</v>
      </c>
      <c r="J610" s="67" t="s">
        <v>2327</v>
      </c>
      <c r="K610" t="str">
        <f>_xlfn.XLOOKUP(J610,DRE!B:B,DRE!A:A)</f>
        <v>Outras receitas</v>
      </c>
      <c r="N610">
        <f>_xlfn.XLOOKUP(M610,'QUADROS QUE FALTARAM'!F:F,'QUADROS QUE FALTARAM'!B:B,0)</f>
        <v>0</v>
      </c>
    </row>
    <row r="611" spans="1:14" x14ac:dyDescent="0.3">
      <c r="A611" s="1" t="s">
        <v>3218</v>
      </c>
      <c r="B611" s="1" t="s">
        <v>1956</v>
      </c>
      <c r="C611" s="59">
        <v>0</v>
      </c>
      <c r="D611" s="62">
        <v>770000.62</v>
      </c>
      <c r="E611" s="62">
        <v>1315870.29</v>
      </c>
      <c r="F611" s="59">
        <v>-545869.67000000004</v>
      </c>
      <c r="J611" s="67">
        <v>0</v>
      </c>
      <c r="K611" t="e">
        <f>_xlfn.XLOOKUP(J611,DRE!B:B,DRE!A:A)</f>
        <v>#N/A</v>
      </c>
      <c r="N611">
        <f>_xlfn.XLOOKUP(M611,'QUADROS QUE FALTARAM'!F:F,'QUADROS QUE FALTARAM'!B:B,0)</f>
        <v>0</v>
      </c>
    </row>
    <row r="612" spans="1:14" x14ac:dyDescent="0.3">
      <c r="A612" s="1" t="s">
        <v>3219</v>
      </c>
      <c r="B612" s="1" t="s">
        <v>1959</v>
      </c>
      <c r="C612" s="59">
        <v>0</v>
      </c>
      <c r="D612" s="62">
        <v>0</v>
      </c>
      <c r="E612" s="62">
        <v>1285.06</v>
      </c>
      <c r="F612" s="59">
        <v>-1285.06</v>
      </c>
      <c r="J612" s="67">
        <v>0</v>
      </c>
      <c r="K612" t="e">
        <f>_xlfn.XLOOKUP(J612,DRE!B:B,DRE!A:A)</f>
        <v>#N/A</v>
      </c>
      <c r="N612">
        <f>_xlfn.XLOOKUP(M612,'QUADROS QUE FALTARAM'!F:F,'QUADROS QUE FALTARAM'!B:B,0)</f>
        <v>0</v>
      </c>
    </row>
    <row r="613" spans="1:14" x14ac:dyDescent="0.3">
      <c r="A613" t="s">
        <v>3220</v>
      </c>
      <c r="B613" t="s">
        <v>1962</v>
      </c>
      <c r="C613" s="54">
        <v>0</v>
      </c>
      <c r="D613" s="20">
        <v>0</v>
      </c>
      <c r="E613" s="20">
        <v>1285.06</v>
      </c>
      <c r="F613" s="54">
        <v>-1285.06</v>
      </c>
      <c r="J613" s="67" t="s">
        <v>1970</v>
      </c>
      <c r="K613" t="str">
        <f>_xlfn.XLOOKUP(J613,DRE!B:B,DRE!A:A)</f>
        <v>Receitas Financeiras</v>
      </c>
      <c r="M613" s="17" t="s">
        <v>2108</v>
      </c>
      <c r="N613" t="str">
        <f>_xlfn.XLOOKUP(M613,'QUADROS QUE FALTARAM'!F:F,'QUADROS QUE FALTARAM'!B:B,0)</f>
        <v>Receita Financeira</v>
      </c>
    </row>
    <row r="614" spans="1:14" x14ac:dyDescent="0.3">
      <c r="A614" s="1" t="s">
        <v>3221</v>
      </c>
      <c r="B614" s="1" t="s">
        <v>1965</v>
      </c>
      <c r="C614" s="59">
        <v>0</v>
      </c>
      <c r="D614" s="62">
        <v>770000.62</v>
      </c>
      <c r="E614" s="62">
        <v>1314585.23</v>
      </c>
      <c r="F614" s="59">
        <v>-544584.61</v>
      </c>
      <c r="J614" s="67">
        <v>0</v>
      </c>
      <c r="K614" t="e">
        <f>_xlfn.XLOOKUP(J614,DRE!B:B,DRE!A:A)</f>
        <v>#N/A</v>
      </c>
      <c r="N614">
        <f>_xlfn.XLOOKUP(M614,'QUADROS QUE FALTARAM'!F:F,'QUADROS QUE FALTARAM'!B:B,0)</f>
        <v>0</v>
      </c>
    </row>
    <row r="615" spans="1:14" x14ac:dyDescent="0.3">
      <c r="A615" t="s">
        <v>3222</v>
      </c>
      <c r="B615" t="s">
        <v>2328</v>
      </c>
      <c r="C615" s="54">
        <v>0</v>
      </c>
      <c r="D615" s="20">
        <v>0</v>
      </c>
      <c r="E615" s="20">
        <v>109.34</v>
      </c>
      <c r="F615" s="54">
        <v>-109.34</v>
      </c>
      <c r="J615" s="69" t="s">
        <v>1970</v>
      </c>
      <c r="K615" t="str">
        <f>_xlfn.XLOOKUP(J615,DRE!B:B,DRE!A:A)</f>
        <v>Receitas Financeiras</v>
      </c>
      <c r="M615" s="17" t="s">
        <v>2108</v>
      </c>
      <c r="N615" t="str">
        <f>_xlfn.XLOOKUP(M615,'QUADROS QUE FALTARAM'!F:F,'QUADROS QUE FALTARAM'!B:B,0)</f>
        <v>Receita Financeira</v>
      </c>
    </row>
    <row r="616" spans="1:14" x14ac:dyDescent="0.3">
      <c r="A616" t="s">
        <v>3223</v>
      </c>
      <c r="B616" t="s">
        <v>1972</v>
      </c>
      <c r="C616" s="54">
        <v>0</v>
      </c>
      <c r="D616" s="20">
        <v>0</v>
      </c>
      <c r="E616" s="20">
        <v>179266.55</v>
      </c>
      <c r="F616" s="54">
        <v>-179266.55</v>
      </c>
      <c r="J616" s="67" t="s">
        <v>1970</v>
      </c>
      <c r="K616" t="str">
        <f>_xlfn.XLOOKUP(J616,DRE!B:B,DRE!A:A)</f>
        <v>Receitas Financeiras</v>
      </c>
      <c r="M616" s="17" t="s">
        <v>2108</v>
      </c>
      <c r="N616" t="str">
        <f>_xlfn.XLOOKUP(M616,'QUADROS QUE FALTARAM'!F:F,'QUADROS QUE FALTARAM'!B:B,0)</f>
        <v>Receita Financeira</v>
      </c>
    </row>
    <row r="617" spans="1:14" x14ac:dyDescent="0.3">
      <c r="A617" t="s">
        <v>3224</v>
      </c>
      <c r="B617" t="s">
        <v>2329</v>
      </c>
      <c r="C617" s="54">
        <v>0</v>
      </c>
      <c r="D617" s="20">
        <v>634700.96</v>
      </c>
      <c r="E617" s="20">
        <v>635254.31999999995</v>
      </c>
      <c r="F617" s="54">
        <v>-553.36</v>
      </c>
      <c r="J617" s="69" t="s">
        <v>1970</v>
      </c>
      <c r="K617" t="str">
        <f>_xlfn.XLOOKUP(J617,DRE!B:B,DRE!A:A)</f>
        <v>Receitas Financeiras</v>
      </c>
      <c r="M617" s="17" t="s">
        <v>2108</v>
      </c>
      <c r="N617" t="str">
        <f>_xlfn.XLOOKUP(M617,'QUADROS QUE FALTARAM'!F:F,'QUADROS QUE FALTARAM'!B:B,0)</f>
        <v>Receita Financeira</v>
      </c>
    </row>
    <row r="618" spans="1:14" x14ac:dyDescent="0.3">
      <c r="A618" t="s">
        <v>3225</v>
      </c>
      <c r="B618" t="s">
        <v>1975</v>
      </c>
      <c r="C618" s="54">
        <v>0</v>
      </c>
      <c r="D618" s="20">
        <v>0</v>
      </c>
      <c r="E618" s="20">
        <v>87.66</v>
      </c>
      <c r="F618" s="54">
        <v>-87.66</v>
      </c>
      <c r="J618" s="67" t="s">
        <v>1970</v>
      </c>
      <c r="K618" t="str">
        <f>_xlfn.XLOOKUP(J618,DRE!B:B,DRE!A:A)</f>
        <v>Receitas Financeiras</v>
      </c>
      <c r="M618" s="17" t="s">
        <v>2108</v>
      </c>
      <c r="N618" t="str">
        <f>_xlfn.XLOOKUP(M618,'QUADROS QUE FALTARAM'!F:F,'QUADROS QUE FALTARAM'!B:B,0)</f>
        <v>Receita Financeira</v>
      </c>
    </row>
    <row r="619" spans="1:14" x14ac:dyDescent="0.3">
      <c r="A619" t="s">
        <v>3226</v>
      </c>
      <c r="B619" t="s">
        <v>1978</v>
      </c>
      <c r="C619" s="54">
        <v>0</v>
      </c>
      <c r="D619" s="20">
        <v>799.25</v>
      </c>
      <c r="E619" s="20">
        <v>799.25</v>
      </c>
      <c r="F619" s="54">
        <v>0</v>
      </c>
      <c r="J619" s="67" t="s">
        <v>1970</v>
      </c>
      <c r="K619" t="str">
        <f>_xlfn.XLOOKUP(J619,DRE!B:B,DRE!A:A)</f>
        <v>Receitas Financeiras</v>
      </c>
      <c r="M619" s="17" t="s">
        <v>2108</v>
      </c>
      <c r="N619" t="str">
        <f>_xlfn.XLOOKUP(M619,'QUADROS QUE FALTARAM'!F:F,'QUADROS QUE FALTARAM'!B:B,0)</f>
        <v>Receita Financeira</v>
      </c>
    </row>
    <row r="620" spans="1:14" x14ac:dyDescent="0.3">
      <c r="A620" t="s">
        <v>3227</v>
      </c>
      <c r="B620" t="s">
        <v>1980</v>
      </c>
      <c r="C620" s="54">
        <v>0</v>
      </c>
      <c r="D620" s="20">
        <v>4918.4399999999996</v>
      </c>
      <c r="E620" s="20">
        <v>4918.4399999999996</v>
      </c>
      <c r="F620" s="54">
        <v>0</v>
      </c>
      <c r="J620" s="67" t="s">
        <v>1970</v>
      </c>
      <c r="K620" t="str">
        <f>_xlfn.XLOOKUP(J620,DRE!B:B,DRE!A:A)</f>
        <v>Receitas Financeiras</v>
      </c>
      <c r="M620" s="17" t="s">
        <v>2108</v>
      </c>
      <c r="N620" t="str">
        <f>_xlfn.XLOOKUP(M620,'QUADROS QUE FALTARAM'!F:F,'QUADROS QUE FALTARAM'!B:B,0)</f>
        <v>Receita Financeira</v>
      </c>
    </row>
    <row r="621" spans="1:14" x14ac:dyDescent="0.3">
      <c r="A621" t="s">
        <v>3228</v>
      </c>
      <c r="B621" t="s">
        <v>2330</v>
      </c>
      <c r="C621" s="54">
        <v>0</v>
      </c>
      <c r="D621" s="20">
        <v>129581.97</v>
      </c>
      <c r="E621" s="20">
        <v>494149.67</v>
      </c>
      <c r="F621" s="54">
        <v>-364567.7</v>
      </c>
      <c r="J621" s="69" t="s">
        <v>1970</v>
      </c>
      <c r="K621" t="str">
        <f>_xlfn.XLOOKUP(J621,DRE!B:B,DRE!A:A)</f>
        <v>Receitas Financeiras</v>
      </c>
      <c r="M621" s="17" t="s">
        <v>2108</v>
      </c>
      <c r="N621" t="str">
        <f>_xlfn.XLOOKUP(M621,'QUADROS QUE FALTARAM'!F:F,'QUADROS QUE FALTARAM'!B:B,0)</f>
        <v>Receita Financeira</v>
      </c>
    </row>
    <row r="622" spans="1:14" x14ac:dyDescent="0.3">
      <c r="A622" s="1" t="s">
        <v>3229</v>
      </c>
      <c r="B622" s="1" t="s">
        <v>1982</v>
      </c>
      <c r="C622" s="59">
        <v>0</v>
      </c>
      <c r="D622" s="62">
        <v>827129.2</v>
      </c>
      <c r="E622" s="62">
        <v>8291.94</v>
      </c>
      <c r="F622" s="59">
        <v>818837.26</v>
      </c>
      <c r="J622" s="67">
        <v>0</v>
      </c>
      <c r="K622" t="e">
        <f>_xlfn.XLOOKUP(J622,DRE!B:B,DRE!A:A)</f>
        <v>#N/A</v>
      </c>
      <c r="N622">
        <f>_xlfn.XLOOKUP(M622,'QUADROS QUE FALTARAM'!F:F,'QUADROS QUE FALTARAM'!B:B,0)</f>
        <v>0</v>
      </c>
    </row>
    <row r="623" spans="1:14" x14ac:dyDescent="0.3">
      <c r="A623" s="1" t="s">
        <v>3230</v>
      </c>
      <c r="B623" s="1" t="s">
        <v>1985</v>
      </c>
      <c r="C623" s="59">
        <v>0</v>
      </c>
      <c r="D623" s="62">
        <v>827129.2</v>
      </c>
      <c r="E623" s="62">
        <v>8291.94</v>
      </c>
      <c r="F623" s="59">
        <v>818837.26</v>
      </c>
      <c r="G623" t="s">
        <v>2124</v>
      </c>
      <c r="J623" s="67">
        <v>0</v>
      </c>
      <c r="K623" t="e">
        <f>_xlfn.XLOOKUP(J623,DRE!B:B,DRE!A:A)</f>
        <v>#N/A</v>
      </c>
      <c r="N623">
        <f>_xlfn.XLOOKUP(M623,'QUADROS QUE FALTARAM'!F:F,'QUADROS QUE FALTARAM'!B:B,0)</f>
        <v>0</v>
      </c>
    </row>
    <row r="624" spans="1:14" x14ac:dyDescent="0.3">
      <c r="A624" s="1" t="s">
        <v>3231</v>
      </c>
      <c r="B624" s="1" t="s">
        <v>1988</v>
      </c>
      <c r="C624" s="59">
        <v>0</v>
      </c>
      <c r="D624" s="62">
        <v>89642.5</v>
      </c>
      <c r="E624" s="62">
        <v>0</v>
      </c>
      <c r="F624" s="59">
        <v>89642.5</v>
      </c>
      <c r="G624" t="s">
        <v>2124</v>
      </c>
      <c r="J624" s="67">
        <v>0</v>
      </c>
      <c r="K624" t="e">
        <f>_xlfn.XLOOKUP(J624,DRE!B:B,DRE!A:A)</f>
        <v>#N/A</v>
      </c>
      <c r="N624">
        <f>_xlfn.XLOOKUP(M624,'QUADROS QUE FALTARAM'!F:F,'QUADROS QUE FALTARAM'!B:B,0)</f>
        <v>0</v>
      </c>
    </row>
    <row r="625" spans="1:14" x14ac:dyDescent="0.3">
      <c r="A625" t="s">
        <v>3232</v>
      </c>
      <c r="B625" t="s">
        <v>1991</v>
      </c>
      <c r="C625" s="54">
        <v>0</v>
      </c>
      <c r="D625" s="20">
        <v>89642.5</v>
      </c>
      <c r="E625" s="20">
        <v>0</v>
      </c>
      <c r="F625" s="54">
        <v>89642.5</v>
      </c>
      <c r="G625" t="s">
        <v>2124</v>
      </c>
      <c r="J625" s="67" t="s">
        <v>2331</v>
      </c>
      <c r="K625" t="str">
        <f>_xlfn.XLOOKUP(J625,DRE!B:B,DRE!A:A)</f>
        <v>Dedução Receita (-)</v>
      </c>
      <c r="N625">
        <f>_xlfn.XLOOKUP(M625,'QUADROS QUE FALTARAM'!F:F,'QUADROS QUE FALTARAM'!B:B,0)</f>
        <v>0</v>
      </c>
    </row>
    <row r="626" spans="1:14" x14ac:dyDescent="0.3">
      <c r="A626" s="1" t="s">
        <v>3233</v>
      </c>
      <c r="B626" s="1" t="s">
        <v>1993</v>
      </c>
      <c r="C626" s="59">
        <v>0</v>
      </c>
      <c r="D626" s="62">
        <v>737486.7</v>
      </c>
      <c r="E626" s="62">
        <v>8291.94</v>
      </c>
      <c r="F626" s="59">
        <v>729194.76</v>
      </c>
      <c r="G626" t="s">
        <v>2124</v>
      </c>
      <c r="J626" s="67">
        <v>0</v>
      </c>
      <c r="K626" t="e">
        <f>_xlfn.XLOOKUP(J626,DRE!B:B,DRE!A:A)</f>
        <v>#N/A</v>
      </c>
      <c r="N626">
        <f>_xlfn.XLOOKUP(M626,'QUADROS QUE FALTARAM'!F:F,'QUADROS QUE FALTARAM'!B:B,0)</f>
        <v>0</v>
      </c>
    </row>
    <row r="627" spans="1:14" x14ac:dyDescent="0.3">
      <c r="A627" t="s">
        <v>3234</v>
      </c>
      <c r="B627" t="s">
        <v>1996</v>
      </c>
      <c r="C627" s="54">
        <v>0</v>
      </c>
      <c r="D627" s="20">
        <v>605935.03</v>
      </c>
      <c r="E627" s="20">
        <v>6812.83</v>
      </c>
      <c r="F627" s="54">
        <v>599122.19999999995</v>
      </c>
      <c r="G627" t="s">
        <v>2124</v>
      </c>
      <c r="J627" s="67" t="s">
        <v>2331</v>
      </c>
      <c r="K627" t="str">
        <f>_xlfn.XLOOKUP(J627,DRE!B:B,DRE!A:A)</f>
        <v>Dedução Receita (-)</v>
      </c>
      <c r="N627">
        <f>_xlfn.XLOOKUP(M627,'QUADROS QUE FALTARAM'!F:F,'QUADROS QUE FALTARAM'!B:B,0)</f>
        <v>0</v>
      </c>
    </row>
    <row r="628" spans="1:14" x14ac:dyDescent="0.3">
      <c r="A628" t="s">
        <v>3235</v>
      </c>
      <c r="B628" t="s">
        <v>1999</v>
      </c>
      <c r="C628" s="54">
        <v>0</v>
      </c>
      <c r="D628" s="20">
        <v>131551.67000000001</v>
      </c>
      <c r="E628" s="20">
        <v>1479.11</v>
      </c>
      <c r="F628" s="54">
        <v>130072.56</v>
      </c>
      <c r="G628" t="s">
        <v>2124</v>
      </c>
      <c r="J628" s="67" t="s">
        <v>2331</v>
      </c>
      <c r="K628" t="str">
        <f>_xlfn.XLOOKUP(J628,DRE!B:B,DRE!A:A)</f>
        <v>Dedução Receita (-)</v>
      </c>
      <c r="N628">
        <f>_xlfn.XLOOKUP(M628,'QUADROS QUE FALTARAM'!F:F,'QUADROS QUE FALTARAM'!B:B,0)</f>
        <v>0</v>
      </c>
    </row>
    <row r="629" spans="1:14" x14ac:dyDescent="0.3">
      <c r="A629" s="51" t="s">
        <v>3236</v>
      </c>
      <c r="B629" s="51" t="s">
        <v>2002</v>
      </c>
      <c r="C629" s="57">
        <v>0</v>
      </c>
      <c r="D629" s="58">
        <v>9665931.8399999999</v>
      </c>
      <c r="E629" s="58">
        <v>121947.97</v>
      </c>
      <c r="F629" s="57">
        <v>9543983.8699999992</v>
      </c>
      <c r="G629" t="s">
        <v>2124</v>
      </c>
      <c r="J629" s="67">
        <v>0</v>
      </c>
      <c r="K629" t="e">
        <f>_xlfn.XLOOKUP(J629,DRE!B:B,DRE!A:A)</f>
        <v>#N/A</v>
      </c>
      <c r="N629">
        <f>_xlfn.XLOOKUP(M629,'QUADROS QUE FALTARAM'!F:F,'QUADROS QUE FALTARAM'!B:B,0)</f>
        <v>0</v>
      </c>
    </row>
    <row r="630" spans="1:14" x14ac:dyDescent="0.3">
      <c r="A630" s="1" t="s">
        <v>3237</v>
      </c>
      <c r="B630" s="1" t="s">
        <v>2005</v>
      </c>
      <c r="C630" s="59">
        <v>0</v>
      </c>
      <c r="D630" s="62">
        <v>9665931.8399999999</v>
      </c>
      <c r="E630" s="62">
        <v>121947.97</v>
      </c>
      <c r="F630" s="59">
        <v>9543983.8699999992</v>
      </c>
      <c r="G630" t="s">
        <v>2124</v>
      </c>
      <c r="J630" s="67">
        <v>0</v>
      </c>
      <c r="K630" t="e">
        <f>_xlfn.XLOOKUP(J630,DRE!B:B,DRE!A:A)</f>
        <v>#N/A</v>
      </c>
      <c r="N630">
        <f>_xlfn.XLOOKUP(M630,'QUADROS QUE FALTARAM'!F:F,'QUADROS QUE FALTARAM'!B:B,0)</f>
        <v>0</v>
      </c>
    </row>
    <row r="631" spans="1:14" x14ac:dyDescent="0.3">
      <c r="A631" s="1" t="s">
        <v>3238</v>
      </c>
      <c r="B631" s="1" t="s">
        <v>2007</v>
      </c>
      <c r="C631" s="59">
        <v>0</v>
      </c>
      <c r="D631" s="62">
        <v>8862447.3100000005</v>
      </c>
      <c r="E631" s="62">
        <v>0</v>
      </c>
      <c r="F631" s="59">
        <v>8862447.3100000005</v>
      </c>
      <c r="G631" t="s">
        <v>2124</v>
      </c>
      <c r="J631" s="67">
        <v>0</v>
      </c>
      <c r="K631" t="e">
        <f>_xlfn.XLOOKUP(J631,DRE!B:B,DRE!A:A)</f>
        <v>#N/A</v>
      </c>
      <c r="N631">
        <f>_xlfn.XLOOKUP(M631,'QUADROS QUE FALTARAM'!F:F,'QUADROS QUE FALTARAM'!B:B,0)</f>
        <v>0</v>
      </c>
    </row>
    <row r="632" spans="1:14" x14ac:dyDescent="0.3">
      <c r="A632" s="1" t="s">
        <v>3239</v>
      </c>
      <c r="B632" s="1" t="s">
        <v>2010</v>
      </c>
      <c r="C632" s="59">
        <v>0</v>
      </c>
      <c r="D632" s="62">
        <v>8862447.3100000005</v>
      </c>
      <c r="E632" s="62">
        <v>0</v>
      </c>
      <c r="F632" s="59">
        <v>8862447.3100000005</v>
      </c>
      <c r="G632" t="s">
        <v>2124</v>
      </c>
      <c r="J632" s="67">
        <v>0</v>
      </c>
      <c r="K632" t="e">
        <f>_xlfn.XLOOKUP(J632,DRE!B:B,DRE!A:A)</f>
        <v>#N/A</v>
      </c>
      <c r="N632">
        <f>_xlfn.XLOOKUP(M632,'QUADROS QUE FALTARAM'!F:F,'QUADROS QUE FALTARAM'!B:B,0)</f>
        <v>0</v>
      </c>
    </row>
    <row r="633" spans="1:14" x14ac:dyDescent="0.3">
      <c r="A633" t="s">
        <v>3240</v>
      </c>
      <c r="B633" t="s">
        <v>2012</v>
      </c>
      <c r="C633" s="54">
        <v>0</v>
      </c>
      <c r="D633" s="20">
        <v>8862447.3100000005</v>
      </c>
      <c r="E633" s="20">
        <v>0</v>
      </c>
      <c r="F633" s="54">
        <v>8862447.3100000005</v>
      </c>
      <c r="G633" t="s">
        <v>2124</v>
      </c>
      <c r="J633" s="67">
        <v>0</v>
      </c>
      <c r="K633" t="e">
        <f>_xlfn.XLOOKUP(J633,DRE!B:B,DRE!A:A)</f>
        <v>#N/A</v>
      </c>
      <c r="N633">
        <f>_xlfn.XLOOKUP(M633,'QUADROS QUE FALTARAM'!F:F,'QUADROS QUE FALTARAM'!B:B,0)</f>
        <v>0</v>
      </c>
    </row>
    <row r="634" spans="1:14" x14ac:dyDescent="0.3">
      <c r="A634" s="1" t="s">
        <v>3241</v>
      </c>
      <c r="B634" s="1" t="s">
        <v>2014</v>
      </c>
      <c r="C634" s="59">
        <v>0</v>
      </c>
      <c r="D634" s="62">
        <v>803484.53</v>
      </c>
      <c r="E634" s="62">
        <v>121947.97</v>
      </c>
      <c r="F634" s="59">
        <v>681536.56</v>
      </c>
      <c r="G634" t="s">
        <v>2124</v>
      </c>
      <c r="J634" s="67">
        <v>0</v>
      </c>
      <c r="K634" t="e">
        <f>_xlfn.XLOOKUP(J634,DRE!B:B,DRE!A:A)</f>
        <v>#N/A</v>
      </c>
      <c r="N634">
        <f>_xlfn.XLOOKUP(M634,'QUADROS QUE FALTARAM'!F:F,'QUADROS QUE FALTARAM'!B:B,0)</f>
        <v>0</v>
      </c>
    </row>
    <row r="635" spans="1:14" x14ac:dyDescent="0.3">
      <c r="A635" s="1" t="s">
        <v>3242</v>
      </c>
      <c r="B635" s="1" t="s">
        <v>2017</v>
      </c>
      <c r="C635" s="59">
        <v>0</v>
      </c>
      <c r="D635" s="62">
        <v>803484.53</v>
      </c>
      <c r="E635" s="62">
        <v>121947.97</v>
      </c>
      <c r="F635" s="59">
        <v>681536.56</v>
      </c>
      <c r="G635" t="s">
        <v>2124</v>
      </c>
      <c r="J635" s="67">
        <v>0</v>
      </c>
      <c r="K635" t="e">
        <f>_xlfn.XLOOKUP(J635,DRE!B:B,DRE!A:A)</f>
        <v>#N/A</v>
      </c>
      <c r="N635">
        <f>_xlfn.XLOOKUP(M635,'QUADROS QUE FALTARAM'!F:F,'QUADROS QUE FALTARAM'!B:B,0)</f>
        <v>0</v>
      </c>
    </row>
    <row r="636" spans="1:14" x14ac:dyDescent="0.3">
      <c r="A636" t="s">
        <v>3243</v>
      </c>
      <c r="B636" t="s">
        <v>2332</v>
      </c>
      <c r="C636" s="54">
        <v>0</v>
      </c>
      <c r="D636" s="20">
        <v>0</v>
      </c>
      <c r="E636" s="20">
        <v>120420.59</v>
      </c>
      <c r="F636" s="54">
        <v>-120420.59</v>
      </c>
      <c r="G636" t="s">
        <v>2124</v>
      </c>
      <c r="J636" s="67" t="s">
        <v>2129</v>
      </c>
      <c r="K636" t="e">
        <f>_xlfn.XLOOKUP(J636,DRE!B:B,DRE!A:A)</f>
        <v>#N/A</v>
      </c>
      <c r="N636">
        <f>_xlfn.XLOOKUP(M636,'QUADROS QUE FALTARAM'!F:F,'QUADROS QUE FALTARAM'!B:B,0)</f>
        <v>0</v>
      </c>
    </row>
    <row r="637" spans="1:14" x14ac:dyDescent="0.3">
      <c r="A637" t="s">
        <v>3244</v>
      </c>
      <c r="B637" t="s">
        <v>2333</v>
      </c>
      <c r="C637" s="54">
        <v>0</v>
      </c>
      <c r="D637" s="20">
        <v>470.52</v>
      </c>
      <c r="E637" s="20">
        <v>0</v>
      </c>
      <c r="F637" s="54">
        <v>470.52</v>
      </c>
      <c r="G637" t="s">
        <v>2124</v>
      </c>
      <c r="J637" s="67" t="s">
        <v>2129</v>
      </c>
      <c r="K637" t="e">
        <f>_xlfn.XLOOKUP(J637,DRE!B:B,DRE!A:A)</f>
        <v>#N/A</v>
      </c>
      <c r="N637">
        <f>_xlfn.XLOOKUP(M637,'QUADROS QUE FALTARAM'!F:F,'QUADROS QUE FALTARAM'!B:B,0)</f>
        <v>0</v>
      </c>
    </row>
    <row r="638" spans="1:14" x14ac:dyDescent="0.3">
      <c r="A638" t="s">
        <v>3245</v>
      </c>
      <c r="B638" t="s">
        <v>2334</v>
      </c>
      <c r="C638" s="54">
        <v>0</v>
      </c>
      <c r="D638" s="20">
        <v>2509.4699999999998</v>
      </c>
      <c r="E638" s="20">
        <v>0</v>
      </c>
      <c r="F638" s="54">
        <v>2509.4699999999998</v>
      </c>
      <c r="G638" t="s">
        <v>2124</v>
      </c>
      <c r="J638" s="67" t="s">
        <v>2129</v>
      </c>
      <c r="K638" t="e">
        <f>_xlfn.XLOOKUP(J638,DRE!B:B,DRE!A:A)</f>
        <v>#N/A</v>
      </c>
      <c r="N638">
        <f>_xlfn.XLOOKUP(M638,'QUADROS QUE FALTARAM'!F:F,'QUADROS QUE FALTARAM'!B:B,0)</f>
        <v>0</v>
      </c>
    </row>
    <row r="639" spans="1:14" x14ac:dyDescent="0.3">
      <c r="A639" t="s">
        <v>3246</v>
      </c>
      <c r="B639" t="s">
        <v>2335</v>
      </c>
      <c r="C639" s="54">
        <v>0</v>
      </c>
      <c r="D639" s="20">
        <v>588.16</v>
      </c>
      <c r="E639" s="20">
        <v>0</v>
      </c>
      <c r="F639" s="54">
        <v>588.16</v>
      </c>
      <c r="G639" t="s">
        <v>2124</v>
      </c>
      <c r="J639" s="67" t="s">
        <v>2129</v>
      </c>
      <c r="K639" t="e">
        <f>_xlfn.XLOOKUP(J639,DRE!B:B,DRE!A:A)</f>
        <v>#N/A</v>
      </c>
      <c r="N639">
        <f>_xlfn.XLOOKUP(M639,'QUADROS QUE FALTARAM'!F:F,'QUADROS QUE FALTARAM'!B:B,0)</f>
        <v>0</v>
      </c>
    </row>
    <row r="640" spans="1:14" x14ac:dyDescent="0.3">
      <c r="A640" t="s">
        <v>3247</v>
      </c>
      <c r="B640" t="s">
        <v>2336</v>
      </c>
      <c r="C640" s="54">
        <v>0</v>
      </c>
      <c r="D640" s="20">
        <v>901.84</v>
      </c>
      <c r="E640" s="20">
        <v>0</v>
      </c>
      <c r="F640" s="54">
        <v>901.84</v>
      </c>
      <c r="G640" t="s">
        <v>2124</v>
      </c>
      <c r="J640" s="67" t="s">
        <v>2129</v>
      </c>
      <c r="K640" t="e">
        <f>_xlfn.XLOOKUP(J640,DRE!B:B,DRE!A:A)</f>
        <v>#N/A</v>
      </c>
      <c r="N640">
        <f>_xlfn.XLOOKUP(M640,'QUADROS QUE FALTARAM'!F:F,'QUADROS QUE FALTARAM'!B:B,0)</f>
        <v>0</v>
      </c>
    </row>
    <row r="641" spans="1:14" x14ac:dyDescent="0.3">
      <c r="A641" t="s">
        <v>3248</v>
      </c>
      <c r="B641" t="s">
        <v>2337</v>
      </c>
      <c r="C641" s="54">
        <v>0</v>
      </c>
      <c r="D641" s="20">
        <v>313.68</v>
      </c>
      <c r="E641" s="20">
        <v>0</v>
      </c>
      <c r="F641" s="54">
        <v>313.68</v>
      </c>
      <c r="G641" t="s">
        <v>2124</v>
      </c>
      <c r="J641" s="67" t="s">
        <v>2129</v>
      </c>
      <c r="K641" t="e">
        <f>_xlfn.XLOOKUP(J641,DRE!B:B,DRE!A:A)</f>
        <v>#N/A</v>
      </c>
      <c r="N641">
        <f>_xlfn.XLOOKUP(M641,'QUADROS QUE FALTARAM'!F:F,'QUADROS QUE FALTARAM'!B:B,0)</f>
        <v>0</v>
      </c>
    </row>
    <row r="642" spans="1:14" x14ac:dyDescent="0.3">
      <c r="A642" t="s">
        <v>3249</v>
      </c>
      <c r="B642" t="s">
        <v>2338</v>
      </c>
      <c r="C642" s="54">
        <v>0</v>
      </c>
      <c r="D642" s="20">
        <v>2156.59</v>
      </c>
      <c r="E642" s="20">
        <v>0</v>
      </c>
      <c r="F642" s="54">
        <v>2156.59</v>
      </c>
      <c r="G642" t="s">
        <v>2124</v>
      </c>
      <c r="J642" s="67" t="s">
        <v>2129</v>
      </c>
      <c r="K642" t="e">
        <f>_xlfn.XLOOKUP(J642,DRE!B:B,DRE!A:A)</f>
        <v>#N/A</v>
      </c>
      <c r="N642">
        <f>_xlfn.XLOOKUP(M642,'QUADROS QUE FALTARAM'!F:F,'QUADROS QUE FALTARAM'!B:B,0)</f>
        <v>0</v>
      </c>
    </row>
    <row r="643" spans="1:14" x14ac:dyDescent="0.3">
      <c r="A643" t="s">
        <v>3250</v>
      </c>
      <c r="B643" t="s">
        <v>2339</v>
      </c>
      <c r="C643" s="54">
        <v>0</v>
      </c>
      <c r="D643" s="20">
        <v>1764.47</v>
      </c>
      <c r="E643" s="20">
        <v>0</v>
      </c>
      <c r="F643" s="54">
        <v>1764.47</v>
      </c>
      <c r="G643" t="s">
        <v>2124</v>
      </c>
      <c r="J643" s="67" t="s">
        <v>2129</v>
      </c>
      <c r="K643" t="e">
        <f>_xlfn.XLOOKUP(J643,DRE!B:B,DRE!A:A)</f>
        <v>#N/A</v>
      </c>
      <c r="N643">
        <f>_xlfn.XLOOKUP(M643,'QUADROS QUE FALTARAM'!F:F,'QUADROS QUE FALTARAM'!B:B,0)</f>
        <v>0</v>
      </c>
    </row>
    <row r="644" spans="1:14" x14ac:dyDescent="0.3">
      <c r="A644" t="s">
        <v>3251</v>
      </c>
      <c r="B644" t="s">
        <v>2340</v>
      </c>
      <c r="C644" s="54">
        <v>0</v>
      </c>
      <c r="D644" s="20">
        <v>1176.33</v>
      </c>
      <c r="E644" s="20">
        <v>0</v>
      </c>
      <c r="F644" s="54">
        <v>1176.33</v>
      </c>
      <c r="G644" t="s">
        <v>2124</v>
      </c>
      <c r="J644" s="67" t="s">
        <v>2129</v>
      </c>
      <c r="K644" t="e">
        <f>_xlfn.XLOOKUP(J644,DRE!B:B,DRE!A:A)</f>
        <v>#N/A</v>
      </c>
      <c r="N644">
        <f>_xlfn.XLOOKUP(M644,'QUADROS QUE FALTARAM'!F:F,'QUADROS QUE FALTARAM'!B:B,0)</f>
        <v>0</v>
      </c>
    </row>
    <row r="645" spans="1:14" x14ac:dyDescent="0.3">
      <c r="A645" t="s">
        <v>3252</v>
      </c>
      <c r="B645" t="s">
        <v>2341</v>
      </c>
      <c r="C645" s="54">
        <v>0</v>
      </c>
      <c r="D645" s="20">
        <v>2548.6799999999998</v>
      </c>
      <c r="E645" s="20">
        <v>0</v>
      </c>
      <c r="F645" s="54">
        <v>2548.6799999999998</v>
      </c>
      <c r="G645" t="s">
        <v>2124</v>
      </c>
      <c r="J645" s="67" t="s">
        <v>2129</v>
      </c>
      <c r="K645" t="e">
        <f>_xlfn.XLOOKUP(J645,DRE!B:B,DRE!A:A)</f>
        <v>#N/A</v>
      </c>
      <c r="N645">
        <f>_xlfn.XLOOKUP(M645,'QUADROS QUE FALTARAM'!F:F,'QUADROS QUE FALTARAM'!B:B,0)</f>
        <v>0</v>
      </c>
    </row>
    <row r="646" spans="1:14" x14ac:dyDescent="0.3">
      <c r="A646" t="s">
        <v>3253</v>
      </c>
      <c r="B646" t="s">
        <v>2342</v>
      </c>
      <c r="C646" s="54">
        <v>0</v>
      </c>
      <c r="D646" s="20">
        <v>1568.43</v>
      </c>
      <c r="E646" s="20">
        <v>0</v>
      </c>
      <c r="F646" s="54">
        <v>1568.43</v>
      </c>
      <c r="G646" t="s">
        <v>2124</v>
      </c>
      <c r="J646" s="67" t="s">
        <v>2129</v>
      </c>
      <c r="K646" t="e">
        <f>_xlfn.XLOOKUP(J646,DRE!B:B,DRE!A:A)</f>
        <v>#N/A</v>
      </c>
      <c r="N646">
        <f>_xlfn.XLOOKUP(M646,'QUADROS QUE FALTARAM'!F:F,'QUADROS QUE FALTARAM'!B:B,0)</f>
        <v>0</v>
      </c>
    </row>
    <row r="647" spans="1:14" x14ac:dyDescent="0.3">
      <c r="A647" t="s">
        <v>3254</v>
      </c>
      <c r="B647" t="s">
        <v>2343</v>
      </c>
      <c r="C647" s="54">
        <v>0</v>
      </c>
      <c r="D647" s="20">
        <v>605938.4</v>
      </c>
      <c r="E647" s="20">
        <v>0</v>
      </c>
      <c r="F647" s="54">
        <v>605938.4</v>
      </c>
      <c r="G647" t="s">
        <v>2124</v>
      </c>
      <c r="J647" s="67" t="s">
        <v>2129</v>
      </c>
      <c r="K647" t="e">
        <f>_xlfn.XLOOKUP(J647,DRE!B:B,DRE!A:A)</f>
        <v>#N/A</v>
      </c>
      <c r="N647">
        <f>_xlfn.XLOOKUP(M647,'QUADROS QUE FALTARAM'!F:F,'QUADROS QUE FALTARAM'!B:B,0)</f>
        <v>0</v>
      </c>
    </row>
    <row r="648" spans="1:14" x14ac:dyDescent="0.3">
      <c r="A648" t="s">
        <v>3255</v>
      </c>
      <c r="B648" t="s">
        <v>2019</v>
      </c>
      <c r="C648" s="54">
        <v>0</v>
      </c>
      <c r="D648" s="20">
        <v>29274.86</v>
      </c>
      <c r="E648" s="20">
        <v>0</v>
      </c>
      <c r="F648" s="54">
        <v>29274.86</v>
      </c>
      <c r="G648" t="s">
        <v>2124</v>
      </c>
      <c r="J648" s="67">
        <v>0</v>
      </c>
      <c r="K648" t="e">
        <f>_xlfn.XLOOKUP(J648,DRE!B:B,DRE!A:A)</f>
        <v>#N/A</v>
      </c>
      <c r="N648">
        <f>_xlfn.XLOOKUP(M648,'QUADROS QUE FALTARAM'!F:F,'QUADROS QUE FALTARAM'!B:B,0)</f>
        <v>0</v>
      </c>
    </row>
    <row r="649" spans="1:14" x14ac:dyDescent="0.3">
      <c r="A649" t="s">
        <v>3256</v>
      </c>
      <c r="B649" t="s">
        <v>2025</v>
      </c>
      <c r="C649" s="54">
        <v>0</v>
      </c>
      <c r="D649" s="20">
        <v>217.9</v>
      </c>
      <c r="E649" s="20">
        <v>0</v>
      </c>
      <c r="F649" s="54">
        <v>217.9</v>
      </c>
      <c r="G649" t="s">
        <v>2124</v>
      </c>
      <c r="J649" s="67">
        <v>0</v>
      </c>
      <c r="K649" t="e">
        <f>_xlfn.XLOOKUP(J649,DRE!B:B,DRE!A:A)</f>
        <v>#N/A</v>
      </c>
      <c r="N649">
        <f>_xlfn.XLOOKUP(M649,'QUADROS QUE FALTARAM'!F:F,'QUADROS QUE FALTARAM'!B:B,0)</f>
        <v>0</v>
      </c>
    </row>
    <row r="650" spans="1:14" x14ac:dyDescent="0.3">
      <c r="A650" t="s">
        <v>3257</v>
      </c>
      <c r="B650" t="s">
        <v>2344</v>
      </c>
      <c r="C650" s="54">
        <v>0</v>
      </c>
      <c r="D650" s="20">
        <v>58815.75</v>
      </c>
      <c r="E650" s="20">
        <v>0</v>
      </c>
      <c r="F650" s="54">
        <v>58815.75</v>
      </c>
      <c r="G650" t="s">
        <v>2124</v>
      </c>
      <c r="J650" s="67" t="s">
        <v>2129</v>
      </c>
      <c r="K650" t="e">
        <f>_xlfn.XLOOKUP(J650,DRE!B:B,DRE!A:A)</f>
        <v>#N/A</v>
      </c>
      <c r="N650">
        <f>_xlfn.XLOOKUP(M650,'QUADROS QUE FALTARAM'!F:F,'QUADROS QUE FALTARAM'!B:B,0)</f>
        <v>0</v>
      </c>
    </row>
    <row r="651" spans="1:14" x14ac:dyDescent="0.3">
      <c r="A651" t="s">
        <v>3258</v>
      </c>
      <c r="B651" t="s">
        <v>2028</v>
      </c>
      <c r="C651" s="54">
        <v>0</v>
      </c>
      <c r="D651" s="20">
        <v>20365.12</v>
      </c>
      <c r="E651" s="20">
        <v>0</v>
      </c>
      <c r="F651" s="54">
        <v>20365.12</v>
      </c>
      <c r="G651" t="s">
        <v>2124</v>
      </c>
      <c r="J651" s="67">
        <v>0</v>
      </c>
      <c r="K651" t="e">
        <f>_xlfn.XLOOKUP(J651,DRE!B:B,DRE!A:A)</f>
        <v>#N/A</v>
      </c>
      <c r="N651">
        <f>_xlfn.XLOOKUP(M651,'QUADROS QUE FALTARAM'!F:F,'QUADROS QUE FALTARAM'!B:B,0)</f>
        <v>0</v>
      </c>
    </row>
    <row r="652" spans="1:14" x14ac:dyDescent="0.3">
      <c r="A652" t="s">
        <v>3259</v>
      </c>
      <c r="B652" t="s">
        <v>2345</v>
      </c>
      <c r="C652" s="54">
        <v>0</v>
      </c>
      <c r="D652" s="20">
        <v>2545.64</v>
      </c>
      <c r="E652" s="20">
        <v>0</v>
      </c>
      <c r="F652" s="54">
        <v>2545.64</v>
      </c>
      <c r="G652" t="s">
        <v>2124</v>
      </c>
      <c r="J652" s="67" t="s">
        <v>2129</v>
      </c>
      <c r="K652" t="e">
        <f>_xlfn.XLOOKUP(J652,DRE!B:B,DRE!A:A)</f>
        <v>#N/A</v>
      </c>
      <c r="N652">
        <f>_xlfn.XLOOKUP(M652,'QUADROS QUE FALTARAM'!F:F,'QUADROS QUE FALTARAM'!B:B,0)</f>
        <v>0</v>
      </c>
    </row>
    <row r="653" spans="1:14" x14ac:dyDescent="0.3">
      <c r="A653" t="s">
        <v>3260</v>
      </c>
      <c r="B653" t="s">
        <v>2346</v>
      </c>
      <c r="C653" s="54">
        <v>0</v>
      </c>
      <c r="D653" s="20">
        <v>980.26</v>
      </c>
      <c r="E653" s="20">
        <v>0</v>
      </c>
      <c r="F653" s="54">
        <v>980.26</v>
      </c>
      <c r="G653" t="s">
        <v>2124</v>
      </c>
      <c r="J653" s="67" t="s">
        <v>2129</v>
      </c>
      <c r="K653" t="e">
        <f>_xlfn.XLOOKUP(J653,DRE!B:B,DRE!A:A)</f>
        <v>#N/A</v>
      </c>
      <c r="N653">
        <f>_xlfn.XLOOKUP(M653,'QUADROS QUE FALTARAM'!F:F,'QUADROS QUE FALTARAM'!B:B,0)</f>
        <v>0</v>
      </c>
    </row>
    <row r="654" spans="1:14" x14ac:dyDescent="0.3">
      <c r="A654" t="s">
        <v>3261</v>
      </c>
      <c r="B654" t="s">
        <v>2347</v>
      </c>
      <c r="C654" s="54">
        <v>0</v>
      </c>
      <c r="D654" s="20">
        <v>196.05</v>
      </c>
      <c r="E654" s="20">
        <v>0</v>
      </c>
      <c r="F654" s="54">
        <v>196.05</v>
      </c>
      <c r="G654" t="s">
        <v>2124</v>
      </c>
      <c r="J654" s="67" t="s">
        <v>2129</v>
      </c>
      <c r="K654" t="e">
        <f>_xlfn.XLOOKUP(J654,DRE!B:B,DRE!A:A)</f>
        <v>#N/A</v>
      </c>
      <c r="N654">
        <f>_xlfn.XLOOKUP(M654,'QUADROS QUE FALTARAM'!F:F,'QUADROS QUE FALTARAM'!B:B,0)</f>
        <v>0</v>
      </c>
    </row>
    <row r="655" spans="1:14" x14ac:dyDescent="0.3">
      <c r="A655" t="s">
        <v>3262</v>
      </c>
      <c r="B655" t="s">
        <v>2348</v>
      </c>
      <c r="C655" s="54">
        <v>0</v>
      </c>
      <c r="D655" s="20">
        <v>2352.64</v>
      </c>
      <c r="E655" s="20">
        <v>0</v>
      </c>
      <c r="F655" s="54">
        <v>2352.64</v>
      </c>
      <c r="G655" t="s">
        <v>2124</v>
      </c>
      <c r="J655" s="67" t="s">
        <v>2129</v>
      </c>
      <c r="K655" t="e">
        <f>_xlfn.XLOOKUP(J655,DRE!B:B,DRE!A:A)</f>
        <v>#N/A</v>
      </c>
      <c r="N655">
        <f>_xlfn.XLOOKUP(M655,'QUADROS QUE FALTARAM'!F:F,'QUADROS QUE FALTARAM'!B:B,0)</f>
        <v>0</v>
      </c>
    </row>
    <row r="656" spans="1:14" x14ac:dyDescent="0.3">
      <c r="A656" t="s">
        <v>3263</v>
      </c>
      <c r="B656" t="s">
        <v>2349</v>
      </c>
      <c r="C656" s="54">
        <v>0</v>
      </c>
      <c r="D656" s="20">
        <v>1568.42</v>
      </c>
      <c r="E656" s="20">
        <v>0</v>
      </c>
      <c r="F656" s="54">
        <v>1568.42</v>
      </c>
      <c r="G656" t="s">
        <v>2124</v>
      </c>
      <c r="J656" s="67" t="s">
        <v>2129</v>
      </c>
      <c r="K656" t="e">
        <f>_xlfn.XLOOKUP(J656,DRE!B:B,DRE!A:A)</f>
        <v>#N/A</v>
      </c>
      <c r="N656">
        <f>_xlfn.XLOOKUP(M656,'QUADROS QUE FALTARAM'!F:F,'QUADROS QUE FALTARAM'!B:B,0)</f>
        <v>0</v>
      </c>
    </row>
    <row r="657" spans="1:14" x14ac:dyDescent="0.3">
      <c r="A657" t="s">
        <v>3264</v>
      </c>
      <c r="B657" t="s">
        <v>2350</v>
      </c>
      <c r="C657" s="54">
        <v>0</v>
      </c>
      <c r="D657" s="20">
        <v>627.37</v>
      </c>
      <c r="E657" s="20">
        <v>0</v>
      </c>
      <c r="F657" s="54">
        <v>627.37</v>
      </c>
      <c r="G657" t="s">
        <v>2124</v>
      </c>
      <c r="J657" s="67" t="s">
        <v>2129</v>
      </c>
      <c r="K657" t="e">
        <f>_xlfn.XLOOKUP(J657,DRE!B:B,DRE!A:A)</f>
        <v>#N/A</v>
      </c>
      <c r="N657">
        <f>_xlfn.XLOOKUP(M657,'QUADROS QUE FALTARAM'!F:F,'QUADROS QUE FALTARAM'!B:B,0)</f>
        <v>0</v>
      </c>
    </row>
    <row r="658" spans="1:14" x14ac:dyDescent="0.3">
      <c r="A658" t="s">
        <v>3265</v>
      </c>
      <c r="B658" t="s">
        <v>2351</v>
      </c>
      <c r="C658" s="54">
        <v>0</v>
      </c>
      <c r="D658" s="20">
        <v>1058.68</v>
      </c>
      <c r="E658" s="20">
        <v>0</v>
      </c>
      <c r="F658" s="54">
        <v>1058.68</v>
      </c>
      <c r="G658" t="s">
        <v>2124</v>
      </c>
      <c r="J658" s="67" t="s">
        <v>2129</v>
      </c>
      <c r="K658" t="e">
        <f>_xlfn.XLOOKUP(J658,DRE!B:B,DRE!A:A)</f>
        <v>#N/A</v>
      </c>
      <c r="N658">
        <f>_xlfn.XLOOKUP(M658,'QUADROS QUE FALTARAM'!F:F,'QUADROS QUE FALTARAM'!B:B,0)</f>
        <v>0</v>
      </c>
    </row>
    <row r="659" spans="1:14" x14ac:dyDescent="0.3">
      <c r="A659" t="s">
        <v>3266</v>
      </c>
      <c r="B659" t="s">
        <v>2352</v>
      </c>
      <c r="C659" s="54">
        <v>0</v>
      </c>
      <c r="D659" s="20">
        <v>3054.76</v>
      </c>
      <c r="E659" s="20">
        <v>0</v>
      </c>
      <c r="F659" s="54">
        <v>3054.76</v>
      </c>
      <c r="G659" t="s">
        <v>2124</v>
      </c>
      <c r="J659" s="67" t="s">
        <v>2129</v>
      </c>
      <c r="K659" t="e">
        <f>_xlfn.XLOOKUP(J659,DRE!B:B,DRE!A:A)</f>
        <v>#N/A</v>
      </c>
      <c r="N659">
        <f>_xlfn.XLOOKUP(M659,'QUADROS QUE FALTARAM'!F:F,'QUADROS QUE FALTARAM'!B:B,0)</f>
        <v>0</v>
      </c>
    </row>
    <row r="660" spans="1:14" x14ac:dyDescent="0.3">
      <c r="A660" t="s">
        <v>3267</v>
      </c>
      <c r="B660" t="s">
        <v>2353</v>
      </c>
      <c r="C660" s="54">
        <v>0</v>
      </c>
      <c r="D660" s="20">
        <v>588.16</v>
      </c>
      <c r="E660" s="20">
        <v>0</v>
      </c>
      <c r="F660" s="54">
        <v>588.16</v>
      </c>
      <c r="G660" t="s">
        <v>2124</v>
      </c>
      <c r="J660" s="67" t="s">
        <v>2129</v>
      </c>
      <c r="K660" t="e">
        <f>_xlfn.XLOOKUP(J660,DRE!B:B,DRE!A:A)</f>
        <v>#N/A</v>
      </c>
      <c r="N660">
        <f>_xlfn.XLOOKUP(M660,'QUADROS QUE FALTARAM'!F:F,'QUADROS QUE FALTARAM'!B:B,0)</f>
        <v>0</v>
      </c>
    </row>
    <row r="661" spans="1:14" x14ac:dyDescent="0.3">
      <c r="A661" t="s">
        <v>3268</v>
      </c>
      <c r="B661" t="s">
        <v>2354</v>
      </c>
      <c r="C661" s="54">
        <v>0</v>
      </c>
      <c r="D661" s="20">
        <v>15910.25</v>
      </c>
      <c r="E661" s="20">
        <v>0</v>
      </c>
      <c r="F661" s="54">
        <v>15910.25</v>
      </c>
      <c r="G661" t="s">
        <v>2124</v>
      </c>
      <c r="J661" s="67" t="s">
        <v>2129</v>
      </c>
      <c r="K661" t="e">
        <f>_xlfn.XLOOKUP(J661,DRE!B:B,DRE!A:A)</f>
        <v>#N/A</v>
      </c>
      <c r="N661">
        <f>_xlfn.XLOOKUP(M661,'QUADROS QUE FALTARAM'!F:F,'QUADROS QUE FALTARAM'!B:B,0)</f>
        <v>0</v>
      </c>
    </row>
    <row r="662" spans="1:14" x14ac:dyDescent="0.3">
      <c r="A662" t="s">
        <v>3269</v>
      </c>
      <c r="B662" t="s">
        <v>2355</v>
      </c>
      <c r="C662" s="54">
        <v>0</v>
      </c>
      <c r="D662" s="20">
        <v>784.21</v>
      </c>
      <c r="E662" s="20">
        <v>0</v>
      </c>
      <c r="F662" s="54">
        <v>784.21</v>
      </c>
      <c r="G662" t="s">
        <v>2124</v>
      </c>
      <c r="J662" s="67" t="s">
        <v>2129</v>
      </c>
      <c r="K662" t="e">
        <f>_xlfn.XLOOKUP(J662,DRE!B:B,DRE!A:A)</f>
        <v>#N/A</v>
      </c>
      <c r="N662">
        <f>_xlfn.XLOOKUP(M662,'QUADROS QUE FALTARAM'!F:F,'QUADROS QUE FALTARAM'!B:B,0)</f>
        <v>0</v>
      </c>
    </row>
    <row r="663" spans="1:14" x14ac:dyDescent="0.3">
      <c r="A663" t="s">
        <v>3270</v>
      </c>
      <c r="B663" t="s">
        <v>2356</v>
      </c>
      <c r="C663" s="54">
        <v>0</v>
      </c>
      <c r="D663" s="20">
        <v>1568.42</v>
      </c>
      <c r="E663" s="20">
        <v>0</v>
      </c>
      <c r="F663" s="54">
        <v>1568.42</v>
      </c>
      <c r="G663" t="s">
        <v>2124</v>
      </c>
      <c r="J663" s="67" t="s">
        <v>2129</v>
      </c>
      <c r="K663" t="e">
        <f>_xlfn.XLOOKUP(J663,DRE!B:B,DRE!A:A)</f>
        <v>#N/A</v>
      </c>
      <c r="N663">
        <f>_xlfn.XLOOKUP(M663,'QUADROS QUE FALTARAM'!F:F,'QUADROS QUE FALTARAM'!B:B,0)</f>
        <v>0</v>
      </c>
    </row>
    <row r="664" spans="1:14" x14ac:dyDescent="0.3">
      <c r="A664" t="s">
        <v>3271</v>
      </c>
      <c r="B664" t="s">
        <v>2357</v>
      </c>
      <c r="C664" s="54">
        <v>0</v>
      </c>
      <c r="D664" s="20">
        <v>588.16</v>
      </c>
      <c r="E664" s="20">
        <v>0</v>
      </c>
      <c r="F664" s="54">
        <v>588.16</v>
      </c>
      <c r="G664" t="s">
        <v>2124</v>
      </c>
      <c r="J664" s="67" t="s">
        <v>2129</v>
      </c>
      <c r="K664" t="e">
        <f>_xlfn.XLOOKUP(J664,DRE!B:B,DRE!A:A)</f>
        <v>#N/A</v>
      </c>
      <c r="N664">
        <f>_xlfn.XLOOKUP(M664,'QUADROS QUE FALTARAM'!F:F,'QUADROS QUE FALTARAM'!B:B,0)</f>
        <v>0</v>
      </c>
    </row>
    <row r="665" spans="1:14" x14ac:dyDescent="0.3">
      <c r="A665" t="s">
        <v>3272</v>
      </c>
      <c r="B665" t="s">
        <v>2358</v>
      </c>
      <c r="C665" s="54">
        <v>0</v>
      </c>
      <c r="D665" s="20">
        <v>1527.38</v>
      </c>
      <c r="E665" s="20">
        <v>1527.38</v>
      </c>
      <c r="F665" s="54">
        <v>0</v>
      </c>
      <c r="G665" t="s">
        <v>2124</v>
      </c>
      <c r="J665" s="67" t="s">
        <v>2129</v>
      </c>
      <c r="K665" t="e">
        <f>_xlfn.XLOOKUP(J665,DRE!B:B,DRE!A:A)</f>
        <v>#N/A</v>
      </c>
      <c r="N665">
        <f>_xlfn.XLOOKUP(M665,'QUADROS QUE FALTARAM'!F:F,'QUADROS QUE FALTARAM'!B:B,0)</f>
        <v>0</v>
      </c>
    </row>
    <row r="666" spans="1:14" x14ac:dyDescent="0.3">
      <c r="A666" t="s">
        <v>3273</v>
      </c>
      <c r="B666" t="s">
        <v>2359</v>
      </c>
      <c r="C666" s="54">
        <v>0</v>
      </c>
      <c r="D666" s="20">
        <v>5293.42</v>
      </c>
      <c r="E666" s="20">
        <v>0</v>
      </c>
      <c r="F666" s="54">
        <v>5293.42</v>
      </c>
      <c r="G666" t="s">
        <v>2124</v>
      </c>
      <c r="J666" s="67" t="s">
        <v>2129</v>
      </c>
      <c r="K666" t="e">
        <f>_xlfn.XLOOKUP(J666,DRE!B:B,DRE!A:A)</f>
        <v>#N/A</v>
      </c>
      <c r="N666">
        <f>_xlfn.XLOOKUP(M666,'QUADROS QUE FALTARAM'!F:F,'QUADROS QUE FALTARAM'!B:B,0)</f>
        <v>0</v>
      </c>
    </row>
    <row r="667" spans="1:14" x14ac:dyDescent="0.3">
      <c r="A667" t="s">
        <v>3274</v>
      </c>
      <c r="B667" t="s">
        <v>2360</v>
      </c>
      <c r="C667" s="54">
        <v>0</v>
      </c>
      <c r="D667" s="20">
        <v>2352.63</v>
      </c>
      <c r="E667" s="20">
        <v>0</v>
      </c>
      <c r="F667" s="54">
        <v>2352.63</v>
      </c>
      <c r="G667" t="s">
        <v>2124</v>
      </c>
      <c r="J667" s="67" t="s">
        <v>2129</v>
      </c>
      <c r="K667" t="e">
        <f>_xlfn.XLOOKUP(J667,DRE!B:B,DRE!A:A)</f>
        <v>#N/A</v>
      </c>
      <c r="N667">
        <f>_xlfn.XLOOKUP(M667,'QUADROS QUE FALTARAM'!F:F,'QUADROS QUE FALTARAM'!B:B,0)</f>
        <v>0</v>
      </c>
    </row>
    <row r="668" spans="1:14" x14ac:dyDescent="0.3">
      <c r="A668" t="s">
        <v>3275</v>
      </c>
      <c r="B668" t="s">
        <v>2361</v>
      </c>
      <c r="C668" s="54">
        <v>0</v>
      </c>
      <c r="D668" s="20">
        <v>941.05</v>
      </c>
      <c r="E668" s="20">
        <v>0</v>
      </c>
      <c r="F668" s="54">
        <v>941.05</v>
      </c>
      <c r="G668" t="s">
        <v>2124</v>
      </c>
      <c r="J668" s="67" t="s">
        <v>2129</v>
      </c>
      <c r="K668" t="e">
        <f>_xlfn.XLOOKUP(J668,DRE!B:B,DRE!A:A)</f>
        <v>#N/A</v>
      </c>
      <c r="N668">
        <f>_xlfn.XLOOKUP(M668,'QUADROS QUE FALTARAM'!F:F,'QUADROS QUE FALTARAM'!B:B,0)</f>
        <v>0</v>
      </c>
    </row>
    <row r="669" spans="1:14" x14ac:dyDescent="0.3">
      <c r="A669" t="s">
        <v>3276</v>
      </c>
      <c r="B669" t="s">
        <v>2362</v>
      </c>
      <c r="C669" s="54">
        <v>0</v>
      </c>
      <c r="D669" s="20">
        <v>1960.53</v>
      </c>
      <c r="E669" s="20">
        <v>0</v>
      </c>
      <c r="F669" s="54">
        <v>1960.53</v>
      </c>
      <c r="G669" t="s">
        <v>2124</v>
      </c>
      <c r="J669" s="67" t="s">
        <v>2129</v>
      </c>
      <c r="K669" t="e">
        <f>_xlfn.XLOOKUP(J669,DRE!B:B,DRE!A:A)</f>
        <v>#N/A</v>
      </c>
      <c r="N669">
        <f>_xlfn.XLOOKUP(M669,'QUADROS QUE FALTARAM'!F:F,'QUADROS QUE FALTARAM'!B:B,0)</f>
        <v>0</v>
      </c>
    </row>
    <row r="670" spans="1:14" x14ac:dyDescent="0.3">
      <c r="A670" t="s">
        <v>3277</v>
      </c>
      <c r="B670" t="s">
        <v>2363</v>
      </c>
      <c r="C670" s="54">
        <v>0</v>
      </c>
      <c r="D670" s="20">
        <v>1960.53</v>
      </c>
      <c r="E670" s="20">
        <v>0</v>
      </c>
      <c r="F670" s="54">
        <v>1960.53</v>
      </c>
      <c r="G670" t="s">
        <v>2124</v>
      </c>
      <c r="J670" s="67" t="s">
        <v>2129</v>
      </c>
      <c r="K670" t="e">
        <f>_xlfn.XLOOKUP(J670,DRE!B:B,DRE!A:A)</f>
        <v>#N/A</v>
      </c>
      <c r="N670">
        <f>_xlfn.XLOOKUP(M670,'QUADROS QUE FALTARAM'!F:F,'QUADROS QUE FALTARAM'!B:B,0)</f>
        <v>0</v>
      </c>
    </row>
    <row r="671" spans="1:14" x14ac:dyDescent="0.3">
      <c r="A671" t="s">
        <v>3278</v>
      </c>
      <c r="B671" t="s">
        <v>2364</v>
      </c>
      <c r="C671" s="54">
        <v>0</v>
      </c>
      <c r="D671" s="20">
        <v>29015.77</v>
      </c>
      <c r="E671" s="20">
        <v>0</v>
      </c>
      <c r="F671" s="54">
        <v>29015.77</v>
      </c>
      <c r="G671" t="s">
        <v>2124</v>
      </c>
      <c r="J671" s="67" t="s">
        <v>2129</v>
      </c>
      <c r="K671" t="e">
        <f>_xlfn.XLOOKUP(J671,DRE!B:B,DRE!A:A)</f>
        <v>#N/A</v>
      </c>
      <c r="N671">
        <f>_xlfn.XLOOKUP(M671,'QUADROS QUE FALTARAM'!F:F,'QUADROS QUE FALTARAM'!B:B,0)</f>
        <v>0</v>
      </c>
    </row>
    <row r="672" spans="1:14" x14ac:dyDescent="0.3">
      <c r="A672" s="51" t="s">
        <v>3279</v>
      </c>
      <c r="B672" s="51" t="s">
        <v>2031</v>
      </c>
      <c r="C672" s="57">
        <v>0</v>
      </c>
      <c r="D672" s="58">
        <v>121947.97</v>
      </c>
      <c r="E672" s="58">
        <v>9665931.8399999999</v>
      </c>
      <c r="F672" s="57">
        <v>-9543983.8699999992</v>
      </c>
      <c r="G672" t="s">
        <v>2124</v>
      </c>
      <c r="J672" s="67">
        <v>0</v>
      </c>
      <c r="K672" t="e">
        <f>_xlfn.XLOOKUP(J672,DRE!B:B,DRE!A:A)</f>
        <v>#N/A</v>
      </c>
      <c r="N672">
        <f>_xlfn.XLOOKUP(M672,'QUADROS QUE FALTARAM'!F:F,'QUADROS QUE FALTARAM'!B:B,0)</f>
        <v>0</v>
      </c>
    </row>
    <row r="673" spans="1:14" x14ac:dyDescent="0.3">
      <c r="A673" s="1" t="s">
        <v>3280</v>
      </c>
      <c r="B673" s="1" t="s">
        <v>2034</v>
      </c>
      <c r="C673" s="59">
        <v>0</v>
      </c>
      <c r="D673" s="62">
        <v>121947.97</v>
      </c>
      <c r="E673" s="62">
        <v>9665931.8399999999</v>
      </c>
      <c r="F673" s="59">
        <v>-9543983.8699999992</v>
      </c>
      <c r="G673" t="s">
        <v>2124</v>
      </c>
      <c r="J673" s="67">
        <v>0</v>
      </c>
      <c r="K673" t="e">
        <f>_xlfn.XLOOKUP(J673,DRE!B:B,DRE!A:A)</f>
        <v>#N/A</v>
      </c>
      <c r="N673">
        <f>_xlfn.XLOOKUP(M673,'QUADROS QUE FALTARAM'!F:F,'QUADROS QUE FALTARAM'!B:B,0)</f>
        <v>0</v>
      </c>
    </row>
    <row r="674" spans="1:14" x14ac:dyDescent="0.3">
      <c r="A674" s="1" t="s">
        <v>3281</v>
      </c>
      <c r="B674" s="1" t="s">
        <v>2036</v>
      </c>
      <c r="C674" s="59">
        <v>0</v>
      </c>
      <c r="D674" s="62">
        <v>0</v>
      </c>
      <c r="E674" s="62">
        <v>8862447.3100000005</v>
      </c>
      <c r="F674" s="59">
        <v>-8862447.3100000005</v>
      </c>
      <c r="G674" t="s">
        <v>2124</v>
      </c>
      <c r="J674" s="67">
        <v>0</v>
      </c>
      <c r="K674" t="e">
        <f>_xlfn.XLOOKUP(J674,DRE!B:B,DRE!A:A)</f>
        <v>#N/A</v>
      </c>
      <c r="N674">
        <f>_xlfn.XLOOKUP(M674,'QUADROS QUE FALTARAM'!F:F,'QUADROS QUE FALTARAM'!B:B,0)</f>
        <v>0</v>
      </c>
    </row>
    <row r="675" spans="1:14" x14ac:dyDescent="0.3">
      <c r="A675" s="1" t="s">
        <v>3282</v>
      </c>
      <c r="B675" s="1" t="s">
        <v>2039</v>
      </c>
      <c r="C675" s="59">
        <v>0</v>
      </c>
      <c r="D675" s="62">
        <v>0</v>
      </c>
      <c r="E675" s="62">
        <v>8862447.3100000005</v>
      </c>
      <c r="F675" s="59">
        <v>-8862447.3100000005</v>
      </c>
      <c r="G675" t="s">
        <v>2124</v>
      </c>
      <c r="J675" s="67">
        <v>0</v>
      </c>
      <c r="K675" t="e">
        <f>_xlfn.XLOOKUP(J675,DRE!B:B,DRE!A:A)</f>
        <v>#N/A</v>
      </c>
      <c r="N675">
        <f>_xlfn.XLOOKUP(M675,'QUADROS QUE FALTARAM'!F:F,'QUADROS QUE FALTARAM'!B:B,0)</f>
        <v>0</v>
      </c>
    </row>
    <row r="676" spans="1:14" x14ac:dyDescent="0.3">
      <c r="A676" t="s">
        <v>3283</v>
      </c>
      <c r="B676" t="s">
        <v>2041</v>
      </c>
      <c r="C676" s="54">
        <v>0</v>
      </c>
      <c r="D676" s="20">
        <v>0</v>
      </c>
      <c r="E676" s="20">
        <v>8862447.3100000005</v>
      </c>
      <c r="F676" s="54">
        <v>-8862447.3100000005</v>
      </c>
      <c r="G676" t="s">
        <v>2124</v>
      </c>
      <c r="J676" s="67">
        <v>0</v>
      </c>
      <c r="K676" t="e">
        <f>_xlfn.XLOOKUP(J676,DRE!B:B,DRE!A:A)</f>
        <v>#N/A</v>
      </c>
      <c r="N676">
        <f>_xlfn.XLOOKUP(M676,'QUADROS QUE FALTARAM'!F:F,'QUADROS QUE FALTARAM'!B:B,0)</f>
        <v>0</v>
      </c>
    </row>
    <row r="677" spans="1:14" x14ac:dyDescent="0.3">
      <c r="A677" s="1" t="s">
        <v>3284</v>
      </c>
      <c r="B677" s="1" t="s">
        <v>2043</v>
      </c>
      <c r="C677" s="59">
        <v>0</v>
      </c>
      <c r="D677" s="62">
        <v>121947.97</v>
      </c>
      <c r="E677" s="62">
        <v>803484.53</v>
      </c>
      <c r="F677" s="59">
        <v>-681536.56</v>
      </c>
      <c r="G677" t="s">
        <v>2124</v>
      </c>
      <c r="J677" s="67">
        <v>0</v>
      </c>
      <c r="K677" t="e">
        <f>_xlfn.XLOOKUP(J677,DRE!B:B,DRE!A:A)</f>
        <v>#N/A</v>
      </c>
      <c r="N677">
        <f>_xlfn.XLOOKUP(M677,'QUADROS QUE FALTARAM'!F:F,'QUADROS QUE FALTARAM'!B:B,0)</f>
        <v>0</v>
      </c>
    </row>
    <row r="678" spans="1:14" x14ac:dyDescent="0.3">
      <c r="A678" s="1" t="s">
        <v>3285</v>
      </c>
      <c r="B678" s="1" t="s">
        <v>2046</v>
      </c>
      <c r="C678" s="59">
        <v>0</v>
      </c>
      <c r="D678" s="62">
        <v>121947.97</v>
      </c>
      <c r="E678" s="62">
        <v>803484.53</v>
      </c>
      <c r="F678" s="59">
        <v>-681536.56</v>
      </c>
      <c r="G678" t="s">
        <v>2124</v>
      </c>
      <c r="J678" s="67">
        <v>0</v>
      </c>
      <c r="K678" t="e">
        <f>_xlfn.XLOOKUP(J678,DRE!B:B,DRE!A:A)</f>
        <v>#N/A</v>
      </c>
      <c r="N678">
        <f>_xlfn.XLOOKUP(M678,'QUADROS QUE FALTARAM'!F:F,'QUADROS QUE FALTARAM'!B:B,0)</f>
        <v>0</v>
      </c>
    </row>
    <row r="679" spans="1:14" x14ac:dyDescent="0.3">
      <c r="A679" t="s">
        <v>3286</v>
      </c>
      <c r="B679" t="s">
        <v>2365</v>
      </c>
      <c r="C679" s="54">
        <v>0</v>
      </c>
      <c r="D679" s="20">
        <v>120420.59</v>
      </c>
      <c r="E679" s="20">
        <v>0</v>
      </c>
      <c r="F679" s="54">
        <v>120420.59</v>
      </c>
      <c r="G679" t="s">
        <v>2124</v>
      </c>
      <c r="J679" s="67" t="s">
        <v>2129</v>
      </c>
      <c r="K679" t="e">
        <f>_xlfn.XLOOKUP(J679,DRE!B:B,DRE!A:A)</f>
        <v>#N/A</v>
      </c>
      <c r="N679">
        <f>_xlfn.XLOOKUP(M679,'QUADROS QUE FALTARAM'!F:F,'QUADROS QUE FALTARAM'!B:B,0)</f>
        <v>0</v>
      </c>
    </row>
    <row r="680" spans="1:14" x14ac:dyDescent="0.3">
      <c r="A680" t="s">
        <v>3287</v>
      </c>
      <c r="B680" t="s">
        <v>2366</v>
      </c>
      <c r="C680" s="54">
        <v>0</v>
      </c>
      <c r="D680" s="20">
        <v>0</v>
      </c>
      <c r="E680" s="20">
        <v>470.52</v>
      </c>
      <c r="F680" s="54">
        <v>-470.52</v>
      </c>
      <c r="G680" t="s">
        <v>2124</v>
      </c>
      <c r="J680" s="67" t="s">
        <v>2129</v>
      </c>
      <c r="K680" t="e">
        <f>_xlfn.XLOOKUP(J680,DRE!B:B,DRE!A:A)</f>
        <v>#N/A</v>
      </c>
      <c r="N680">
        <f>_xlfn.XLOOKUP(M680,'QUADROS QUE FALTARAM'!F:F,'QUADROS QUE FALTARAM'!B:B,0)</f>
        <v>0</v>
      </c>
    </row>
    <row r="681" spans="1:14" x14ac:dyDescent="0.3">
      <c r="A681" t="s">
        <v>3288</v>
      </c>
      <c r="B681" t="s">
        <v>2367</v>
      </c>
      <c r="C681" s="54">
        <v>0</v>
      </c>
      <c r="D681" s="20">
        <v>0</v>
      </c>
      <c r="E681" s="20">
        <v>3097.63</v>
      </c>
      <c r="F681" s="54">
        <v>-3097.63</v>
      </c>
      <c r="G681" t="s">
        <v>2124</v>
      </c>
      <c r="J681" s="67" t="s">
        <v>2129</v>
      </c>
      <c r="K681" t="e">
        <f>_xlfn.XLOOKUP(J681,DRE!B:B,DRE!A:A)</f>
        <v>#N/A</v>
      </c>
      <c r="N681">
        <f>_xlfn.XLOOKUP(M681,'QUADROS QUE FALTARAM'!F:F,'QUADROS QUE FALTARAM'!B:B,0)</f>
        <v>0</v>
      </c>
    </row>
    <row r="682" spans="1:14" x14ac:dyDescent="0.3">
      <c r="A682" t="s">
        <v>3289</v>
      </c>
      <c r="B682" t="s">
        <v>2368</v>
      </c>
      <c r="C682" s="54">
        <v>0</v>
      </c>
      <c r="D682" s="20">
        <v>0</v>
      </c>
      <c r="E682" s="20">
        <v>588.16</v>
      </c>
      <c r="F682" s="54">
        <v>-588.16</v>
      </c>
      <c r="G682" t="s">
        <v>2124</v>
      </c>
      <c r="J682" s="67" t="s">
        <v>2129</v>
      </c>
      <c r="K682" t="e">
        <f>_xlfn.XLOOKUP(J682,DRE!B:B,DRE!A:A)</f>
        <v>#N/A</v>
      </c>
      <c r="N682">
        <f>_xlfn.XLOOKUP(M682,'QUADROS QUE FALTARAM'!F:F,'QUADROS QUE FALTARAM'!B:B,0)</f>
        <v>0</v>
      </c>
    </row>
    <row r="683" spans="1:14" x14ac:dyDescent="0.3">
      <c r="A683" t="s">
        <v>3290</v>
      </c>
      <c r="B683" t="s">
        <v>2369</v>
      </c>
      <c r="C683" s="54">
        <v>0</v>
      </c>
      <c r="D683" s="20">
        <v>0</v>
      </c>
      <c r="E683" s="20">
        <v>901.84</v>
      </c>
      <c r="F683" s="54">
        <v>-901.84</v>
      </c>
      <c r="G683" t="s">
        <v>2124</v>
      </c>
      <c r="J683" s="67" t="s">
        <v>2129</v>
      </c>
      <c r="K683" t="e">
        <f>_xlfn.XLOOKUP(J683,DRE!B:B,DRE!A:A)</f>
        <v>#N/A</v>
      </c>
      <c r="N683">
        <f>_xlfn.XLOOKUP(M683,'QUADROS QUE FALTARAM'!F:F,'QUADROS QUE FALTARAM'!B:B,0)</f>
        <v>0</v>
      </c>
    </row>
    <row r="684" spans="1:14" x14ac:dyDescent="0.3">
      <c r="A684" t="s">
        <v>3291</v>
      </c>
      <c r="B684" t="s">
        <v>2370</v>
      </c>
      <c r="C684" s="54">
        <v>0</v>
      </c>
      <c r="D684" s="20">
        <v>0</v>
      </c>
      <c r="E684" s="20">
        <v>313.68</v>
      </c>
      <c r="F684" s="54">
        <v>-313.68</v>
      </c>
      <c r="G684" t="s">
        <v>2124</v>
      </c>
      <c r="J684" s="67" t="s">
        <v>2129</v>
      </c>
      <c r="K684" t="e">
        <f>_xlfn.XLOOKUP(J684,DRE!B:B,DRE!A:A)</f>
        <v>#N/A</v>
      </c>
      <c r="N684">
        <f>_xlfn.XLOOKUP(M684,'QUADROS QUE FALTARAM'!F:F,'QUADROS QUE FALTARAM'!B:B,0)</f>
        <v>0</v>
      </c>
    </row>
    <row r="685" spans="1:14" x14ac:dyDescent="0.3">
      <c r="A685" t="s">
        <v>3292</v>
      </c>
      <c r="B685" t="s">
        <v>2371</v>
      </c>
      <c r="C685" s="54">
        <v>0</v>
      </c>
      <c r="D685" s="20">
        <v>0</v>
      </c>
      <c r="E685" s="20">
        <v>1568.43</v>
      </c>
      <c r="F685" s="54">
        <v>-1568.43</v>
      </c>
      <c r="G685" t="s">
        <v>2124</v>
      </c>
      <c r="J685" s="67" t="s">
        <v>2129</v>
      </c>
      <c r="K685" t="e">
        <f>_xlfn.XLOOKUP(J685,DRE!B:B,DRE!A:A)</f>
        <v>#N/A</v>
      </c>
      <c r="N685">
        <f>_xlfn.XLOOKUP(M685,'QUADROS QUE FALTARAM'!F:F,'QUADROS QUE FALTARAM'!B:B,0)</f>
        <v>0</v>
      </c>
    </row>
    <row r="686" spans="1:14" x14ac:dyDescent="0.3">
      <c r="A686" t="s">
        <v>3293</v>
      </c>
      <c r="B686" t="s">
        <v>2372</v>
      </c>
      <c r="C686" s="54">
        <v>0</v>
      </c>
      <c r="D686" s="20">
        <v>0</v>
      </c>
      <c r="E686" s="20">
        <v>1764.47</v>
      </c>
      <c r="F686" s="54">
        <v>-1764.47</v>
      </c>
      <c r="G686" t="s">
        <v>2124</v>
      </c>
      <c r="J686" s="67" t="s">
        <v>2129</v>
      </c>
      <c r="K686" t="e">
        <f>_xlfn.XLOOKUP(J686,DRE!B:B,DRE!A:A)</f>
        <v>#N/A</v>
      </c>
      <c r="N686">
        <f>_xlfn.XLOOKUP(M686,'QUADROS QUE FALTARAM'!F:F,'QUADROS QUE FALTARAM'!B:B,0)</f>
        <v>0</v>
      </c>
    </row>
    <row r="687" spans="1:14" x14ac:dyDescent="0.3">
      <c r="A687" t="s">
        <v>3294</v>
      </c>
      <c r="B687" t="s">
        <v>2373</v>
      </c>
      <c r="C687" s="54">
        <v>0</v>
      </c>
      <c r="D687" s="20">
        <v>0</v>
      </c>
      <c r="E687" s="20">
        <v>1176.33</v>
      </c>
      <c r="F687" s="54">
        <v>-1176.33</v>
      </c>
      <c r="G687" t="s">
        <v>2124</v>
      </c>
      <c r="J687" s="67" t="s">
        <v>2129</v>
      </c>
      <c r="K687" t="e">
        <f>_xlfn.XLOOKUP(J687,DRE!B:B,DRE!A:A)</f>
        <v>#N/A</v>
      </c>
      <c r="N687">
        <f>_xlfn.XLOOKUP(M687,'QUADROS QUE FALTARAM'!F:F,'QUADROS QUE FALTARAM'!B:B,0)</f>
        <v>0</v>
      </c>
    </row>
    <row r="688" spans="1:14" x14ac:dyDescent="0.3">
      <c r="A688" t="s">
        <v>3295</v>
      </c>
      <c r="B688" t="s">
        <v>2374</v>
      </c>
      <c r="C688" s="54">
        <v>0</v>
      </c>
      <c r="D688" s="20">
        <v>0</v>
      </c>
      <c r="E688" s="20">
        <v>2548.6799999999998</v>
      </c>
      <c r="F688" s="54">
        <v>-2548.6799999999998</v>
      </c>
      <c r="G688" t="s">
        <v>2124</v>
      </c>
      <c r="J688" s="67" t="s">
        <v>2129</v>
      </c>
      <c r="K688" t="e">
        <f>_xlfn.XLOOKUP(J688,DRE!B:B,DRE!A:A)</f>
        <v>#N/A</v>
      </c>
      <c r="N688">
        <f>_xlfn.XLOOKUP(M688,'QUADROS QUE FALTARAM'!F:F,'QUADROS QUE FALTARAM'!B:B,0)</f>
        <v>0</v>
      </c>
    </row>
    <row r="689" spans="1:14" x14ac:dyDescent="0.3">
      <c r="A689" t="s">
        <v>3296</v>
      </c>
      <c r="B689" t="s">
        <v>2375</v>
      </c>
      <c r="C689" s="54">
        <v>0</v>
      </c>
      <c r="D689" s="20">
        <v>0</v>
      </c>
      <c r="E689" s="20">
        <v>1568.43</v>
      </c>
      <c r="F689" s="54">
        <v>-1568.43</v>
      </c>
      <c r="G689" t="s">
        <v>2124</v>
      </c>
      <c r="J689" s="67" t="s">
        <v>2129</v>
      </c>
      <c r="K689" t="e">
        <f>_xlfn.XLOOKUP(J689,DRE!B:B,DRE!A:A)</f>
        <v>#N/A</v>
      </c>
      <c r="N689">
        <f>_xlfn.XLOOKUP(M689,'QUADROS QUE FALTARAM'!F:F,'QUADROS QUE FALTARAM'!B:B,0)</f>
        <v>0</v>
      </c>
    </row>
    <row r="690" spans="1:14" x14ac:dyDescent="0.3">
      <c r="A690" t="s">
        <v>3297</v>
      </c>
      <c r="B690" t="s">
        <v>2376</v>
      </c>
      <c r="C690" s="54">
        <v>0</v>
      </c>
      <c r="D690" s="20">
        <v>0</v>
      </c>
      <c r="E690" s="20">
        <v>605938.4</v>
      </c>
      <c r="F690" s="54">
        <v>-605938.4</v>
      </c>
      <c r="G690" t="s">
        <v>2124</v>
      </c>
      <c r="J690" s="67" t="s">
        <v>2129</v>
      </c>
      <c r="K690" t="e">
        <f>_xlfn.XLOOKUP(J690,DRE!B:B,DRE!A:A)</f>
        <v>#N/A</v>
      </c>
      <c r="N690">
        <f>_xlfn.XLOOKUP(M690,'QUADROS QUE FALTARAM'!F:F,'QUADROS QUE FALTARAM'!B:B,0)</f>
        <v>0</v>
      </c>
    </row>
    <row r="691" spans="1:14" x14ac:dyDescent="0.3">
      <c r="A691" t="s">
        <v>3298</v>
      </c>
      <c r="B691" t="s">
        <v>2048</v>
      </c>
      <c r="C691" s="54">
        <v>0</v>
      </c>
      <c r="D691" s="20">
        <v>0</v>
      </c>
      <c r="E691" s="20">
        <v>29274.86</v>
      </c>
      <c r="F691" s="54">
        <v>-29274.86</v>
      </c>
      <c r="G691" t="s">
        <v>2124</v>
      </c>
      <c r="J691" s="67">
        <v>0</v>
      </c>
      <c r="K691" t="e">
        <f>_xlfn.XLOOKUP(J691,DRE!B:B,DRE!A:A)</f>
        <v>#N/A</v>
      </c>
      <c r="N691">
        <f>_xlfn.XLOOKUP(M691,'QUADROS QUE FALTARAM'!F:F,'QUADROS QUE FALTARAM'!B:B,0)</f>
        <v>0</v>
      </c>
    </row>
    <row r="692" spans="1:14" x14ac:dyDescent="0.3">
      <c r="A692" t="s">
        <v>3299</v>
      </c>
      <c r="B692" t="s">
        <v>2054</v>
      </c>
      <c r="C692" s="54">
        <v>0</v>
      </c>
      <c r="D692" s="20">
        <v>0</v>
      </c>
      <c r="E692" s="20">
        <v>217.9</v>
      </c>
      <c r="F692" s="54">
        <v>-217.9</v>
      </c>
      <c r="G692" t="s">
        <v>2124</v>
      </c>
      <c r="J692" s="67">
        <v>0</v>
      </c>
      <c r="K692" t="e">
        <f>_xlfn.XLOOKUP(J692,DRE!B:B,DRE!A:A)</f>
        <v>#N/A</v>
      </c>
      <c r="N692">
        <f>_xlfn.XLOOKUP(M692,'QUADROS QUE FALTARAM'!F:F,'QUADROS QUE FALTARAM'!B:B,0)</f>
        <v>0</v>
      </c>
    </row>
    <row r="693" spans="1:14" x14ac:dyDescent="0.3">
      <c r="A693" t="s">
        <v>3300</v>
      </c>
      <c r="B693" t="s">
        <v>2377</v>
      </c>
      <c r="C693" s="54">
        <v>0</v>
      </c>
      <c r="D693" s="20">
        <v>0</v>
      </c>
      <c r="E693" s="20">
        <v>58815.75</v>
      </c>
      <c r="F693" s="54">
        <v>-58815.75</v>
      </c>
      <c r="G693" t="s">
        <v>2124</v>
      </c>
      <c r="J693" s="67" t="s">
        <v>2129</v>
      </c>
      <c r="K693" t="e">
        <f>_xlfn.XLOOKUP(J693,DRE!B:B,DRE!A:A)</f>
        <v>#N/A</v>
      </c>
      <c r="N693">
        <f>_xlfn.XLOOKUP(M693,'QUADROS QUE FALTARAM'!F:F,'QUADROS QUE FALTARAM'!B:B,0)</f>
        <v>0</v>
      </c>
    </row>
    <row r="694" spans="1:14" x14ac:dyDescent="0.3">
      <c r="A694" t="s">
        <v>3301</v>
      </c>
      <c r="B694" t="s">
        <v>2057</v>
      </c>
      <c r="C694" s="54">
        <v>0</v>
      </c>
      <c r="D694" s="20">
        <v>0</v>
      </c>
      <c r="E694" s="20">
        <v>20365.12</v>
      </c>
      <c r="F694" s="54">
        <v>-20365.12</v>
      </c>
      <c r="G694" t="s">
        <v>2124</v>
      </c>
      <c r="J694" s="67">
        <v>0</v>
      </c>
      <c r="K694" t="e">
        <f>_xlfn.XLOOKUP(J694,DRE!B:B,DRE!A:A)</f>
        <v>#N/A</v>
      </c>
      <c r="N694">
        <f>_xlfn.XLOOKUP(M694,'QUADROS QUE FALTARAM'!F:F,'QUADROS QUE FALTARAM'!B:B,0)</f>
        <v>0</v>
      </c>
    </row>
    <row r="695" spans="1:14" x14ac:dyDescent="0.3">
      <c r="A695" t="s">
        <v>3302</v>
      </c>
      <c r="B695" t="s">
        <v>2378</v>
      </c>
      <c r="C695" s="54">
        <v>0</v>
      </c>
      <c r="D695" s="20">
        <v>0</v>
      </c>
      <c r="E695" s="20">
        <v>2545.64</v>
      </c>
      <c r="F695" s="54">
        <v>-2545.64</v>
      </c>
      <c r="G695" t="s">
        <v>2124</v>
      </c>
      <c r="J695" s="67" t="s">
        <v>2129</v>
      </c>
      <c r="K695" t="e">
        <f>_xlfn.XLOOKUP(J695,DRE!B:B,DRE!A:A)</f>
        <v>#N/A</v>
      </c>
      <c r="N695">
        <f>_xlfn.XLOOKUP(M695,'QUADROS QUE FALTARAM'!F:F,'QUADROS QUE FALTARAM'!B:B,0)</f>
        <v>0</v>
      </c>
    </row>
    <row r="696" spans="1:14" x14ac:dyDescent="0.3">
      <c r="A696" t="s">
        <v>3303</v>
      </c>
      <c r="B696" t="s">
        <v>2379</v>
      </c>
      <c r="C696" s="54">
        <v>0</v>
      </c>
      <c r="D696" s="20">
        <v>0</v>
      </c>
      <c r="E696" s="20">
        <v>980.26</v>
      </c>
      <c r="F696" s="54">
        <v>-980.26</v>
      </c>
      <c r="G696" t="s">
        <v>2124</v>
      </c>
      <c r="J696" s="67" t="s">
        <v>2129</v>
      </c>
      <c r="K696" t="e">
        <f>_xlfn.XLOOKUP(J696,DRE!B:B,DRE!A:A)</f>
        <v>#N/A</v>
      </c>
      <c r="N696">
        <f>_xlfn.XLOOKUP(M696,'QUADROS QUE FALTARAM'!F:F,'QUADROS QUE FALTARAM'!B:B,0)</f>
        <v>0</v>
      </c>
    </row>
    <row r="697" spans="1:14" x14ac:dyDescent="0.3">
      <c r="A697" t="s">
        <v>3304</v>
      </c>
      <c r="B697" t="s">
        <v>2380</v>
      </c>
      <c r="C697" s="54">
        <v>0</v>
      </c>
      <c r="D697" s="20">
        <v>0</v>
      </c>
      <c r="E697" s="20">
        <v>196.05</v>
      </c>
      <c r="F697" s="54">
        <v>-196.05</v>
      </c>
      <c r="G697" t="s">
        <v>2124</v>
      </c>
      <c r="J697" s="67" t="s">
        <v>2129</v>
      </c>
      <c r="K697" t="e">
        <f>_xlfn.XLOOKUP(J697,DRE!B:B,DRE!A:A)</f>
        <v>#N/A</v>
      </c>
      <c r="N697">
        <f>_xlfn.XLOOKUP(M697,'QUADROS QUE FALTARAM'!F:F,'QUADROS QUE FALTARAM'!B:B,0)</f>
        <v>0</v>
      </c>
    </row>
    <row r="698" spans="1:14" x14ac:dyDescent="0.3">
      <c r="A698" t="s">
        <v>3305</v>
      </c>
      <c r="B698" t="s">
        <v>2381</v>
      </c>
      <c r="C698" s="54">
        <v>0</v>
      </c>
      <c r="D698" s="20">
        <v>0</v>
      </c>
      <c r="E698" s="20">
        <v>2352.64</v>
      </c>
      <c r="F698" s="54">
        <v>-2352.64</v>
      </c>
      <c r="G698" t="s">
        <v>2124</v>
      </c>
      <c r="J698" s="67" t="s">
        <v>2129</v>
      </c>
      <c r="K698" t="e">
        <f>_xlfn.XLOOKUP(J698,DRE!B:B,DRE!A:A)</f>
        <v>#N/A</v>
      </c>
      <c r="N698">
        <f>_xlfn.XLOOKUP(M698,'QUADROS QUE FALTARAM'!F:F,'QUADROS QUE FALTARAM'!B:B,0)</f>
        <v>0</v>
      </c>
    </row>
    <row r="699" spans="1:14" x14ac:dyDescent="0.3">
      <c r="A699" t="s">
        <v>3306</v>
      </c>
      <c r="B699" t="s">
        <v>2382</v>
      </c>
      <c r="C699" s="54">
        <v>0</v>
      </c>
      <c r="D699" s="20">
        <v>0</v>
      </c>
      <c r="E699" s="20">
        <v>1568.42</v>
      </c>
      <c r="F699" s="54">
        <v>-1568.42</v>
      </c>
      <c r="G699" t="s">
        <v>2124</v>
      </c>
      <c r="J699" s="67" t="s">
        <v>2129</v>
      </c>
      <c r="K699" t="e">
        <f>_xlfn.XLOOKUP(J699,DRE!B:B,DRE!A:A)</f>
        <v>#N/A</v>
      </c>
      <c r="N699">
        <f>_xlfn.XLOOKUP(M699,'QUADROS QUE FALTARAM'!F:F,'QUADROS QUE FALTARAM'!B:B,0)</f>
        <v>0</v>
      </c>
    </row>
    <row r="700" spans="1:14" x14ac:dyDescent="0.3">
      <c r="A700" t="s">
        <v>3307</v>
      </c>
      <c r="B700" t="s">
        <v>2383</v>
      </c>
      <c r="C700" s="54">
        <v>0</v>
      </c>
      <c r="D700" s="20">
        <v>0</v>
      </c>
      <c r="E700" s="20">
        <v>627.37</v>
      </c>
      <c r="F700" s="54">
        <v>-627.37</v>
      </c>
      <c r="G700" t="s">
        <v>2124</v>
      </c>
      <c r="J700" s="67" t="s">
        <v>2129</v>
      </c>
      <c r="K700" t="e">
        <f>_xlfn.XLOOKUP(J700,DRE!B:B,DRE!A:A)</f>
        <v>#N/A</v>
      </c>
      <c r="N700">
        <f>_xlfn.XLOOKUP(M700,'QUADROS QUE FALTARAM'!F:F,'QUADROS QUE FALTARAM'!B:B,0)</f>
        <v>0</v>
      </c>
    </row>
    <row r="701" spans="1:14" x14ac:dyDescent="0.3">
      <c r="A701" t="s">
        <v>3308</v>
      </c>
      <c r="B701" t="s">
        <v>2384</v>
      </c>
      <c r="C701" s="54">
        <v>0</v>
      </c>
      <c r="D701" s="20">
        <v>0</v>
      </c>
      <c r="E701" s="20">
        <v>1058.68</v>
      </c>
      <c r="F701" s="54">
        <v>-1058.68</v>
      </c>
      <c r="G701" t="s">
        <v>2124</v>
      </c>
      <c r="J701" s="67" t="s">
        <v>2129</v>
      </c>
      <c r="K701" t="e">
        <f>_xlfn.XLOOKUP(J701,DRE!B:B,DRE!A:A)</f>
        <v>#N/A</v>
      </c>
      <c r="N701">
        <f>_xlfn.XLOOKUP(M701,'QUADROS QUE FALTARAM'!F:F,'QUADROS QUE FALTARAM'!B:B,0)</f>
        <v>0</v>
      </c>
    </row>
    <row r="702" spans="1:14" x14ac:dyDescent="0.3">
      <c r="A702" t="s">
        <v>3309</v>
      </c>
      <c r="B702" t="s">
        <v>2385</v>
      </c>
      <c r="C702" s="54">
        <v>0</v>
      </c>
      <c r="D702" s="20">
        <v>0</v>
      </c>
      <c r="E702" s="20">
        <v>3054.76</v>
      </c>
      <c r="F702" s="54">
        <v>-3054.76</v>
      </c>
      <c r="G702" t="s">
        <v>2124</v>
      </c>
      <c r="J702" s="67" t="s">
        <v>2129</v>
      </c>
      <c r="K702" t="e">
        <f>_xlfn.XLOOKUP(J702,DRE!B:B,DRE!A:A)</f>
        <v>#N/A</v>
      </c>
      <c r="N702">
        <f>_xlfn.XLOOKUP(M702,'QUADROS QUE FALTARAM'!F:F,'QUADROS QUE FALTARAM'!B:B,0)</f>
        <v>0</v>
      </c>
    </row>
    <row r="703" spans="1:14" x14ac:dyDescent="0.3">
      <c r="A703" t="s">
        <v>3310</v>
      </c>
      <c r="B703" t="s">
        <v>2386</v>
      </c>
      <c r="C703" s="54">
        <v>0</v>
      </c>
      <c r="D703" s="20">
        <v>0</v>
      </c>
      <c r="E703" s="20">
        <v>588.16</v>
      </c>
      <c r="F703" s="54">
        <v>-588.16</v>
      </c>
      <c r="G703" t="s">
        <v>2124</v>
      </c>
      <c r="J703" s="67" t="s">
        <v>2129</v>
      </c>
      <c r="K703" t="e">
        <f>_xlfn.XLOOKUP(J703,DRE!B:B,DRE!A:A)</f>
        <v>#N/A</v>
      </c>
      <c r="N703">
        <f>_xlfn.XLOOKUP(M703,'QUADROS QUE FALTARAM'!F:F,'QUADROS QUE FALTARAM'!B:B,0)</f>
        <v>0</v>
      </c>
    </row>
    <row r="704" spans="1:14" x14ac:dyDescent="0.3">
      <c r="A704" t="s">
        <v>3311</v>
      </c>
      <c r="B704" t="s">
        <v>2387</v>
      </c>
      <c r="C704" s="54">
        <v>0</v>
      </c>
      <c r="D704" s="20">
        <v>0</v>
      </c>
      <c r="E704" s="20">
        <v>15910.25</v>
      </c>
      <c r="F704" s="54">
        <v>-15910.25</v>
      </c>
      <c r="G704" t="s">
        <v>2124</v>
      </c>
      <c r="J704" s="67" t="s">
        <v>2129</v>
      </c>
      <c r="K704" t="e">
        <f>_xlfn.XLOOKUP(J704,DRE!B:B,DRE!A:A)</f>
        <v>#N/A</v>
      </c>
      <c r="N704">
        <f>_xlfn.XLOOKUP(M704,'QUADROS QUE FALTARAM'!F:F,'QUADROS QUE FALTARAM'!B:B,0)</f>
        <v>0</v>
      </c>
    </row>
    <row r="705" spans="1:14" x14ac:dyDescent="0.3">
      <c r="A705" t="s">
        <v>3312</v>
      </c>
      <c r="B705" t="s">
        <v>2388</v>
      </c>
      <c r="C705" s="54">
        <v>0</v>
      </c>
      <c r="D705" s="20">
        <v>0</v>
      </c>
      <c r="E705" s="20">
        <v>784.21</v>
      </c>
      <c r="F705" s="54">
        <v>-784.21</v>
      </c>
      <c r="G705" t="s">
        <v>2124</v>
      </c>
      <c r="J705" s="67" t="s">
        <v>2129</v>
      </c>
      <c r="K705" t="e">
        <f>_xlfn.XLOOKUP(J705,DRE!B:B,DRE!A:A)</f>
        <v>#N/A</v>
      </c>
      <c r="N705">
        <f>_xlfn.XLOOKUP(M705,'QUADROS QUE FALTARAM'!F:F,'QUADROS QUE FALTARAM'!B:B,0)</f>
        <v>0</v>
      </c>
    </row>
    <row r="706" spans="1:14" x14ac:dyDescent="0.3">
      <c r="A706" t="s">
        <v>3313</v>
      </c>
      <c r="B706" t="s">
        <v>2389</v>
      </c>
      <c r="C706" s="54">
        <v>0</v>
      </c>
      <c r="D706" s="20">
        <v>0</v>
      </c>
      <c r="E706" s="20">
        <v>1568.42</v>
      </c>
      <c r="F706" s="54">
        <v>-1568.42</v>
      </c>
      <c r="G706" t="s">
        <v>2124</v>
      </c>
      <c r="J706" s="67" t="s">
        <v>2129</v>
      </c>
      <c r="K706" t="e">
        <f>_xlfn.XLOOKUP(J706,DRE!B:B,DRE!A:A)</f>
        <v>#N/A</v>
      </c>
      <c r="N706">
        <f>_xlfn.XLOOKUP(M706,'QUADROS QUE FALTARAM'!F:F,'QUADROS QUE FALTARAM'!B:B,0)</f>
        <v>0</v>
      </c>
    </row>
    <row r="707" spans="1:14" x14ac:dyDescent="0.3">
      <c r="A707" t="s">
        <v>3314</v>
      </c>
      <c r="B707" t="s">
        <v>2390</v>
      </c>
      <c r="C707" s="54">
        <v>0</v>
      </c>
      <c r="D707" s="20">
        <v>0</v>
      </c>
      <c r="E707" s="20">
        <v>588.16</v>
      </c>
      <c r="F707" s="54">
        <v>-588.16</v>
      </c>
      <c r="G707" t="s">
        <v>2124</v>
      </c>
      <c r="J707" s="67" t="s">
        <v>2129</v>
      </c>
      <c r="K707" t="e">
        <f>_xlfn.XLOOKUP(J707,DRE!B:B,DRE!A:A)</f>
        <v>#N/A</v>
      </c>
      <c r="N707">
        <f>_xlfn.XLOOKUP(M707,'QUADROS QUE FALTARAM'!F:F,'QUADROS QUE FALTARAM'!B:B,0)</f>
        <v>0</v>
      </c>
    </row>
    <row r="708" spans="1:14" x14ac:dyDescent="0.3">
      <c r="A708" t="s">
        <v>3315</v>
      </c>
      <c r="B708" t="s">
        <v>2391</v>
      </c>
      <c r="C708" s="54">
        <v>0</v>
      </c>
      <c r="D708" s="20">
        <v>1527.38</v>
      </c>
      <c r="E708" s="20">
        <v>1527.38</v>
      </c>
      <c r="F708" s="54">
        <v>0</v>
      </c>
      <c r="G708" t="s">
        <v>2124</v>
      </c>
      <c r="J708" s="67" t="s">
        <v>2129</v>
      </c>
      <c r="K708" t="e">
        <f>_xlfn.XLOOKUP(J708,DRE!B:B,DRE!A:A)</f>
        <v>#N/A</v>
      </c>
      <c r="N708">
        <f>_xlfn.XLOOKUP(M708,'QUADROS QUE FALTARAM'!F:F,'QUADROS QUE FALTARAM'!B:B,0)</f>
        <v>0</v>
      </c>
    </row>
    <row r="709" spans="1:14" x14ac:dyDescent="0.3">
      <c r="A709" t="s">
        <v>3316</v>
      </c>
      <c r="B709" t="s">
        <v>2392</v>
      </c>
      <c r="C709" s="54">
        <v>0</v>
      </c>
      <c r="D709" s="20">
        <v>0</v>
      </c>
      <c r="E709" s="20">
        <v>5293.42</v>
      </c>
      <c r="F709" s="54">
        <v>-5293.42</v>
      </c>
      <c r="G709" t="s">
        <v>2124</v>
      </c>
      <c r="J709" s="67" t="s">
        <v>2129</v>
      </c>
      <c r="K709" t="e">
        <f>_xlfn.XLOOKUP(J709,DRE!B:B,DRE!A:A)</f>
        <v>#N/A</v>
      </c>
      <c r="N709">
        <f>_xlfn.XLOOKUP(M709,'QUADROS QUE FALTARAM'!F:F,'QUADROS QUE FALTARAM'!B:B,0)</f>
        <v>0</v>
      </c>
    </row>
    <row r="710" spans="1:14" x14ac:dyDescent="0.3">
      <c r="A710" t="s">
        <v>3317</v>
      </c>
      <c r="B710" t="s">
        <v>2393</v>
      </c>
      <c r="C710" s="54">
        <v>0</v>
      </c>
      <c r="D710" s="20">
        <v>0</v>
      </c>
      <c r="E710" s="20">
        <v>2352.63</v>
      </c>
      <c r="F710" s="54">
        <v>-2352.63</v>
      </c>
      <c r="G710" t="s">
        <v>2124</v>
      </c>
      <c r="J710" s="67" t="s">
        <v>2129</v>
      </c>
      <c r="K710" t="e">
        <f>_xlfn.XLOOKUP(J710,DRE!B:B,DRE!A:A)</f>
        <v>#N/A</v>
      </c>
      <c r="N710">
        <f>_xlfn.XLOOKUP(M710,'QUADROS QUE FALTARAM'!F:F,'QUADROS QUE FALTARAM'!B:B,0)</f>
        <v>0</v>
      </c>
    </row>
    <row r="711" spans="1:14" x14ac:dyDescent="0.3">
      <c r="A711" t="s">
        <v>3318</v>
      </c>
      <c r="B711" t="s">
        <v>2394</v>
      </c>
      <c r="C711" s="54">
        <v>0</v>
      </c>
      <c r="D711" s="20">
        <v>0</v>
      </c>
      <c r="E711" s="20">
        <v>941.05</v>
      </c>
      <c r="F711" s="54">
        <v>-941.05</v>
      </c>
      <c r="G711" t="s">
        <v>2124</v>
      </c>
      <c r="J711" s="67" t="s">
        <v>2129</v>
      </c>
      <c r="K711" t="e">
        <f>_xlfn.XLOOKUP(J711,DRE!B:B,DRE!A:A)</f>
        <v>#N/A</v>
      </c>
      <c r="N711">
        <f>_xlfn.XLOOKUP(M711,'QUADROS QUE FALTARAM'!F:F,'QUADROS QUE FALTARAM'!B:B,0)</f>
        <v>0</v>
      </c>
    </row>
    <row r="712" spans="1:14" x14ac:dyDescent="0.3">
      <c r="A712" t="s">
        <v>3319</v>
      </c>
      <c r="B712" t="s">
        <v>2395</v>
      </c>
      <c r="C712" s="54">
        <v>0</v>
      </c>
      <c r="D712" s="20">
        <v>0</v>
      </c>
      <c r="E712" s="20">
        <v>1960.53</v>
      </c>
      <c r="F712" s="54">
        <v>-1960.53</v>
      </c>
      <c r="G712" t="s">
        <v>2124</v>
      </c>
      <c r="J712" s="67" t="s">
        <v>2129</v>
      </c>
      <c r="K712" t="e">
        <f>_xlfn.XLOOKUP(J712,DRE!B:B,DRE!A:A)</f>
        <v>#N/A</v>
      </c>
      <c r="N712">
        <f>_xlfn.XLOOKUP(M712,'QUADROS QUE FALTARAM'!F:F,'QUADROS QUE FALTARAM'!B:B,0)</f>
        <v>0</v>
      </c>
    </row>
    <row r="713" spans="1:14" x14ac:dyDescent="0.3">
      <c r="A713" t="s">
        <v>3320</v>
      </c>
      <c r="B713" t="s">
        <v>2396</v>
      </c>
      <c r="C713" s="54">
        <v>0</v>
      </c>
      <c r="D713" s="20">
        <v>0</v>
      </c>
      <c r="E713" s="20">
        <v>1960.53</v>
      </c>
      <c r="F713" s="54">
        <v>-1960.53</v>
      </c>
      <c r="G713" t="s">
        <v>2124</v>
      </c>
      <c r="J713" s="67" t="s">
        <v>2129</v>
      </c>
      <c r="K713" t="e">
        <f>_xlfn.XLOOKUP(J713,DRE!B:B,DRE!A:A)</f>
        <v>#N/A</v>
      </c>
      <c r="N713">
        <f>_xlfn.XLOOKUP(M713,'QUADROS QUE FALTARAM'!F:F,'QUADROS QUE FALTARAM'!B:B,0)</f>
        <v>0</v>
      </c>
    </row>
    <row r="714" spans="1:14" x14ac:dyDescent="0.3">
      <c r="A714" t="s">
        <v>3321</v>
      </c>
      <c r="B714" t="s">
        <v>2397</v>
      </c>
      <c r="C714" s="54">
        <v>0</v>
      </c>
      <c r="D714" s="20">
        <v>0</v>
      </c>
      <c r="E714" s="20">
        <v>29015.77</v>
      </c>
      <c r="F714" s="54">
        <v>-29015.77</v>
      </c>
      <c r="G714" t="s">
        <v>2124</v>
      </c>
      <c r="J714" s="67" t="s">
        <v>2129</v>
      </c>
      <c r="K714" t="e">
        <f>_xlfn.XLOOKUP(J714,DRE!B:B,DRE!A:A)</f>
        <v>#N/A</v>
      </c>
      <c r="N714">
        <f>_xlfn.XLOOKUP(M714,'QUADROS QUE FALTARAM'!F:F,'QUADROS QUE FALTARAM'!B:B,0)</f>
        <v>0</v>
      </c>
    </row>
  </sheetData>
  <autoFilter ref="A11:N714" xr:uid="{00000000-0001-0000-0000-000000000000}">
    <filterColumn colId="13">
      <customFilters>
        <customFilter operator="notEqual" val=" "/>
      </customFilters>
    </filterColumn>
  </autoFilter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6ED65-FE8D-4D13-A9A0-B5BCE60CC289}">
  <dimension ref="A1:Q710"/>
  <sheetViews>
    <sheetView workbookViewId="0">
      <pane ySplit="1" topLeftCell="A56" activePane="bottomLeft" state="frozen"/>
      <selection pane="bottomLeft" activeCell="B459" sqref="B459"/>
    </sheetView>
  </sheetViews>
  <sheetFormatPr defaultRowHeight="14.4" x14ac:dyDescent="0.3"/>
  <cols>
    <col min="1" max="1" width="78.33203125" bestFit="1" customWidth="1"/>
    <col min="2" max="2" width="18.33203125" bestFit="1" customWidth="1"/>
    <col min="3" max="3" width="3" bestFit="1" customWidth="1"/>
    <col min="4" max="4" width="6" bestFit="1" customWidth="1"/>
    <col min="5" max="5" width="3.88671875" customWidth="1"/>
    <col min="6" max="6" width="2.33203125" bestFit="1" customWidth="1"/>
    <col min="7" max="7" width="23.44140625" style="115" bestFit="1" customWidth="1"/>
    <col min="8" max="8" width="16.109375" style="115" bestFit="1" customWidth="1"/>
    <col min="9" max="9" width="14.109375" style="115" bestFit="1" customWidth="1"/>
    <col min="10" max="10" width="15.109375" style="115" customWidth="1"/>
    <col min="11" max="11" width="9.109375" customWidth="1"/>
    <col min="12" max="12" width="15" bestFit="1" customWidth="1"/>
    <col min="13" max="13" width="12.44140625" bestFit="1" customWidth="1"/>
    <col min="14" max="14" width="15.109375" customWidth="1"/>
    <col min="16" max="16" width="12.6640625" bestFit="1" customWidth="1"/>
    <col min="17" max="17" width="13.33203125" bestFit="1" customWidth="1"/>
  </cols>
  <sheetData>
    <row r="1" spans="1:15" x14ac:dyDescent="0.3">
      <c r="A1" t="s">
        <v>2</v>
      </c>
      <c r="B1" t="s">
        <v>3</v>
      </c>
      <c r="C1" s="56" t="s">
        <v>2113</v>
      </c>
      <c r="D1" s="56" t="s">
        <v>2114</v>
      </c>
      <c r="E1" s="56" t="s">
        <v>2115</v>
      </c>
      <c r="F1" s="56" t="s">
        <v>2116</v>
      </c>
      <c r="G1" s="115" t="s">
        <v>6</v>
      </c>
      <c r="H1" s="115" t="s">
        <v>2117</v>
      </c>
      <c r="I1" s="115" t="s">
        <v>8</v>
      </c>
      <c r="J1" s="115" t="s">
        <v>2118</v>
      </c>
      <c r="K1" s="115" t="s">
        <v>2532</v>
      </c>
      <c r="L1" s="115" t="s">
        <v>2118</v>
      </c>
      <c r="N1" s="55" t="s">
        <v>2119</v>
      </c>
      <c r="O1" s="55" t="s">
        <v>2119</v>
      </c>
    </row>
    <row r="2" spans="1:15" x14ac:dyDescent="0.3">
      <c r="A2" t="s">
        <v>2533</v>
      </c>
      <c r="B2" t="s">
        <v>12</v>
      </c>
      <c r="C2">
        <f t="shared" ref="C2:C11" si="0">LEN(B2)</f>
        <v>3</v>
      </c>
      <c r="D2" t="str">
        <f t="shared" ref="D2:D11" si="1">IF(LEFT(TRIM(A2),1)="(","Red.","Norm")</f>
        <v>Norm</v>
      </c>
      <c r="E2">
        <f t="shared" ref="E2:E11" si="2">LEFT(SUBSTITUTE(B2,"[","",1),1)+0</f>
        <v>1</v>
      </c>
      <c r="F2" t="str">
        <f t="shared" ref="F2:F11" si="3">IF(AND(OR(E2=1,E2=3,E2=5),D2="Norm"),"D",
IF(AND(OR(E2=1,E2=3,E2=5),D2="Red."),"C",
IF(AND(OR(E2=2,E2=4,E2=6),D2="Norm"),"C",
IF(AND(OR(E2=2,E2=4,E2=6),D2="Red."),"D"))))</f>
        <v>D</v>
      </c>
      <c r="G2" s="115" t="s">
        <v>15</v>
      </c>
      <c r="H2" s="54">
        <v>202503120.46000001</v>
      </c>
      <c r="I2" s="54">
        <v>236820881.47</v>
      </c>
      <c r="J2" s="115" t="s">
        <v>2534</v>
      </c>
      <c r="K2" t="str">
        <f>RIGHT(J2,1)</f>
        <v>D</v>
      </c>
      <c r="L2" s="173">
        <f>IF(J2=0,0,LEFT(J2,LEN(J2)-1)+0)</f>
        <v>56773531.619999997</v>
      </c>
    </row>
    <row r="3" spans="1:15" x14ac:dyDescent="0.3">
      <c r="A3" t="s">
        <v>2535</v>
      </c>
      <c r="B3" t="s">
        <v>17</v>
      </c>
      <c r="C3">
        <f t="shared" si="0"/>
        <v>5</v>
      </c>
      <c r="D3" t="str">
        <f t="shared" si="1"/>
        <v>Norm</v>
      </c>
      <c r="E3">
        <f t="shared" si="2"/>
        <v>1</v>
      </c>
      <c r="F3" t="str">
        <f t="shared" si="3"/>
        <v>D</v>
      </c>
      <c r="G3" s="115" t="s">
        <v>19</v>
      </c>
      <c r="H3" s="54">
        <v>171223955.37</v>
      </c>
      <c r="I3" s="54">
        <v>173859642.19</v>
      </c>
      <c r="J3" s="115" t="s">
        <v>2536</v>
      </c>
      <c r="K3" t="str">
        <f t="shared" ref="K3:K66" si="4">RIGHT(J3,1)</f>
        <v>D</v>
      </c>
      <c r="L3" s="173">
        <f t="shared" ref="L3:L66" si="5">IF(J3=0,0,LEFT(J3,LEN(J3)-1)+0)</f>
        <v>20887204.129999999</v>
      </c>
    </row>
    <row r="4" spans="1:15" x14ac:dyDescent="0.3">
      <c r="A4" t="s">
        <v>2537</v>
      </c>
      <c r="B4" t="s">
        <v>21</v>
      </c>
      <c r="C4">
        <f t="shared" si="0"/>
        <v>8</v>
      </c>
      <c r="D4" t="str">
        <f t="shared" si="1"/>
        <v>Norm</v>
      </c>
      <c r="E4">
        <f t="shared" si="2"/>
        <v>1</v>
      </c>
      <c r="F4" t="str">
        <f t="shared" si="3"/>
        <v>D</v>
      </c>
      <c r="G4" s="115" t="s">
        <v>2538</v>
      </c>
      <c r="H4" s="54">
        <v>105845985.23999999</v>
      </c>
      <c r="I4" s="54">
        <v>109888605.95999999</v>
      </c>
      <c r="J4" s="115" t="s">
        <v>2539</v>
      </c>
      <c r="K4" t="str">
        <f t="shared" si="4"/>
        <v>D</v>
      </c>
      <c r="L4" s="173">
        <f t="shared" si="5"/>
        <v>2861198.37</v>
      </c>
    </row>
    <row r="5" spans="1:15" x14ac:dyDescent="0.3">
      <c r="A5" t="s">
        <v>2540</v>
      </c>
      <c r="B5" t="s">
        <v>30</v>
      </c>
      <c r="C5">
        <f t="shared" si="0"/>
        <v>11</v>
      </c>
      <c r="D5" t="str">
        <f t="shared" si="1"/>
        <v>Norm</v>
      </c>
      <c r="E5">
        <f t="shared" si="2"/>
        <v>1</v>
      </c>
      <c r="F5" t="str">
        <f t="shared" si="3"/>
        <v>D</v>
      </c>
      <c r="G5" s="115" t="s">
        <v>32</v>
      </c>
      <c r="H5" s="54">
        <v>101120769.64</v>
      </c>
      <c r="I5" s="54">
        <v>100772657.54000001</v>
      </c>
      <c r="J5" s="115" t="s">
        <v>2541</v>
      </c>
      <c r="K5" t="str">
        <f t="shared" si="4"/>
        <v>D</v>
      </c>
      <c r="L5" s="173">
        <f t="shared" si="5"/>
        <v>509731.36</v>
      </c>
    </row>
    <row r="6" spans="1:15" x14ac:dyDescent="0.3">
      <c r="A6" t="s">
        <v>2542</v>
      </c>
      <c r="B6" t="s">
        <v>34</v>
      </c>
      <c r="C6">
        <f t="shared" si="0"/>
        <v>16</v>
      </c>
      <c r="D6" t="str">
        <f t="shared" si="1"/>
        <v>Norm</v>
      </c>
      <c r="E6">
        <f t="shared" si="2"/>
        <v>1</v>
      </c>
      <c r="F6" t="str">
        <f t="shared" si="3"/>
        <v>D</v>
      </c>
      <c r="G6" s="115" t="s">
        <v>25</v>
      </c>
      <c r="H6" s="54">
        <v>32970.94</v>
      </c>
      <c r="I6" s="54">
        <v>19748.22</v>
      </c>
      <c r="J6" s="115" t="s">
        <v>2125</v>
      </c>
      <c r="K6" t="str">
        <f t="shared" si="4"/>
        <v>D</v>
      </c>
      <c r="L6" s="173">
        <f t="shared" si="5"/>
        <v>13222.72</v>
      </c>
    </row>
    <row r="7" spans="1:15" x14ac:dyDescent="0.3">
      <c r="A7" t="s">
        <v>2543</v>
      </c>
      <c r="B7" t="s">
        <v>36</v>
      </c>
      <c r="C7">
        <f t="shared" si="0"/>
        <v>16</v>
      </c>
      <c r="D7" t="str">
        <f t="shared" si="1"/>
        <v>Norm</v>
      </c>
      <c r="E7">
        <f t="shared" si="2"/>
        <v>1</v>
      </c>
      <c r="F7" t="str">
        <f t="shared" si="3"/>
        <v>D</v>
      </c>
      <c r="G7" s="115" t="s">
        <v>37</v>
      </c>
      <c r="H7" s="54">
        <v>2780003.27</v>
      </c>
      <c r="I7" s="54">
        <v>2780010.57</v>
      </c>
      <c r="J7" s="115" t="s">
        <v>2126</v>
      </c>
      <c r="K7" t="str">
        <f t="shared" si="4"/>
        <v>D</v>
      </c>
      <c r="L7" s="173">
        <f t="shared" si="5"/>
        <v>2.7</v>
      </c>
    </row>
    <row r="8" spans="1:15" x14ac:dyDescent="0.3">
      <c r="A8" t="s">
        <v>2544</v>
      </c>
      <c r="B8" t="s">
        <v>39</v>
      </c>
      <c r="C8">
        <f t="shared" si="0"/>
        <v>16</v>
      </c>
      <c r="D8" t="str">
        <f t="shared" si="1"/>
        <v>Norm</v>
      </c>
      <c r="E8">
        <f t="shared" si="2"/>
        <v>1</v>
      </c>
      <c r="F8" t="str">
        <f t="shared" si="3"/>
        <v>D</v>
      </c>
      <c r="G8" s="115" t="s">
        <v>41</v>
      </c>
      <c r="H8" s="115">
        <v>0</v>
      </c>
      <c r="I8" s="54">
        <v>11601.75</v>
      </c>
      <c r="J8" s="115" t="s">
        <v>25</v>
      </c>
      <c r="K8" t="str">
        <f t="shared" si="4"/>
        <v>D</v>
      </c>
      <c r="L8" s="173">
        <f t="shared" si="5"/>
        <v>0</v>
      </c>
    </row>
    <row r="9" spans="1:15" x14ac:dyDescent="0.3">
      <c r="A9" t="s">
        <v>2545</v>
      </c>
      <c r="B9" t="s">
        <v>43</v>
      </c>
      <c r="C9">
        <f t="shared" si="0"/>
        <v>16</v>
      </c>
      <c r="D9" t="str">
        <f t="shared" si="1"/>
        <v>Norm</v>
      </c>
      <c r="E9">
        <f t="shared" si="2"/>
        <v>1</v>
      </c>
      <c r="F9" t="str">
        <f t="shared" si="3"/>
        <v>D</v>
      </c>
      <c r="G9" s="115" t="s">
        <v>45</v>
      </c>
      <c r="H9" s="54">
        <v>7408411.5700000003</v>
      </c>
      <c r="I9" s="54">
        <v>7558306.4800000004</v>
      </c>
      <c r="J9" s="115" t="s">
        <v>25</v>
      </c>
      <c r="K9" t="str">
        <f t="shared" si="4"/>
        <v>D</v>
      </c>
      <c r="L9" s="173">
        <f t="shared" si="5"/>
        <v>0</v>
      </c>
    </row>
    <row r="10" spans="1:15" x14ac:dyDescent="0.3">
      <c r="A10" t="s">
        <v>2546</v>
      </c>
      <c r="B10" t="s">
        <v>47</v>
      </c>
      <c r="C10">
        <f t="shared" si="0"/>
        <v>16</v>
      </c>
      <c r="D10" t="str">
        <f t="shared" si="1"/>
        <v>Norm</v>
      </c>
      <c r="E10">
        <f t="shared" si="2"/>
        <v>1</v>
      </c>
      <c r="F10" t="str">
        <f t="shared" si="3"/>
        <v>D</v>
      </c>
      <c r="G10" s="115" t="s">
        <v>49</v>
      </c>
      <c r="H10" s="54">
        <v>14038774.65</v>
      </c>
      <c r="I10" s="54">
        <v>14018033.25</v>
      </c>
      <c r="J10" s="115" t="s">
        <v>2127</v>
      </c>
      <c r="K10" t="str">
        <f t="shared" si="4"/>
        <v>D</v>
      </c>
      <c r="L10" s="173">
        <f t="shared" si="5"/>
        <v>20844</v>
      </c>
    </row>
    <row r="11" spans="1:15" x14ac:dyDescent="0.3">
      <c r="A11" t="s">
        <v>2547</v>
      </c>
      <c r="B11" t="s">
        <v>2128</v>
      </c>
      <c r="C11">
        <f t="shared" si="0"/>
        <v>16</v>
      </c>
      <c r="D11" t="str">
        <f t="shared" si="1"/>
        <v>Norm</v>
      </c>
      <c r="E11">
        <f t="shared" si="2"/>
        <v>1</v>
      </c>
      <c r="F11" t="str">
        <f t="shared" si="3"/>
        <v>D</v>
      </c>
      <c r="G11" s="115" t="s">
        <v>25</v>
      </c>
      <c r="H11" s="54">
        <v>2561483.81</v>
      </c>
      <c r="I11" s="54">
        <v>2561483.81</v>
      </c>
      <c r="J11" s="115" t="s">
        <v>25</v>
      </c>
      <c r="K11" t="str">
        <f t="shared" si="4"/>
        <v>D</v>
      </c>
      <c r="L11" s="173">
        <f t="shared" si="5"/>
        <v>0</v>
      </c>
    </row>
    <row r="12" spans="1:15" x14ac:dyDescent="0.3">
      <c r="A12" t="s">
        <v>2548</v>
      </c>
      <c r="B12" t="s">
        <v>51</v>
      </c>
      <c r="C12">
        <f>LEN(B12)</f>
        <v>16</v>
      </c>
      <c r="D12" t="str">
        <f>IF(LEFT(TRIM(A12),1)="(","Red.","Norm")</f>
        <v>Norm</v>
      </c>
      <c r="E12">
        <f>LEFT(SUBSTITUTE(B12,"[","",1),1)+0</f>
        <v>1</v>
      </c>
      <c r="F12" t="str">
        <f>IF(AND(OR(E12=1,E12=3,E12=5),D12="Norm"),"D",
IF(AND(OR(E12=1,E12=3,E12=5),D12="Red."),"C",
IF(AND(OR(E12=2,E12=4,E12=6),D12="Norm"),"C",
IF(AND(OR(E12=2,E12=4,E12=6),D12="Red."),"D"))))</f>
        <v>D</v>
      </c>
      <c r="G12" s="115" t="s">
        <v>25</v>
      </c>
      <c r="H12" s="54">
        <v>12522170</v>
      </c>
      <c r="I12" s="54">
        <v>12522170</v>
      </c>
      <c r="J12" s="115" t="s">
        <v>25</v>
      </c>
      <c r="K12" t="str">
        <f t="shared" si="4"/>
        <v>D</v>
      </c>
      <c r="L12" s="173">
        <f t="shared" si="5"/>
        <v>0</v>
      </c>
    </row>
    <row r="13" spans="1:15" x14ac:dyDescent="0.3">
      <c r="A13" t="s">
        <v>2549</v>
      </c>
      <c r="B13" t="s">
        <v>54</v>
      </c>
      <c r="C13">
        <f t="shared" ref="C13:C76" si="6">LEN(B13)</f>
        <v>16</v>
      </c>
      <c r="D13" t="str">
        <f t="shared" ref="D13:D76" si="7">IF(LEFT(TRIM(A13),1)="(","Red.","Norm")</f>
        <v>Norm</v>
      </c>
      <c r="E13">
        <f t="shared" ref="E13:E76" si="8">LEFT(SUBSTITUTE(B13,"[","",1),1)+0</f>
        <v>1</v>
      </c>
      <c r="F13" t="str">
        <f t="shared" ref="F13:F76" si="9">IF(AND(OR(E13=1,E13=3,E13=5),D13="Norm"),"D",
IF(AND(OR(E13=1,E13=3,E13=5),D13="Red."),"C",
IF(AND(OR(E13=2,E13=4,E13=6),D13="Norm"),"C",
IF(AND(OR(E13=2,E13=4,E13=6),D13="Red."),"D"))))</f>
        <v>D</v>
      </c>
      <c r="G13" s="115" t="s">
        <v>37</v>
      </c>
      <c r="H13" s="54">
        <v>27555326.989999998</v>
      </c>
      <c r="I13" s="54">
        <v>27555336.989999998</v>
      </c>
      <c r="J13" s="115" t="s">
        <v>25</v>
      </c>
      <c r="K13" t="str">
        <f t="shared" si="4"/>
        <v>D</v>
      </c>
      <c r="L13" s="173">
        <f t="shared" si="5"/>
        <v>0</v>
      </c>
    </row>
    <row r="14" spans="1:15" x14ac:dyDescent="0.3">
      <c r="A14" t="s">
        <v>2550</v>
      </c>
      <c r="B14" t="s">
        <v>2130</v>
      </c>
      <c r="C14">
        <f t="shared" si="6"/>
        <v>16</v>
      </c>
      <c r="D14" t="str">
        <f t="shared" si="7"/>
        <v>Norm</v>
      </c>
      <c r="E14">
        <f t="shared" si="8"/>
        <v>1</v>
      </c>
      <c r="F14" t="str">
        <f t="shared" si="9"/>
        <v>D</v>
      </c>
      <c r="G14" s="115" t="s">
        <v>25</v>
      </c>
      <c r="H14" s="54">
        <v>16895096.550000001</v>
      </c>
      <c r="I14" s="54">
        <v>16676211.800000001</v>
      </c>
      <c r="J14" s="115" t="s">
        <v>2131</v>
      </c>
      <c r="K14" t="str">
        <f t="shared" si="4"/>
        <v>D</v>
      </c>
      <c r="L14" s="173">
        <f t="shared" si="5"/>
        <v>218884.75</v>
      </c>
    </row>
    <row r="15" spans="1:15" x14ac:dyDescent="0.3">
      <c r="A15" t="s">
        <v>2551</v>
      </c>
      <c r="B15" t="s">
        <v>2132</v>
      </c>
      <c r="C15">
        <f t="shared" si="6"/>
        <v>16</v>
      </c>
      <c r="D15" t="str">
        <f t="shared" si="7"/>
        <v>Norm</v>
      </c>
      <c r="E15">
        <f t="shared" si="8"/>
        <v>1</v>
      </c>
      <c r="F15" t="str">
        <f t="shared" si="9"/>
        <v>D</v>
      </c>
      <c r="G15" s="115" t="s">
        <v>25</v>
      </c>
      <c r="H15" s="54">
        <v>17326531.859999999</v>
      </c>
      <c r="I15" s="54">
        <v>17069754.670000002</v>
      </c>
      <c r="J15" s="115" t="s">
        <v>2552</v>
      </c>
      <c r="K15" t="str">
        <f t="shared" si="4"/>
        <v>D</v>
      </c>
      <c r="L15" s="173">
        <f t="shared" si="5"/>
        <v>256777.19</v>
      </c>
    </row>
    <row r="16" spans="1:15" x14ac:dyDescent="0.3">
      <c r="A16" t="s">
        <v>2553</v>
      </c>
      <c r="B16" t="s">
        <v>56</v>
      </c>
      <c r="C16">
        <f t="shared" si="6"/>
        <v>11</v>
      </c>
      <c r="D16" t="str">
        <f t="shared" si="7"/>
        <v>Norm</v>
      </c>
      <c r="E16">
        <f t="shared" si="8"/>
        <v>1</v>
      </c>
      <c r="F16" t="str">
        <f t="shared" si="9"/>
        <v>D</v>
      </c>
      <c r="G16" s="115" t="s">
        <v>58</v>
      </c>
      <c r="H16" s="54">
        <v>4556696.66</v>
      </c>
      <c r="I16" s="54">
        <v>9078031.6899999995</v>
      </c>
      <c r="J16" s="115" t="s">
        <v>2554</v>
      </c>
      <c r="K16" t="str">
        <f t="shared" si="4"/>
        <v>D</v>
      </c>
      <c r="L16" s="173">
        <f t="shared" si="5"/>
        <v>5473.17</v>
      </c>
    </row>
    <row r="17" spans="1:12" x14ac:dyDescent="0.3">
      <c r="A17" t="s">
        <v>2555</v>
      </c>
      <c r="B17" t="s">
        <v>60</v>
      </c>
      <c r="C17">
        <f t="shared" si="6"/>
        <v>16</v>
      </c>
      <c r="D17" t="str">
        <f t="shared" si="7"/>
        <v>Norm</v>
      </c>
      <c r="E17">
        <f t="shared" si="8"/>
        <v>1</v>
      </c>
      <c r="F17" t="str">
        <f t="shared" si="9"/>
        <v>D</v>
      </c>
      <c r="G17" s="115" t="s">
        <v>62</v>
      </c>
      <c r="H17" s="54">
        <v>308696.96999999997</v>
      </c>
      <c r="I17" s="54">
        <v>313964.96999999997</v>
      </c>
      <c r="J17" s="115" t="s">
        <v>25</v>
      </c>
      <c r="K17" t="str">
        <f t="shared" si="4"/>
        <v>D</v>
      </c>
      <c r="L17" s="173">
        <f t="shared" si="5"/>
        <v>0</v>
      </c>
    </row>
    <row r="18" spans="1:12" x14ac:dyDescent="0.3">
      <c r="A18" t="s">
        <v>2556</v>
      </c>
      <c r="B18" t="s">
        <v>64</v>
      </c>
      <c r="C18">
        <f t="shared" si="6"/>
        <v>16</v>
      </c>
      <c r="D18" t="str">
        <f t="shared" si="7"/>
        <v>Norm</v>
      </c>
      <c r="E18">
        <f t="shared" si="8"/>
        <v>1</v>
      </c>
      <c r="F18" t="str">
        <f t="shared" si="9"/>
        <v>D</v>
      </c>
      <c r="G18" s="115" t="s">
        <v>66</v>
      </c>
      <c r="H18" s="54">
        <v>3340.88</v>
      </c>
      <c r="I18" s="54">
        <v>4548.0200000000004</v>
      </c>
      <c r="J18" s="115" t="s">
        <v>2133</v>
      </c>
      <c r="K18" t="str">
        <f t="shared" si="4"/>
        <v>D</v>
      </c>
      <c r="L18" s="173">
        <f t="shared" si="5"/>
        <v>5387.47</v>
      </c>
    </row>
    <row r="19" spans="1:12" x14ac:dyDescent="0.3">
      <c r="A19" t="s">
        <v>2557</v>
      </c>
      <c r="B19" t="s">
        <v>68</v>
      </c>
      <c r="C19">
        <f t="shared" si="6"/>
        <v>16</v>
      </c>
      <c r="D19" t="str">
        <f t="shared" si="7"/>
        <v>Norm</v>
      </c>
      <c r="E19">
        <f t="shared" si="8"/>
        <v>1</v>
      </c>
      <c r="F19" t="str">
        <f t="shared" si="9"/>
        <v>D</v>
      </c>
      <c r="G19" s="115" t="s">
        <v>70</v>
      </c>
      <c r="H19" s="115">
        <v>7.6</v>
      </c>
      <c r="I19" s="115">
        <v>1.45</v>
      </c>
      <c r="J19" s="115" t="s">
        <v>2134</v>
      </c>
      <c r="K19" t="str">
        <f t="shared" si="4"/>
        <v>D</v>
      </c>
      <c r="L19" s="173">
        <f t="shared" si="5"/>
        <v>85.7</v>
      </c>
    </row>
    <row r="20" spans="1:12" x14ac:dyDescent="0.3">
      <c r="A20" t="s">
        <v>2558</v>
      </c>
      <c r="B20" t="s">
        <v>72</v>
      </c>
      <c r="C20">
        <f t="shared" si="6"/>
        <v>16</v>
      </c>
      <c r="D20" t="str">
        <f t="shared" si="7"/>
        <v>Norm</v>
      </c>
      <c r="E20">
        <f t="shared" si="8"/>
        <v>1</v>
      </c>
      <c r="F20" t="str">
        <f t="shared" si="9"/>
        <v>D</v>
      </c>
      <c r="G20" s="115" t="s">
        <v>73</v>
      </c>
      <c r="H20" s="54">
        <v>4244651.21</v>
      </c>
      <c r="I20" s="54">
        <v>8759517.25</v>
      </c>
      <c r="J20" s="115">
        <v>0</v>
      </c>
      <c r="K20" t="str">
        <f t="shared" si="4"/>
        <v>0</v>
      </c>
      <c r="L20" s="173">
        <f t="shared" si="5"/>
        <v>0</v>
      </c>
    </row>
    <row r="21" spans="1:12" x14ac:dyDescent="0.3">
      <c r="A21" t="s">
        <v>2559</v>
      </c>
      <c r="B21" t="s">
        <v>75</v>
      </c>
      <c r="C21">
        <f t="shared" si="6"/>
        <v>11</v>
      </c>
      <c r="D21" t="str">
        <f t="shared" si="7"/>
        <v>Norm</v>
      </c>
      <c r="E21">
        <f t="shared" si="8"/>
        <v>1</v>
      </c>
      <c r="F21" t="str">
        <f t="shared" si="9"/>
        <v>D</v>
      </c>
      <c r="G21" s="115" t="s">
        <v>77</v>
      </c>
      <c r="H21" s="54">
        <v>168518.94</v>
      </c>
      <c r="I21" s="54">
        <v>37916.730000000003</v>
      </c>
      <c r="J21" s="115" t="s">
        <v>2135</v>
      </c>
      <c r="K21" t="str">
        <f t="shared" si="4"/>
        <v>D</v>
      </c>
      <c r="L21" s="173">
        <f t="shared" si="5"/>
        <v>2345993.84</v>
      </c>
    </row>
    <row r="22" spans="1:12" x14ac:dyDescent="0.3">
      <c r="A22" t="s">
        <v>2560</v>
      </c>
      <c r="B22" t="s">
        <v>79</v>
      </c>
      <c r="C22">
        <f t="shared" si="6"/>
        <v>16</v>
      </c>
      <c r="D22" t="str">
        <f t="shared" si="7"/>
        <v>Norm</v>
      </c>
      <c r="E22">
        <f t="shared" si="8"/>
        <v>1</v>
      </c>
      <c r="F22" t="str">
        <f t="shared" si="9"/>
        <v>D</v>
      </c>
      <c r="G22" s="115" t="s">
        <v>77</v>
      </c>
      <c r="H22" s="54">
        <v>168518.94</v>
      </c>
      <c r="I22" s="54">
        <v>37916.730000000003</v>
      </c>
      <c r="J22" s="115" t="s">
        <v>2135</v>
      </c>
      <c r="K22" t="str">
        <f t="shared" si="4"/>
        <v>D</v>
      </c>
      <c r="L22" s="173">
        <f t="shared" si="5"/>
        <v>2345993.84</v>
      </c>
    </row>
    <row r="23" spans="1:12" x14ac:dyDescent="0.3">
      <c r="A23" t="s">
        <v>2561</v>
      </c>
      <c r="B23" t="s">
        <v>82</v>
      </c>
      <c r="C23">
        <f t="shared" si="6"/>
        <v>8</v>
      </c>
      <c r="D23" t="str">
        <f t="shared" si="7"/>
        <v>Norm</v>
      </c>
      <c r="E23">
        <f t="shared" si="8"/>
        <v>1</v>
      </c>
      <c r="F23" t="str">
        <f t="shared" si="9"/>
        <v>D</v>
      </c>
      <c r="G23" s="115" t="s">
        <v>87</v>
      </c>
      <c r="H23" s="54">
        <v>11035769.59</v>
      </c>
      <c r="I23" s="54">
        <v>16743757.189999999</v>
      </c>
      <c r="J23" s="115" t="s">
        <v>2562</v>
      </c>
      <c r="K23" t="str">
        <f t="shared" si="4"/>
        <v>D</v>
      </c>
      <c r="L23" s="173">
        <f t="shared" si="5"/>
        <v>1889386.78</v>
      </c>
    </row>
    <row r="24" spans="1:12" x14ac:dyDescent="0.3">
      <c r="A24" t="s">
        <v>2563</v>
      </c>
      <c r="B24" t="s">
        <v>85</v>
      </c>
      <c r="C24">
        <f t="shared" si="6"/>
        <v>11</v>
      </c>
      <c r="D24" t="str">
        <f t="shared" si="7"/>
        <v>Norm</v>
      </c>
      <c r="E24">
        <f t="shared" si="8"/>
        <v>1</v>
      </c>
      <c r="F24" t="str">
        <f t="shared" si="9"/>
        <v>D</v>
      </c>
      <c r="G24" s="115" t="s">
        <v>87</v>
      </c>
      <c r="H24" s="54">
        <v>9175045.5500000007</v>
      </c>
      <c r="I24" s="54">
        <v>15158655.35</v>
      </c>
      <c r="J24" s="115" t="s">
        <v>2564</v>
      </c>
      <c r="K24" t="str">
        <f t="shared" si="4"/>
        <v>D</v>
      </c>
      <c r="L24" s="173">
        <f t="shared" si="5"/>
        <v>1613764.58</v>
      </c>
    </row>
    <row r="25" spans="1:12" x14ac:dyDescent="0.3">
      <c r="A25" t="s">
        <v>2565</v>
      </c>
      <c r="B25" t="s">
        <v>185</v>
      </c>
      <c r="C25">
        <f t="shared" si="6"/>
        <v>16</v>
      </c>
      <c r="D25" t="str">
        <f t="shared" si="7"/>
        <v>Norm</v>
      </c>
      <c r="E25">
        <f t="shared" si="8"/>
        <v>1</v>
      </c>
      <c r="F25" t="str">
        <f t="shared" si="9"/>
        <v>D</v>
      </c>
      <c r="G25" s="115" t="s">
        <v>186</v>
      </c>
      <c r="H25" s="115">
        <v>0</v>
      </c>
      <c r="I25" s="115">
        <v>224.3</v>
      </c>
      <c r="J25" s="115">
        <v>0</v>
      </c>
      <c r="K25" t="str">
        <f t="shared" si="4"/>
        <v>0</v>
      </c>
      <c r="L25" s="173">
        <f t="shared" si="5"/>
        <v>0</v>
      </c>
    </row>
    <row r="26" spans="1:12" x14ac:dyDescent="0.3">
      <c r="A26" t="s">
        <v>2566</v>
      </c>
      <c r="B26" t="s">
        <v>188</v>
      </c>
      <c r="C26">
        <f t="shared" si="6"/>
        <v>16</v>
      </c>
      <c r="D26" t="str">
        <f t="shared" si="7"/>
        <v>Norm</v>
      </c>
      <c r="E26">
        <f t="shared" si="8"/>
        <v>1</v>
      </c>
      <c r="F26" t="str">
        <f t="shared" si="9"/>
        <v>D</v>
      </c>
      <c r="G26" s="115" t="s">
        <v>25</v>
      </c>
      <c r="H26" s="54">
        <v>23200</v>
      </c>
      <c r="I26" s="54">
        <v>23200</v>
      </c>
      <c r="J26" s="115" t="s">
        <v>25</v>
      </c>
      <c r="K26" t="str">
        <f t="shared" si="4"/>
        <v>D</v>
      </c>
      <c r="L26" s="173">
        <f t="shared" si="5"/>
        <v>0</v>
      </c>
    </row>
    <row r="27" spans="1:12" x14ac:dyDescent="0.3">
      <c r="A27" t="s">
        <v>2567</v>
      </c>
      <c r="B27" t="s">
        <v>210</v>
      </c>
      <c r="C27">
        <f t="shared" si="6"/>
        <v>16</v>
      </c>
      <c r="D27" t="str">
        <f t="shared" si="7"/>
        <v>Norm</v>
      </c>
      <c r="E27">
        <f t="shared" si="8"/>
        <v>1</v>
      </c>
      <c r="F27" t="str">
        <f t="shared" si="9"/>
        <v>D</v>
      </c>
      <c r="G27" s="115">
        <v>0</v>
      </c>
      <c r="H27" s="54">
        <v>23800</v>
      </c>
      <c r="I27" s="54">
        <v>23800</v>
      </c>
      <c r="J27" s="115">
        <v>0</v>
      </c>
      <c r="K27" t="str">
        <f t="shared" si="4"/>
        <v>0</v>
      </c>
      <c r="L27" s="173">
        <f t="shared" si="5"/>
        <v>0</v>
      </c>
    </row>
    <row r="28" spans="1:12" x14ac:dyDescent="0.3">
      <c r="A28" t="s">
        <v>2568</v>
      </c>
      <c r="B28" t="s">
        <v>212</v>
      </c>
      <c r="C28">
        <f t="shared" si="6"/>
        <v>16</v>
      </c>
      <c r="D28" t="str">
        <f t="shared" si="7"/>
        <v>Norm</v>
      </c>
      <c r="E28">
        <f t="shared" si="8"/>
        <v>1</v>
      </c>
      <c r="F28" t="str">
        <f t="shared" si="9"/>
        <v>D</v>
      </c>
      <c r="G28" s="115" t="s">
        <v>213</v>
      </c>
      <c r="H28" s="115">
        <v>0</v>
      </c>
      <c r="I28" s="115">
        <v>0</v>
      </c>
      <c r="J28" s="115" t="s">
        <v>213</v>
      </c>
      <c r="K28" t="str">
        <f t="shared" si="4"/>
        <v>D</v>
      </c>
      <c r="L28" s="173">
        <f t="shared" si="5"/>
        <v>20584.03</v>
      </c>
    </row>
    <row r="29" spans="1:12" x14ac:dyDescent="0.3">
      <c r="A29" t="s">
        <v>2569</v>
      </c>
      <c r="B29" t="s">
        <v>215</v>
      </c>
      <c r="C29">
        <f t="shared" si="6"/>
        <v>16</v>
      </c>
      <c r="D29" t="str">
        <f t="shared" si="7"/>
        <v>Norm</v>
      </c>
      <c r="E29">
        <f t="shared" si="8"/>
        <v>1</v>
      </c>
      <c r="F29" t="str">
        <f t="shared" si="9"/>
        <v>D</v>
      </c>
      <c r="G29" s="115" t="s">
        <v>216</v>
      </c>
      <c r="H29" s="115">
        <v>0</v>
      </c>
      <c r="I29" s="54">
        <v>164931.20000000001</v>
      </c>
      <c r="J29" s="115" t="s">
        <v>25</v>
      </c>
      <c r="K29" t="str">
        <f t="shared" si="4"/>
        <v>D</v>
      </c>
      <c r="L29" s="173">
        <f t="shared" si="5"/>
        <v>0</v>
      </c>
    </row>
    <row r="30" spans="1:12" x14ac:dyDescent="0.3">
      <c r="A30" t="s">
        <v>2570</v>
      </c>
      <c r="B30" t="s">
        <v>218</v>
      </c>
      <c r="C30">
        <f t="shared" si="6"/>
        <v>16</v>
      </c>
      <c r="D30" t="str">
        <f t="shared" si="7"/>
        <v>Norm</v>
      </c>
      <c r="E30">
        <f t="shared" si="8"/>
        <v>1</v>
      </c>
      <c r="F30" t="str">
        <f t="shared" si="9"/>
        <v>D</v>
      </c>
      <c r="G30" s="115" t="s">
        <v>25</v>
      </c>
      <c r="H30" s="54">
        <v>35700</v>
      </c>
      <c r="I30" s="54">
        <v>35700</v>
      </c>
      <c r="J30" s="115" t="s">
        <v>25</v>
      </c>
      <c r="K30" t="str">
        <f t="shared" si="4"/>
        <v>D</v>
      </c>
      <c r="L30" s="173">
        <f t="shared" si="5"/>
        <v>0</v>
      </c>
    </row>
    <row r="31" spans="1:12" x14ac:dyDescent="0.3">
      <c r="A31" t="s">
        <v>2571</v>
      </c>
      <c r="B31" t="s">
        <v>223</v>
      </c>
      <c r="C31">
        <f t="shared" si="6"/>
        <v>16</v>
      </c>
      <c r="D31" t="str">
        <f t="shared" si="7"/>
        <v>Norm</v>
      </c>
      <c r="E31">
        <f t="shared" si="8"/>
        <v>1</v>
      </c>
      <c r="F31" t="str">
        <f t="shared" si="9"/>
        <v>D</v>
      </c>
      <c r="G31" s="115" t="s">
        <v>25</v>
      </c>
      <c r="H31" s="54">
        <v>4200</v>
      </c>
      <c r="I31" s="54">
        <v>4200</v>
      </c>
      <c r="J31" s="115" t="s">
        <v>25</v>
      </c>
      <c r="K31" t="str">
        <f t="shared" si="4"/>
        <v>D</v>
      </c>
      <c r="L31" s="173">
        <f t="shared" si="5"/>
        <v>0</v>
      </c>
    </row>
    <row r="32" spans="1:12" x14ac:dyDescent="0.3">
      <c r="A32" t="s">
        <v>2572</v>
      </c>
      <c r="B32" t="s">
        <v>225</v>
      </c>
      <c r="C32">
        <f t="shared" si="6"/>
        <v>16</v>
      </c>
      <c r="D32" t="str">
        <f t="shared" si="7"/>
        <v>Norm</v>
      </c>
      <c r="E32">
        <f t="shared" si="8"/>
        <v>1</v>
      </c>
      <c r="F32" t="str">
        <f t="shared" si="9"/>
        <v>D</v>
      </c>
      <c r="G32" s="115" t="s">
        <v>227</v>
      </c>
      <c r="H32" s="54">
        <v>30225</v>
      </c>
      <c r="I32" s="54">
        <v>61225</v>
      </c>
      <c r="J32" s="115" t="s">
        <v>25</v>
      </c>
      <c r="K32" t="str">
        <f t="shared" si="4"/>
        <v>D</v>
      </c>
      <c r="L32" s="173">
        <f t="shared" si="5"/>
        <v>0</v>
      </c>
    </row>
    <row r="33" spans="1:12" x14ac:dyDescent="0.3">
      <c r="A33" t="s">
        <v>2573</v>
      </c>
      <c r="B33" t="s">
        <v>231</v>
      </c>
      <c r="C33">
        <f t="shared" si="6"/>
        <v>16</v>
      </c>
      <c r="D33" t="str">
        <f t="shared" si="7"/>
        <v>Norm</v>
      </c>
      <c r="E33">
        <f t="shared" si="8"/>
        <v>1</v>
      </c>
      <c r="F33" t="str">
        <f t="shared" si="9"/>
        <v>D</v>
      </c>
      <c r="G33" s="115" t="s">
        <v>25</v>
      </c>
      <c r="H33" s="54">
        <v>52500</v>
      </c>
      <c r="I33" s="54">
        <v>52500</v>
      </c>
      <c r="J33" s="115" t="s">
        <v>25</v>
      </c>
      <c r="K33" t="str">
        <f t="shared" si="4"/>
        <v>D</v>
      </c>
      <c r="L33" s="173">
        <f t="shared" si="5"/>
        <v>0</v>
      </c>
    </row>
    <row r="34" spans="1:12" x14ac:dyDescent="0.3">
      <c r="A34" t="s">
        <v>2574</v>
      </c>
      <c r="B34" t="s">
        <v>246</v>
      </c>
      <c r="C34">
        <f t="shared" si="6"/>
        <v>16</v>
      </c>
      <c r="D34" t="str">
        <f t="shared" si="7"/>
        <v>Norm</v>
      </c>
      <c r="E34">
        <f t="shared" si="8"/>
        <v>1</v>
      </c>
      <c r="F34" t="str">
        <f t="shared" si="9"/>
        <v>D</v>
      </c>
      <c r="G34" s="115" t="s">
        <v>25</v>
      </c>
      <c r="H34" s="54">
        <v>16800</v>
      </c>
      <c r="I34" s="54">
        <v>16800</v>
      </c>
      <c r="J34" s="115" t="s">
        <v>25</v>
      </c>
      <c r="K34" t="str">
        <f t="shared" si="4"/>
        <v>D</v>
      </c>
      <c r="L34" s="173">
        <f t="shared" si="5"/>
        <v>0</v>
      </c>
    </row>
    <row r="35" spans="1:12" x14ac:dyDescent="0.3">
      <c r="A35" t="s">
        <v>2575</v>
      </c>
      <c r="B35" t="s">
        <v>248</v>
      </c>
      <c r="C35">
        <f t="shared" si="6"/>
        <v>16</v>
      </c>
      <c r="D35" t="str">
        <f t="shared" si="7"/>
        <v>Norm</v>
      </c>
      <c r="E35">
        <f t="shared" si="8"/>
        <v>1</v>
      </c>
      <c r="F35" t="str">
        <f t="shared" si="9"/>
        <v>D</v>
      </c>
      <c r="G35" s="115" t="s">
        <v>25</v>
      </c>
      <c r="H35" s="54">
        <v>9000</v>
      </c>
      <c r="I35" s="54">
        <v>9000</v>
      </c>
      <c r="J35" s="115" t="s">
        <v>25</v>
      </c>
      <c r="K35" t="str">
        <f t="shared" si="4"/>
        <v>D</v>
      </c>
      <c r="L35" s="173">
        <f t="shared" si="5"/>
        <v>0</v>
      </c>
    </row>
    <row r="36" spans="1:12" x14ac:dyDescent="0.3">
      <c r="A36" t="s">
        <v>2576</v>
      </c>
      <c r="B36" t="s">
        <v>250</v>
      </c>
      <c r="C36">
        <f t="shared" si="6"/>
        <v>16</v>
      </c>
      <c r="D36" t="str">
        <f t="shared" si="7"/>
        <v>Norm</v>
      </c>
      <c r="E36">
        <f t="shared" si="8"/>
        <v>1</v>
      </c>
      <c r="F36" t="str">
        <f t="shared" si="9"/>
        <v>D</v>
      </c>
      <c r="G36" s="115" t="s">
        <v>25</v>
      </c>
      <c r="H36" s="54">
        <v>4200</v>
      </c>
      <c r="I36" s="54">
        <v>4200</v>
      </c>
      <c r="J36" s="115" t="s">
        <v>25</v>
      </c>
      <c r="K36" t="str">
        <f t="shared" si="4"/>
        <v>D</v>
      </c>
      <c r="L36" s="173">
        <f t="shared" si="5"/>
        <v>0</v>
      </c>
    </row>
    <row r="37" spans="1:12" x14ac:dyDescent="0.3">
      <c r="A37" t="s">
        <v>2577</v>
      </c>
      <c r="B37" t="s">
        <v>255</v>
      </c>
      <c r="C37">
        <f t="shared" si="6"/>
        <v>16</v>
      </c>
      <c r="D37" t="str">
        <f t="shared" si="7"/>
        <v>Norm</v>
      </c>
      <c r="E37">
        <f t="shared" si="8"/>
        <v>1</v>
      </c>
      <c r="F37" t="str">
        <f t="shared" si="9"/>
        <v>D</v>
      </c>
      <c r="G37" s="115" t="s">
        <v>25</v>
      </c>
      <c r="H37" s="54">
        <v>33600</v>
      </c>
      <c r="I37" s="54">
        <v>33600</v>
      </c>
      <c r="J37" s="115" t="s">
        <v>25</v>
      </c>
      <c r="K37" t="str">
        <f t="shared" si="4"/>
        <v>D</v>
      </c>
      <c r="L37" s="173">
        <f t="shared" si="5"/>
        <v>0</v>
      </c>
    </row>
    <row r="38" spans="1:12" x14ac:dyDescent="0.3">
      <c r="A38" t="s">
        <v>2578</v>
      </c>
      <c r="B38" t="s">
        <v>260</v>
      </c>
      <c r="C38">
        <f t="shared" si="6"/>
        <v>16</v>
      </c>
      <c r="D38" t="str">
        <f t="shared" si="7"/>
        <v>Norm</v>
      </c>
      <c r="E38">
        <f t="shared" si="8"/>
        <v>1</v>
      </c>
      <c r="F38" t="str">
        <f t="shared" si="9"/>
        <v>D</v>
      </c>
      <c r="G38" s="115" t="s">
        <v>25</v>
      </c>
      <c r="H38" s="54">
        <v>35302.5</v>
      </c>
      <c r="I38" s="54">
        <v>34477.5</v>
      </c>
      <c r="J38" s="115" t="s">
        <v>2136</v>
      </c>
      <c r="K38" t="str">
        <f t="shared" si="4"/>
        <v>D</v>
      </c>
      <c r="L38" s="173">
        <f t="shared" si="5"/>
        <v>825</v>
      </c>
    </row>
    <row r="39" spans="1:12" x14ac:dyDescent="0.3">
      <c r="A39" t="s">
        <v>2579</v>
      </c>
      <c r="B39" t="s">
        <v>262</v>
      </c>
      <c r="C39">
        <f t="shared" si="6"/>
        <v>16</v>
      </c>
      <c r="D39" t="str">
        <f t="shared" si="7"/>
        <v>Norm</v>
      </c>
      <c r="E39">
        <f t="shared" si="8"/>
        <v>1</v>
      </c>
      <c r="F39" t="str">
        <f t="shared" si="9"/>
        <v>D</v>
      </c>
      <c r="G39" s="115" t="s">
        <v>25</v>
      </c>
      <c r="H39" s="54">
        <v>21000</v>
      </c>
      <c r="I39" s="54">
        <v>21000</v>
      </c>
      <c r="J39" s="115" t="s">
        <v>25</v>
      </c>
      <c r="K39" t="str">
        <f t="shared" si="4"/>
        <v>D</v>
      </c>
      <c r="L39" s="173">
        <f t="shared" si="5"/>
        <v>0</v>
      </c>
    </row>
    <row r="40" spans="1:12" x14ac:dyDescent="0.3">
      <c r="A40" t="s">
        <v>2580</v>
      </c>
      <c r="B40" t="s">
        <v>264</v>
      </c>
      <c r="C40">
        <f t="shared" si="6"/>
        <v>16</v>
      </c>
      <c r="D40" t="str">
        <f t="shared" si="7"/>
        <v>Norm</v>
      </c>
      <c r="E40">
        <f t="shared" si="8"/>
        <v>1</v>
      </c>
      <c r="F40" t="str">
        <f t="shared" si="9"/>
        <v>D</v>
      </c>
      <c r="G40" s="115" t="s">
        <v>25</v>
      </c>
      <c r="H40" s="54">
        <v>8610</v>
      </c>
      <c r="I40" s="54">
        <v>6510</v>
      </c>
      <c r="J40" s="115" t="s">
        <v>253</v>
      </c>
      <c r="K40" t="str">
        <f t="shared" si="4"/>
        <v>D</v>
      </c>
      <c r="L40" s="173">
        <f t="shared" si="5"/>
        <v>2100</v>
      </c>
    </row>
    <row r="41" spans="1:12" x14ac:dyDescent="0.3">
      <c r="A41" t="s">
        <v>2581</v>
      </c>
      <c r="B41" t="s">
        <v>266</v>
      </c>
      <c r="C41">
        <f t="shared" si="6"/>
        <v>16</v>
      </c>
      <c r="D41" t="str">
        <f t="shared" si="7"/>
        <v>Norm</v>
      </c>
      <c r="E41">
        <f t="shared" si="8"/>
        <v>1</v>
      </c>
      <c r="F41" t="str">
        <f t="shared" si="9"/>
        <v>D</v>
      </c>
      <c r="G41" s="115" t="s">
        <v>25</v>
      </c>
      <c r="H41" s="54">
        <v>7350</v>
      </c>
      <c r="I41" s="54">
        <v>7350</v>
      </c>
      <c r="J41" s="115" t="s">
        <v>25</v>
      </c>
      <c r="K41" t="str">
        <f t="shared" si="4"/>
        <v>D</v>
      </c>
      <c r="L41" s="173">
        <f t="shared" si="5"/>
        <v>0</v>
      </c>
    </row>
    <row r="42" spans="1:12" x14ac:dyDescent="0.3">
      <c r="A42" t="s">
        <v>2582</v>
      </c>
      <c r="B42" t="s">
        <v>268</v>
      </c>
      <c r="C42">
        <f t="shared" si="6"/>
        <v>16</v>
      </c>
      <c r="D42" t="str">
        <f t="shared" si="7"/>
        <v>Norm</v>
      </c>
      <c r="E42">
        <f t="shared" si="8"/>
        <v>1</v>
      </c>
      <c r="F42" t="str">
        <f t="shared" si="9"/>
        <v>D</v>
      </c>
      <c r="G42" s="115" t="s">
        <v>270</v>
      </c>
      <c r="H42" s="54">
        <v>181650</v>
      </c>
      <c r="I42" s="54">
        <v>255900</v>
      </c>
      <c r="J42" s="115" t="s">
        <v>25</v>
      </c>
      <c r="K42" t="str">
        <f t="shared" si="4"/>
        <v>D</v>
      </c>
      <c r="L42" s="173">
        <f t="shared" si="5"/>
        <v>0</v>
      </c>
    </row>
    <row r="43" spans="1:12" x14ac:dyDescent="0.3">
      <c r="A43" t="s">
        <v>2583</v>
      </c>
      <c r="B43" t="s">
        <v>2137</v>
      </c>
      <c r="C43">
        <f t="shared" si="6"/>
        <v>16</v>
      </c>
      <c r="D43" t="str">
        <f t="shared" si="7"/>
        <v>Norm</v>
      </c>
      <c r="E43">
        <f t="shared" si="8"/>
        <v>1</v>
      </c>
      <c r="F43" t="str">
        <f t="shared" si="9"/>
        <v>D</v>
      </c>
      <c r="G43" s="115" t="s">
        <v>25</v>
      </c>
      <c r="H43" s="54">
        <v>4500</v>
      </c>
      <c r="I43" s="54">
        <v>4500</v>
      </c>
      <c r="J43" s="115" t="s">
        <v>25</v>
      </c>
      <c r="K43" t="str">
        <f t="shared" si="4"/>
        <v>D</v>
      </c>
      <c r="L43" s="173">
        <f t="shared" si="5"/>
        <v>0</v>
      </c>
    </row>
    <row r="44" spans="1:12" x14ac:dyDescent="0.3">
      <c r="A44" t="s">
        <v>2584</v>
      </c>
      <c r="B44" t="s">
        <v>272</v>
      </c>
      <c r="C44">
        <f t="shared" si="6"/>
        <v>16</v>
      </c>
      <c r="D44" t="str">
        <f t="shared" si="7"/>
        <v>Norm</v>
      </c>
      <c r="E44">
        <f t="shared" si="8"/>
        <v>1</v>
      </c>
      <c r="F44" t="str">
        <f t="shared" si="9"/>
        <v>D</v>
      </c>
      <c r="G44" s="115" t="s">
        <v>25</v>
      </c>
      <c r="H44" s="54">
        <v>6495</v>
      </c>
      <c r="I44" s="54">
        <v>6180</v>
      </c>
      <c r="J44" s="115" t="s">
        <v>1801</v>
      </c>
      <c r="K44" t="str">
        <f t="shared" si="4"/>
        <v>D</v>
      </c>
      <c r="L44" s="173">
        <f t="shared" si="5"/>
        <v>315</v>
      </c>
    </row>
    <row r="45" spans="1:12" x14ac:dyDescent="0.3">
      <c r="A45" t="s">
        <v>2585</v>
      </c>
      <c r="B45" t="s">
        <v>274</v>
      </c>
      <c r="C45">
        <f t="shared" si="6"/>
        <v>16</v>
      </c>
      <c r="D45" t="str">
        <f t="shared" si="7"/>
        <v>Norm</v>
      </c>
      <c r="E45">
        <f t="shared" si="8"/>
        <v>1</v>
      </c>
      <c r="F45" t="str">
        <f t="shared" si="9"/>
        <v>D</v>
      </c>
      <c r="G45" s="115" t="s">
        <v>25</v>
      </c>
      <c r="H45" s="54">
        <v>5543</v>
      </c>
      <c r="I45" s="54">
        <v>5543</v>
      </c>
      <c r="J45" s="115" t="s">
        <v>25</v>
      </c>
      <c r="K45" t="str">
        <f t="shared" si="4"/>
        <v>D</v>
      </c>
      <c r="L45" s="173">
        <f t="shared" si="5"/>
        <v>0</v>
      </c>
    </row>
    <row r="46" spans="1:12" x14ac:dyDescent="0.3">
      <c r="A46" t="s">
        <v>2586</v>
      </c>
      <c r="B46" t="s">
        <v>276</v>
      </c>
      <c r="C46">
        <f t="shared" si="6"/>
        <v>16</v>
      </c>
      <c r="D46" t="str">
        <f t="shared" si="7"/>
        <v>Norm</v>
      </c>
      <c r="E46">
        <f t="shared" si="8"/>
        <v>1</v>
      </c>
      <c r="F46" t="str">
        <f t="shared" si="9"/>
        <v>D</v>
      </c>
      <c r="G46" s="115" t="s">
        <v>25</v>
      </c>
      <c r="H46" s="54">
        <v>3990</v>
      </c>
      <c r="I46" s="54">
        <v>3990</v>
      </c>
      <c r="J46" s="115" t="s">
        <v>25</v>
      </c>
      <c r="K46" t="str">
        <f t="shared" si="4"/>
        <v>D</v>
      </c>
      <c r="L46" s="173">
        <f t="shared" si="5"/>
        <v>0</v>
      </c>
    </row>
    <row r="47" spans="1:12" x14ac:dyDescent="0.3">
      <c r="A47" t="s">
        <v>2587</v>
      </c>
      <c r="B47" t="s">
        <v>278</v>
      </c>
      <c r="C47">
        <f t="shared" si="6"/>
        <v>16</v>
      </c>
      <c r="D47" t="str">
        <f t="shared" si="7"/>
        <v>Norm</v>
      </c>
      <c r="E47">
        <f t="shared" si="8"/>
        <v>1</v>
      </c>
      <c r="F47" t="str">
        <f t="shared" si="9"/>
        <v>D</v>
      </c>
      <c r="G47" s="115" t="s">
        <v>25</v>
      </c>
      <c r="H47" s="54">
        <v>10327.5</v>
      </c>
      <c r="I47" s="54">
        <v>8032.5</v>
      </c>
      <c r="J47" s="115" t="s">
        <v>2138</v>
      </c>
      <c r="K47" t="str">
        <f t="shared" si="4"/>
        <v>D</v>
      </c>
      <c r="L47" s="173">
        <f t="shared" si="5"/>
        <v>2295</v>
      </c>
    </row>
    <row r="48" spans="1:12" x14ac:dyDescent="0.3">
      <c r="A48" t="s">
        <v>2588</v>
      </c>
      <c r="B48" t="s">
        <v>280</v>
      </c>
      <c r="C48">
        <f t="shared" si="6"/>
        <v>16</v>
      </c>
      <c r="D48" t="str">
        <f t="shared" si="7"/>
        <v>Norm</v>
      </c>
      <c r="E48">
        <f t="shared" si="8"/>
        <v>1</v>
      </c>
      <c r="F48" t="str">
        <f t="shared" si="9"/>
        <v>D</v>
      </c>
      <c r="G48" s="115" t="s">
        <v>281</v>
      </c>
      <c r="H48" s="115">
        <v>0</v>
      </c>
      <c r="I48" s="115">
        <v>345</v>
      </c>
      <c r="J48" s="115" t="s">
        <v>25</v>
      </c>
      <c r="K48" t="str">
        <f t="shared" si="4"/>
        <v>D</v>
      </c>
      <c r="L48" s="173">
        <f t="shared" si="5"/>
        <v>0</v>
      </c>
    </row>
    <row r="49" spans="1:12" x14ac:dyDescent="0.3">
      <c r="A49" t="s">
        <v>2589</v>
      </c>
      <c r="B49" t="s">
        <v>286</v>
      </c>
      <c r="C49">
        <f t="shared" si="6"/>
        <v>16</v>
      </c>
      <c r="D49" t="str">
        <f t="shared" si="7"/>
        <v>Norm</v>
      </c>
      <c r="E49">
        <f t="shared" si="8"/>
        <v>1</v>
      </c>
      <c r="F49" t="str">
        <f t="shared" si="9"/>
        <v>D</v>
      </c>
      <c r="G49" s="115" t="s">
        <v>25</v>
      </c>
      <c r="H49" s="115">
        <v>420</v>
      </c>
      <c r="I49" s="115">
        <v>420</v>
      </c>
      <c r="J49" s="115" t="s">
        <v>25</v>
      </c>
      <c r="K49" t="str">
        <f t="shared" si="4"/>
        <v>D</v>
      </c>
      <c r="L49" s="173">
        <f t="shared" si="5"/>
        <v>0</v>
      </c>
    </row>
    <row r="50" spans="1:12" x14ac:dyDescent="0.3">
      <c r="A50" t="s">
        <v>2590</v>
      </c>
      <c r="B50" t="s">
        <v>288</v>
      </c>
      <c r="C50">
        <f t="shared" si="6"/>
        <v>16</v>
      </c>
      <c r="D50" t="str">
        <f t="shared" si="7"/>
        <v>Norm</v>
      </c>
      <c r="E50">
        <f t="shared" si="8"/>
        <v>1</v>
      </c>
      <c r="F50" t="str">
        <f t="shared" si="9"/>
        <v>D</v>
      </c>
      <c r="G50" s="115" t="s">
        <v>198</v>
      </c>
      <c r="H50" s="115">
        <v>0</v>
      </c>
      <c r="I50" s="115">
        <v>0</v>
      </c>
      <c r="J50" s="115" t="s">
        <v>198</v>
      </c>
      <c r="K50" t="str">
        <f t="shared" si="4"/>
        <v>D</v>
      </c>
      <c r="L50" s="173">
        <f t="shared" si="5"/>
        <v>4750</v>
      </c>
    </row>
    <row r="51" spans="1:12" x14ac:dyDescent="0.3">
      <c r="A51" t="s">
        <v>2591</v>
      </c>
      <c r="B51" t="s">
        <v>290</v>
      </c>
      <c r="C51">
        <f t="shared" si="6"/>
        <v>16</v>
      </c>
      <c r="D51" t="str">
        <f t="shared" si="7"/>
        <v>Norm</v>
      </c>
      <c r="E51">
        <f t="shared" si="8"/>
        <v>1</v>
      </c>
      <c r="F51" t="str">
        <f t="shared" si="9"/>
        <v>D</v>
      </c>
      <c r="G51" s="115" t="s">
        <v>25</v>
      </c>
      <c r="H51" s="54">
        <v>11200</v>
      </c>
      <c r="I51" s="54">
        <v>11200</v>
      </c>
      <c r="J51" s="115" t="s">
        <v>25</v>
      </c>
      <c r="K51" t="str">
        <f t="shared" si="4"/>
        <v>D</v>
      </c>
      <c r="L51" s="173">
        <f t="shared" si="5"/>
        <v>0</v>
      </c>
    </row>
    <row r="52" spans="1:12" x14ac:dyDescent="0.3">
      <c r="A52" t="s">
        <v>2592</v>
      </c>
      <c r="B52" t="s">
        <v>295</v>
      </c>
      <c r="C52">
        <f t="shared" si="6"/>
        <v>16</v>
      </c>
      <c r="D52" t="str">
        <f t="shared" si="7"/>
        <v>Norm</v>
      </c>
      <c r="E52">
        <f t="shared" si="8"/>
        <v>1</v>
      </c>
      <c r="F52" t="str">
        <f t="shared" si="9"/>
        <v>D</v>
      </c>
      <c r="G52" s="115" t="s">
        <v>25</v>
      </c>
      <c r="H52" s="54">
        <v>9345</v>
      </c>
      <c r="I52" s="54">
        <v>7245</v>
      </c>
      <c r="J52" s="115" t="s">
        <v>253</v>
      </c>
      <c r="K52" t="str">
        <f t="shared" si="4"/>
        <v>D</v>
      </c>
      <c r="L52" s="173">
        <f t="shared" si="5"/>
        <v>2100</v>
      </c>
    </row>
    <row r="53" spans="1:12" x14ac:dyDescent="0.3">
      <c r="A53" t="s">
        <v>2593</v>
      </c>
      <c r="B53" t="s">
        <v>2139</v>
      </c>
      <c r="C53">
        <f t="shared" si="6"/>
        <v>16</v>
      </c>
      <c r="D53" t="str">
        <f t="shared" si="7"/>
        <v>Norm</v>
      </c>
      <c r="E53">
        <f t="shared" si="8"/>
        <v>1</v>
      </c>
      <c r="F53" t="str">
        <f t="shared" si="9"/>
        <v>D</v>
      </c>
      <c r="G53" s="115" t="s">
        <v>25</v>
      </c>
      <c r="H53" s="115">
        <v>725</v>
      </c>
      <c r="I53" s="115">
        <v>725</v>
      </c>
      <c r="J53" s="115" t="s">
        <v>25</v>
      </c>
      <c r="K53" t="str">
        <f t="shared" si="4"/>
        <v>D</v>
      </c>
      <c r="L53" s="173">
        <f t="shared" si="5"/>
        <v>0</v>
      </c>
    </row>
    <row r="54" spans="1:12" x14ac:dyDescent="0.3">
      <c r="A54" t="s">
        <v>2594</v>
      </c>
      <c r="B54" t="s">
        <v>299</v>
      </c>
      <c r="C54">
        <f t="shared" si="6"/>
        <v>16</v>
      </c>
      <c r="D54" t="str">
        <f t="shared" si="7"/>
        <v>Norm</v>
      </c>
      <c r="E54">
        <f t="shared" si="8"/>
        <v>1</v>
      </c>
      <c r="F54" t="str">
        <f t="shared" si="9"/>
        <v>D</v>
      </c>
      <c r="G54" s="115" t="s">
        <v>300</v>
      </c>
      <c r="H54" s="54">
        <v>38400</v>
      </c>
      <c r="I54" s="54">
        <v>31296</v>
      </c>
      <c r="J54" s="115" t="s">
        <v>2140</v>
      </c>
      <c r="K54" t="str">
        <f t="shared" si="4"/>
        <v>D</v>
      </c>
      <c r="L54" s="173">
        <f t="shared" si="5"/>
        <v>11184</v>
      </c>
    </row>
    <row r="55" spans="1:12" x14ac:dyDescent="0.3">
      <c r="A55" t="s">
        <v>2595</v>
      </c>
      <c r="B55" t="s">
        <v>302</v>
      </c>
      <c r="C55">
        <f t="shared" si="6"/>
        <v>16</v>
      </c>
      <c r="D55" t="str">
        <f t="shared" si="7"/>
        <v>Norm</v>
      </c>
      <c r="E55">
        <f t="shared" si="8"/>
        <v>1</v>
      </c>
      <c r="F55" t="str">
        <f t="shared" si="9"/>
        <v>D</v>
      </c>
      <c r="G55" s="115" t="s">
        <v>303</v>
      </c>
      <c r="H55" s="115">
        <v>0</v>
      </c>
      <c r="I55" s="115">
        <v>0</v>
      </c>
      <c r="J55" s="115" t="s">
        <v>303</v>
      </c>
      <c r="K55" t="str">
        <f t="shared" si="4"/>
        <v>D</v>
      </c>
      <c r="L55" s="173">
        <f t="shared" si="5"/>
        <v>10163</v>
      </c>
    </row>
    <row r="56" spans="1:12" x14ac:dyDescent="0.3">
      <c r="A56" t="s">
        <v>2596</v>
      </c>
      <c r="B56" t="s">
        <v>305</v>
      </c>
      <c r="C56">
        <f t="shared" si="6"/>
        <v>16</v>
      </c>
      <c r="D56" t="str">
        <f t="shared" si="7"/>
        <v>Norm</v>
      </c>
      <c r="E56">
        <f t="shared" si="8"/>
        <v>1</v>
      </c>
      <c r="F56" t="str">
        <f t="shared" si="9"/>
        <v>D</v>
      </c>
      <c r="G56" s="115" t="s">
        <v>25</v>
      </c>
      <c r="H56" s="54">
        <v>19255</v>
      </c>
      <c r="I56" s="54">
        <v>19255</v>
      </c>
      <c r="J56" s="115" t="s">
        <v>25</v>
      </c>
      <c r="K56" t="str">
        <f t="shared" si="4"/>
        <v>D</v>
      </c>
      <c r="L56" s="173">
        <f t="shared" si="5"/>
        <v>0</v>
      </c>
    </row>
    <row r="57" spans="1:12" x14ac:dyDescent="0.3">
      <c r="A57" t="s">
        <v>2597</v>
      </c>
      <c r="B57" t="s">
        <v>307</v>
      </c>
      <c r="C57">
        <f t="shared" si="6"/>
        <v>16</v>
      </c>
      <c r="D57" t="str">
        <f t="shared" si="7"/>
        <v>Norm</v>
      </c>
      <c r="E57">
        <f t="shared" si="8"/>
        <v>1</v>
      </c>
      <c r="F57" t="str">
        <f t="shared" si="9"/>
        <v>D</v>
      </c>
      <c r="G57" s="115" t="s">
        <v>25</v>
      </c>
      <c r="H57" s="54">
        <v>24800</v>
      </c>
      <c r="I57" s="54">
        <v>12400</v>
      </c>
      <c r="J57" s="115" t="s">
        <v>2141</v>
      </c>
      <c r="K57" t="str">
        <f t="shared" si="4"/>
        <v>D</v>
      </c>
      <c r="L57" s="173">
        <f t="shared" si="5"/>
        <v>12400</v>
      </c>
    </row>
    <row r="58" spans="1:12" x14ac:dyDescent="0.3">
      <c r="A58" t="s">
        <v>2598</v>
      </c>
      <c r="B58" t="s">
        <v>309</v>
      </c>
      <c r="C58">
        <f t="shared" si="6"/>
        <v>16</v>
      </c>
      <c r="D58" t="str">
        <f t="shared" si="7"/>
        <v>Norm</v>
      </c>
      <c r="E58">
        <f t="shared" si="8"/>
        <v>1</v>
      </c>
      <c r="F58" t="str">
        <f t="shared" si="9"/>
        <v>D</v>
      </c>
      <c r="G58" s="115" t="s">
        <v>25</v>
      </c>
      <c r="H58" s="54">
        <v>23600</v>
      </c>
      <c r="I58" s="54">
        <v>23600</v>
      </c>
      <c r="J58" s="115" t="s">
        <v>25</v>
      </c>
      <c r="K58" t="str">
        <f t="shared" si="4"/>
        <v>D</v>
      </c>
      <c r="L58" s="173">
        <f t="shared" si="5"/>
        <v>0</v>
      </c>
    </row>
    <row r="59" spans="1:12" x14ac:dyDescent="0.3">
      <c r="A59" t="s">
        <v>2599</v>
      </c>
      <c r="B59" t="s">
        <v>314</v>
      </c>
      <c r="C59">
        <f t="shared" si="6"/>
        <v>16</v>
      </c>
      <c r="D59" t="str">
        <f t="shared" si="7"/>
        <v>Norm</v>
      </c>
      <c r="E59">
        <f t="shared" si="8"/>
        <v>1</v>
      </c>
      <c r="F59" t="str">
        <f t="shared" si="9"/>
        <v>D</v>
      </c>
      <c r="G59" s="115" t="s">
        <v>25</v>
      </c>
      <c r="H59" s="54">
        <v>2700</v>
      </c>
      <c r="I59" s="54">
        <v>1350</v>
      </c>
      <c r="J59" s="115" t="s">
        <v>2142</v>
      </c>
      <c r="K59" t="str">
        <f t="shared" si="4"/>
        <v>D</v>
      </c>
      <c r="L59" s="173">
        <f t="shared" si="5"/>
        <v>1350</v>
      </c>
    </row>
    <row r="60" spans="1:12" x14ac:dyDescent="0.3">
      <c r="A60" t="s">
        <v>2600</v>
      </c>
      <c r="B60" t="s">
        <v>316</v>
      </c>
      <c r="C60">
        <f t="shared" si="6"/>
        <v>16</v>
      </c>
      <c r="D60" t="str">
        <f t="shared" si="7"/>
        <v>Norm</v>
      </c>
      <c r="E60">
        <f t="shared" si="8"/>
        <v>1</v>
      </c>
      <c r="F60" t="str">
        <f t="shared" si="9"/>
        <v>D</v>
      </c>
      <c r="G60" s="115" t="s">
        <v>25</v>
      </c>
      <c r="H60" s="54">
        <v>29250</v>
      </c>
      <c r="I60" s="54">
        <v>29250</v>
      </c>
      <c r="J60" s="115" t="s">
        <v>25</v>
      </c>
      <c r="K60" t="str">
        <f t="shared" si="4"/>
        <v>D</v>
      </c>
      <c r="L60" s="173">
        <f t="shared" si="5"/>
        <v>0</v>
      </c>
    </row>
    <row r="61" spans="1:12" x14ac:dyDescent="0.3">
      <c r="A61" t="s">
        <v>2601</v>
      </c>
      <c r="B61" t="s">
        <v>318</v>
      </c>
      <c r="C61">
        <f t="shared" si="6"/>
        <v>16</v>
      </c>
      <c r="D61" t="str">
        <f t="shared" si="7"/>
        <v>Norm</v>
      </c>
      <c r="E61">
        <f t="shared" si="8"/>
        <v>1</v>
      </c>
      <c r="F61" t="str">
        <f t="shared" si="9"/>
        <v>D</v>
      </c>
      <c r="G61" s="115" t="s">
        <v>25</v>
      </c>
      <c r="H61" s="54">
        <v>11600</v>
      </c>
      <c r="I61" s="54">
        <v>11600</v>
      </c>
      <c r="J61" s="115" t="s">
        <v>25</v>
      </c>
      <c r="K61" t="str">
        <f t="shared" si="4"/>
        <v>D</v>
      </c>
      <c r="L61" s="173">
        <f t="shared" si="5"/>
        <v>0</v>
      </c>
    </row>
    <row r="62" spans="1:12" x14ac:dyDescent="0.3">
      <c r="A62" t="s">
        <v>2602</v>
      </c>
      <c r="B62" t="s">
        <v>324</v>
      </c>
      <c r="C62">
        <f t="shared" si="6"/>
        <v>16</v>
      </c>
      <c r="D62" t="str">
        <f t="shared" si="7"/>
        <v>Norm</v>
      </c>
      <c r="E62">
        <f t="shared" si="8"/>
        <v>1</v>
      </c>
      <c r="F62" t="str">
        <f t="shared" si="9"/>
        <v>D</v>
      </c>
      <c r="G62" s="115" t="s">
        <v>25</v>
      </c>
      <c r="H62" s="54">
        <v>8400</v>
      </c>
      <c r="I62" s="54">
        <v>8400</v>
      </c>
      <c r="J62" s="115" t="s">
        <v>25</v>
      </c>
      <c r="K62" t="str">
        <f t="shared" si="4"/>
        <v>D</v>
      </c>
      <c r="L62" s="173">
        <f t="shared" si="5"/>
        <v>0</v>
      </c>
    </row>
    <row r="63" spans="1:12" x14ac:dyDescent="0.3">
      <c r="A63" t="s">
        <v>2603</v>
      </c>
      <c r="B63" t="s">
        <v>326</v>
      </c>
      <c r="C63">
        <f t="shared" si="6"/>
        <v>16</v>
      </c>
      <c r="D63" t="str">
        <f t="shared" si="7"/>
        <v>Norm</v>
      </c>
      <c r="E63">
        <f t="shared" si="8"/>
        <v>1</v>
      </c>
      <c r="F63" t="str">
        <f t="shared" si="9"/>
        <v>D</v>
      </c>
      <c r="G63" s="115" t="s">
        <v>25</v>
      </c>
      <c r="H63" s="54">
        <v>14817</v>
      </c>
      <c r="I63" s="54">
        <v>14817</v>
      </c>
      <c r="J63" s="115" t="s">
        <v>25</v>
      </c>
      <c r="K63" t="str">
        <f t="shared" si="4"/>
        <v>D</v>
      </c>
      <c r="L63" s="173">
        <f t="shared" si="5"/>
        <v>0</v>
      </c>
    </row>
    <row r="64" spans="1:12" x14ac:dyDescent="0.3">
      <c r="A64" t="s">
        <v>2604</v>
      </c>
      <c r="B64" t="s">
        <v>328</v>
      </c>
      <c r="C64">
        <f t="shared" si="6"/>
        <v>16</v>
      </c>
      <c r="D64" t="str">
        <f t="shared" si="7"/>
        <v>Norm</v>
      </c>
      <c r="E64">
        <f t="shared" si="8"/>
        <v>1</v>
      </c>
      <c r="F64" t="str">
        <f t="shared" si="9"/>
        <v>D</v>
      </c>
      <c r="G64" s="115" t="s">
        <v>329</v>
      </c>
      <c r="H64" s="54">
        <v>71483</v>
      </c>
      <c r="I64" s="54">
        <v>70733</v>
      </c>
      <c r="J64" s="115" t="s">
        <v>2143</v>
      </c>
      <c r="K64" t="str">
        <f t="shared" si="4"/>
        <v>D</v>
      </c>
      <c r="L64" s="173">
        <f t="shared" si="5"/>
        <v>14750</v>
      </c>
    </row>
    <row r="65" spans="1:12" x14ac:dyDescent="0.3">
      <c r="A65" t="s">
        <v>2605</v>
      </c>
      <c r="B65" t="s">
        <v>2144</v>
      </c>
      <c r="C65">
        <f t="shared" si="6"/>
        <v>16</v>
      </c>
      <c r="D65" t="str">
        <f t="shared" si="7"/>
        <v>Norm</v>
      </c>
      <c r="E65">
        <f t="shared" si="8"/>
        <v>1</v>
      </c>
      <c r="F65" t="str">
        <f t="shared" si="9"/>
        <v>D</v>
      </c>
      <c r="G65" s="115" t="s">
        <v>25</v>
      </c>
      <c r="H65" s="54">
        <v>1800000</v>
      </c>
      <c r="I65" s="54">
        <v>1800000</v>
      </c>
      <c r="J65" s="115" t="s">
        <v>25</v>
      </c>
      <c r="K65" t="str">
        <f t="shared" si="4"/>
        <v>D</v>
      </c>
      <c r="L65" s="173">
        <f t="shared" si="5"/>
        <v>0</v>
      </c>
    </row>
    <row r="66" spans="1:12" x14ac:dyDescent="0.3">
      <c r="A66" t="s">
        <v>2606</v>
      </c>
      <c r="B66" t="s">
        <v>333</v>
      </c>
      <c r="C66">
        <f t="shared" si="6"/>
        <v>16</v>
      </c>
      <c r="D66" t="str">
        <f t="shared" si="7"/>
        <v>Norm</v>
      </c>
      <c r="E66">
        <f t="shared" si="8"/>
        <v>1</v>
      </c>
      <c r="F66" t="str">
        <f t="shared" si="9"/>
        <v>D</v>
      </c>
      <c r="G66" s="115" t="s">
        <v>25</v>
      </c>
      <c r="H66" s="54">
        <v>63000</v>
      </c>
      <c r="I66" s="54">
        <v>63000</v>
      </c>
      <c r="J66" s="115" t="s">
        <v>25</v>
      </c>
      <c r="K66" t="str">
        <f t="shared" si="4"/>
        <v>D</v>
      </c>
      <c r="L66" s="173">
        <f t="shared" si="5"/>
        <v>0</v>
      </c>
    </row>
    <row r="67" spans="1:12" x14ac:dyDescent="0.3">
      <c r="A67" t="s">
        <v>2607</v>
      </c>
      <c r="B67" t="s">
        <v>335</v>
      </c>
      <c r="C67">
        <f t="shared" si="6"/>
        <v>16</v>
      </c>
      <c r="D67" t="str">
        <f t="shared" si="7"/>
        <v>Norm</v>
      </c>
      <c r="E67">
        <f t="shared" si="8"/>
        <v>1</v>
      </c>
      <c r="F67" t="str">
        <f t="shared" si="9"/>
        <v>D</v>
      </c>
      <c r="G67" s="115" t="s">
        <v>336</v>
      </c>
      <c r="H67" s="115">
        <v>0</v>
      </c>
      <c r="I67" s="54">
        <v>351000</v>
      </c>
      <c r="J67" s="115" t="s">
        <v>25</v>
      </c>
      <c r="K67" t="str">
        <f t="shared" ref="K67:K130" si="10">RIGHT(J67,1)</f>
        <v>D</v>
      </c>
      <c r="L67" s="173">
        <f t="shared" ref="L67:L130" si="11">IF(J67=0,0,LEFT(J67,LEN(J67)-1)+0)</f>
        <v>0</v>
      </c>
    </row>
    <row r="68" spans="1:12" x14ac:dyDescent="0.3">
      <c r="A68" t="s">
        <v>2608</v>
      </c>
      <c r="B68" t="s">
        <v>338</v>
      </c>
      <c r="C68">
        <f t="shared" si="6"/>
        <v>16</v>
      </c>
      <c r="D68" t="str">
        <f t="shared" si="7"/>
        <v>Norm</v>
      </c>
      <c r="E68">
        <f t="shared" si="8"/>
        <v>1</v>
      </c>
      <c r="F68" t="str">
        <f t="shared" si="9"/>
        <v>D</v>
      </c>
      <c r="G68" s="115" t="s">
        <v>25</v>
      </c>
      <c r="H68" s="54">
        <v>14500</v>
      </c>
      <c r="I68" s="54">
        <v>14500</v>
      </c>
      <c r="J68" s="115" t="s">
        <v>25</v>
      </c>
      <c r="K68" t="str">
        <f t="shared" si="10"/>
        <v>D</v>
      </c>
      <c r="L68" s="173">
        <f t="shared" si="11"/>
        <v>0</v>
      </c>
    </row>
    <row r="69" spans="1:12" x14ac:dyDescent="0.3">
      <c r="A69" t="s">
        <v>2609</v>
      </c>
      <c r="B69" t="s">
        <v>343</v>
      </c>
      <c r="C69">
        <f t="shared" si="6"/>
        <v>16</v>
      </c>
      <c r="D69" t="str">
        <f t="shared" si="7"/>
        <v>Norm</v>
      </c>
      <c r="E69">
        <f t="shared" si="8"/>
        <v>1</v>
      </c>
      <c r="F69" t="str">
        <f t="shared" si="9"/>
        <v>D</v>
      </c>
      <c r="G69" s="115" t="s">
        <v>345</v>
      </c>
      <c r="H69" s="54">
        <v>2739206.5</v>
      </c>
      <c r="I69" s="54">
        <v>5066252.5</v>
      </c>
      <c r="J69" s="115" t="s">
        <v>25</v>
      </c>
      <c r="K69" t="str">
        <f t="shared" si="10"/>
        <v>D</v>
      </c>
      <c r="L69" s="173">
        <f t="shared" si="11"/>
        <v>0</v>
      </c>
    </row>
    <row r="70" spans="1:12" x14ac:dyDescent="0.3">
      <c r="A70" t="s">
        <v>2610</v>
      </c>
      <c r="B70" t="s">
        <v>371</v>
      </c>
      <c r="C70">
        <f t="shared" si="6"/>
        <v>16</v>
      </c>
      <c r="D70" t="str">
        <f t="shared" si="7"/>
        <v>Norm</v>
      </c>
      <c r="E70">
        <f t="shared" si="8"/>
        <v>1</v>
      </c>
      <c r="F70" t="str">
        <f t="shared" si="9"/>
        <v>D</v>
      </c>
      <c r="G70" s="115" t="s">
        <v>25</v>
      </c>
      <c r="H70" s="54">
        <v>31995</v>
      </c>
      <c r="I70" s="54">
        <v>31995</v>
      </c>
      <c r="J70" s="115" t="s">
        <v>25</v>
      </c>
      <c r="K70" t="str">
        <f t="shared" si="10"/>
        <v>D</v>
      </c>
      <c r="L70" s="173">
        <f t="shared" si="11"/>
        <v>0</v>
      </c>
    </row>
    <row r="71" spans="1:12" x14ac:dyDescent="0.3">
      <c r="A71" t="s">
        <v>2611</v>
      </c>
      <c r="B71" t="s">
        <v>373</v>
      </c>
      <c r="C71">
        <f t="shared" si="6"/>
        <v>16</v>
      </c>
      <c r="D71" t="str">
        <f t="shared" si="7"/>
        <v>Norm</v>
      </c>
      <c r="E71">
        <f t="shared" si="8"/>
        <v>1</v>
      </c>
      <c r="F71" t="str">
        <f t="shared" si="9"/>
        <v>D</v>
      </c>
      <c r="G71" s="115" t="s">
        <v>25</v>
      </c>
      <c r="H71" s="54">
        <v>36186</v>
      </c>
      <c r="I71" s="54">
        <v>36186</v>
      </c>
      <c r="J71" s="115" t="s">
        <v>25</v>
      </c>
      <c r="K71" t="str">
        <f t="shared" si="10"/>
        <v>D</v>
      </c>
      <c r="L71" s="173">
        <f t="shared" si="11"/>
        <v>0</v>
      </c>
    </row>
    <row r="72" spans="1:12" x14ac:dyDescent="0.3">
      <c r="A72" t="s">
        <v>2612</v>
      </c>
      <c r="B72" t="s">
        <v>375</v>
      </c>
      <c r="C72">
        <f t="shared" si="6"/>
        <v>16</v>
      </c>
      <c r="D72" t="str">
        <f t="shared" si="7"/>
        <v>Norm</v>
      </c>
      <c r="E72">
        <f t="shared" si="8"/>
        <v>1</v>
      </c>
      <c r="F72" t="str">
        <f t="shared" si="9"/>
        <v>D</v>
      </c>
      <c r="G72" s="115" t="s">
        <v>180</v>
      </c>
      <c r="H72" s="54">
        <v>463065</v>
      </c>
      <c r="I72" s="54">
        <v>415500</v>
      </c>
      <c r="J72" s="115" t="s">
        <v>2145</v>
      </c>
      <c r="K72" t="str">
        <f t="shared" si="10"/>
        <v>D</v>
      </c>
      <c r="L72" s="173">
        <f t="shared" si="11"/>
        <v>65565</v>
      </c>
    </row>
    <row r="73" spans="1:12" x14ac:dyDescent="0.3">
      <c r="A73" t="s">
        <v>2613</v>
      </c>
      <c r="B73" t="s">
        <v>377</v>
      </c>
      <c r="C73">
        <f t="shared" si="6"/>
        <v>16</v>
      </c>
      <c r="D73" t="str">
        <f t="shared" si="7"/>
        <v>Norm</v>
      </c>
      <c r="E73">
        <f t="shared" si="8"/>
        <v>1</v>
      </c>
      <c r="F73" t="str">
        <f t="shared" si="9"/>
        <v>D</v>
      </c>
      <c r="G73" s="115" t="s">
        <v>378</v>
      </c>
      <c r="H73" s="54">
        <v>158399.45000000001</v>
      </c>
      <c r="I73" s="54">
        <v>770305.25</v>
      </c>
      <c r="J73" s="115" t="s">
        <v>2146</v>
      </c>
      <c r="K73" t="str">
        <f t="shared" si="10"/>
        <v>D</v>
      </c>
      <c r="L73" s="173">
        <f t="shared" si="11"/>
        <v>17369.55</v>
      </c>
    </row>
    <row r="74" spans="1:12" x14ac:dyDescent="0.3">
      <c r="A74" t="s">
        <v>2614</v>
      </c>
      <c r="B74" t="s">
        <v>382</v>
      </c>
      <c r="C74">
        <f t="shared" si="6"/>
        <v>16</v>
      </c>
      <c r="D74" t="str">
        <f t="shared" si="7"/>
        <v>Norm</v>
      </c>
      <c r="E74">
        <f t="shared" si="8"/>
        <v>1</v>
      </c>
      <c r="F74" t="str">
        <f t="shared" si="9"/>
        <v>D</v>
      </c>
      <c r="G74" s="115" t="s">
        <v>383</v>
      </c>
      <c r="H74" s="54">
        <v>2351088</v>
      </c>
      <c r="I74" s="54">
        <v>4816711.5</v>
      </c>
      <c r="J74" s="115" t="s">
        <v>2147</v>
      </c>
      <c r="K74" t="str">
        <f t="shared" si="10"/>
        <v>D</v>
      </c>
      <c r="L74" s="173">
        <f t="shared" si="11"/>
        <v>1342062</v>
      </c>
    </row>
    <row r="75" spans="1:12" x14ac:dyDescent="0.3">
      <c r="A75" t="s">
        <v>2615</v>
      </c>
      <c r="B75" t="s">
        <v>385</v>
      </c>
      <c r="C75">
        <f t="shared" si="6"/>
        <v>16</v>
      </c>
      <c r="D75" t="str">
        <f t="shared" si="7"/>
        <v>Norm</v>
      </c>
      <c r="E75">
        <f t="shared" si="8"/>
        <v>1</v>
      </c>
      <c r="F75" t="str">
        <f t="shared" si="9"/>
        <v>D</v>
      </c>
      <c r="G75" s="115" t="s">
        <v>25</v>
      </c>
      <c r="H75" s="54">
        <v>63525.35</v>
      </c>
      <c r="I75" s="54">
        <v>42053.35</v>
      </c>
      <c r="J75" s="115" t="s">
        <v>2148</v>
      </c>
      <c r="K75" t="str">
        <f t="shared" si="10"/>
        <v>D</v>
      </c>
      <c r="L75" s="173">
        <f t="shared" si="11"/>
        <v>21472</v>
      </c>
    </row>
    <row r="76" spans="1:12" x14ac:dyDescent="0.3">
      <c r="A76" t="s">
        <v>2616</v>
      </c>
      <c r="B76" t="s">
        <v>387</v>
      </c>
      <c r="C76">
        <f t="shared" si="6"/>
        <v>16</v>
      </c>
      <c r="D76" t="str">
        <f t="shared" si="7"/>
        <v>Norm</v>
      </c>
      <c r="E76">
        <f t="shared" si="8"/>
        <v>1</v>
      </c>
      <c r="F76" t="str">
        <f t="shared" si="9"/>
        <v>D</v>
      </c>
      <c r="G76" s="115" t="s">
        <v>25</v>
      </c>
      <c r="H76" s="54">
        <v>4500</v>
      </c>
      <c r="I76" s="54">
        <v>4500</v>
      </c>
      <c r="J76" s="115" t="s">
        <v>25</v>
      </c>
      <c r="K76" t="str">
        <f t="shared" si="10"/>
        <v>D</v>
      </c>
      <c r="L76" s="173">
        <f t="shared" si="11"/>
        <v>0</v>
      </c>
    </row>
    <row r="77" spans="1:12" x14ac:dyDescent="0.3">
      <c r="A77" t="s">
        <v>2617</v>
      </c>
      <c r="B77" t="s">
        <v>391</v>
      </c>
      <c r="C77">
        <f t="shared" ref="C77:C140" si="12">LEN(B77)</f>
        <v>16</v>
      </c>
      <c r="D77" t="str">
        <f t="shared" ref="D77:D140" si="13">IF(LEFT(TRIM(A77),1)="(","Red.","Norm")</f>
        <v>Norm</v>
      </c>
      <c r="E77">
        <f t="shared" ref="E77:E140" si="14">LEFT(SUBSTITUTE(B77,"[","",1),1)+0</f>
        <v>1</v>
      </c>
      <c r="F77" t="str">
        <f t="shared" ref="F77:F140" si="15">IF(AND(OR(E77=1,E77=3,E77=5),D77="Norm"),"D",
IF(AND(OR(E77=1,E77=3,E77=5),D77="Red."),"C",
IF(AND(OR(E77=2,E77=4,E77=6),D77="Norm"),"C",
IF(AND(OR(E77=2,E77=4,E77=6),D77="Red."),"D"))))</f>
        <v>D</v>
      </c>
      <c r="G77" s="115" t="s">
        <v>392</v>
      </c>
      <c r="H77" s="54">
        <v>132064</v>
      </c>
      <c r="I77" s="54">
        <v>179104</v>
      </c>
      <c r="J77" s="115" t="s">
        <v>25</v>
      </c>
      <c r="K77" t="str">
        <f t="shared" si="10"/>
        <v>D</v>
      </c>
      <c r="L77" s="173">
        <f t="shared" si="11"/>
        <v>0</v>
      </c>
    </row>
    <row r="78" spans="1:12" x14ac:dyDescent="0.3">
      <c r="A78" t="s">
        <v>2618</v>
      </c>
      <c r="B78" t="s">
        <v>394</v>
      </c>
      <c r="C78">
        <f t="shared" si="12"/>
        <v>16</v>
      </c>
      <c r="D78" t="str">
        <f t="shared" si="13"/>
        <v>Norm</v>
      </c>
      <c r="E78">
        <f t="shared" si="14"/>
        <v>1</v>
      </c>
      <c r="F78" t="str">
        <f t="shared" si="15"/>
        <v>D</v>
      </c>
      <c r="G78" s="115" t="s">
        <v>25</v>
      </c>
      <c r="H78" s="115">
        <v>844.25</v>
      </c>
      <c r="I78" s="115">
        <v>844.25</v>
      </c>
      <c r="J78" s="115" t="s">
        <v>25</v>
      </c>
      <c r="K78" t="str">
        <f t="shared" si="10"/>
        <v>D</v>
      </c>
      <c r="L78" s="173">
        <f t="shared" si="11"/>
        <v>0</v>
      </c>
    </row>
    <row r="79" spans="1:12" x14ac:dyDescent="0.3">
      <c r="A79" t="s">
        <v>2619</v>
      </c>
      <c r="B79" t="s">
        <v>402</v>
      </c>
      <c r="C79">
        <f t="shared" si="12"/>
        <v>16</v>
      </c>
      <c r="D79" t="str">
        <f t="shared" si="13"/>
        <v>Norm</v>
      </c>
      <c r="E79">
        <f t="shared" si="14"/>
        <v>1</v>
      </c>
      <c r="F79" t="str">
        <f t="shared" si="15"/>
        <v>D</v>
      </c>
      <c r="G79" s="115" t="s">
        <v>25</v>
      </c>
      <c r="H79" s="54">
        <v>280000</v>
      </c>
      <c r="I79" s="54">
        <v>280000</v>
      </c>
      <c r="J79" s="115" t="s">
        <v>25</v>
      </c>
      <c r="K79" t="str">
        <f t="shared" si="10"/>
        <v>D</v>
      </c>
      <c r="L79" s="173">
        <f t="shared" si="11"/>
        <v>0</v>
      </c>
    </row>
    <row r="80" spans="1:12" x14ac:dyDescent="0.3">
      <c r="A80" t="s">
        <v>2620</v>
      </c>
      <c r="B80" t="s">
        <v>404</v>
      </c>
      <c r="C80">
        <f t="shared" si="12"/>
        <v>16</v>
      </c>
      <c r="D80" t="str">
        <f t="shared" si="13"/>
        <v>Norm</v>
      </c>
      <c r="E80">
        <f t="shared" si="14"/>
        <v>1</v>
      </c>
      <c r="F80" t="str">
        <f t="shared" si="15"/>
        <v>D</v>
      </c>
      <c r="G80" s="115" t="s">
        <v>405</v>
      </c>
      <c r="H80" s="115">
        <v>0</v>
      </c>
      <c r="I80" s="54">
        <v>93000</v>
      </c>
      <c r="J80" s="115" t="s">
        <v>25</v>
      </c>
      <c r="K80" t="str">
        <f t="shared" si="10"/>
        <v>D</v>
      </c>
      <c r="L80" s="173">
        <f t="shared" si="11"/>
        <v>0</v>
      </c>
    </row>
    <row r="81" spans="1:12" x14ac:dyDescent="0.3">
      <c r="A81" t="s">
        <v>2621</v>
      </c>
      <c r="B81" t="s">
        <v>2149</v>
      </c>
      <c r="C81">
        <f t="shared" si="12"/>
        <v>16</v>
      </c>
      <c r="D81" t="str">
        <f t="shared" si="13"/>
        <v>Norm</v>
      </c>
      <c r="E81">
        <f t="shared" si="14"/>
        <v>1</v>
      </c>
      <c r="F81" t="str">
        <f t="shared" si="15"/>
        <v>D</v>
      </c>
      <c r="G81" s="115" t="s">
        <v>25</v>
      </c>
      <c r="H81" s="54">
        <v>39184</v>
      </c>
      <c r="I81" s="54">
        <v>39184</v>
      </c>
      <c r="J81" s="115" t="s">
        <v>25</v>
      </c>
      <c r="K81" t="str">
        <f t="shared" si="10"/>
        <v>D</v>
      </c>
      <c r="L81" s="173">
        <f t="shared" si="11"/>
        <v>0</v>
      </c>
    </row>
    <row r="82" spans="1:12" x14ac:dyDescent="0.3">
      <c r="A82" t="s">
        <v>2622</v>
      </c>
      <c r="B82" t="s">
        <v>2150</v>
      </c>
      <c r="C82">
        <f t="shared" si="12"/>
        <v>16</v>
      </c>
      <c r="D82" t="str">
        <f t="shared" si="13"/>
        <v>Norm</v>
      </c>
      <c r="E82">
        <f t="shared" si="14"/>
        <v>1</v>
      </c>
      <c r="F82" t="str">
        <f t="shared" si="15"/>
        <v>D</v>
      </c>
      <c r="G82" s="115" t="s">
        <v>25</v>
      </c>
      <c r="H82" s="54">
        <v>77500</v>
      </c>
      <c r="I82" s="115">
        <v>0</v>
      </c>
      <c r="J82" s="115" t="s">
        <v>2151</v>
      </c>
      <c r="K82" t="str">
        <f t="shared" si="10"/>
        <v>D</v>
      </c>
      <c r="L82" s="173">
        <f t="shared" si="11"/>
        <v>77500</v>
      </c>
    </row>
    <row r="83" spans="1:12" x14ac:dyDescent="0.3">
      <c r="A83" t="s">
        <v>2623</v>
      </c>
      <c r="B83" t="s">
        <v>2152</v>
      </c>
      <c r="C83">
        <f t="shared" si="12"/>
        <v>16</v>
      </c>
      <c r="D83" t="str">
        <f t="shared" si="13"/>
        <v>Norm</v>
      </c>
      <c r="E83">
        <f t="shared" si="14"/>
        <v>1</v>
      </c>
      <c r="F83" t="str">
        <f t="shared" si="15"/>
        <v>D</v>
      </c>
      <c r="G83" s="115" t="s">
        <v>25</v>
      </c>
      <c r="H83" s="54">
        <v>6720</v>
      </c>
      <c r="I83" s="54">
        <v>6720</v>
      </c>
      <c r="J83" s="115" t="s">
        <v>25</v>
      </c>
      <c r="K83" t="str">
        <f t="shared" si="10"/>
        <v>D</v>
      </c>
      <c r="L83" s="173">
        <f t="shared" si="11"/>
        <v>0</v>
      </c>
    </row>
    <row r="84" spans="1:12" x14ac:dyDescent="0.3">
      <c r="A84" t="s">
        <v>2624</v>
      </c>
      <c r="B84" t="s">
        <v>2153</v>
      </c>
      <c r="C84">
        <f t="shared" si="12"/>
        <v>16</v>
      </c>
      <c r="D84" t="str">
        <f t="shared" si="13"/>
        <v>Norm</v>
      </c>
      <c r="E84">
        <f t="shared" si="14"/>
        <v>1</v>
      </c>
      <c r="F84" t="str">
        <f t="shared" si="15"/>
        <v>D</v>
      </c>
      <c r="G84" s="115" t="s">
        <v>25</v>
      </c>
      <c r="H84" s="54">
        <v>6980</v>
      </c>
      <c r="I84" s="115">
        <v>0</v>
      </c>
      <c r="J84" s="115" t="s">
        <v>2154</v>
      </c>
      <c r="K84" t="str">
        <f t="shared" si="10"/>
        <v>D</v>
      </c>
      <c r="L84" s="173">
        <f t="shared" si="11"/>
        <v>6980</v>
      </c>
    </row>
    <row r="85" spans="1:12" x14ac:dyDescent="0.3">
      <c r="A85" t="s">
        <v>2625</v>
      </c>
      <c r="B85" t="s">
        <v>2155</v>
      </c>
      <c r="C85">
        <f t="shared" si="12"/>
        <v>16</v>
      </c>
      <c r="D85" t="str">
        <f t="shared" si="13"/>
        <v>Norm</v>
      </c>
      <c r="E85">
        <f t="shared" si="14"/>
        <v>1</v>
      </c>
      <c r="F85" t="str">
        <f t="shared" si="15"/>
        <v>D</v>
      </c>
      <c r="G85" s="115" t="s">
        <v>25</v>
      </c>
      <c r="H85" s="54">
        <v>19200</v>
      </c>
      <c r="I85" s="54">
        <v>19200</v>
      </c>
      <c r="J85" s="115" t="s">
        <v>25</v>
      </c>
      <c r="K85" t="str">
        <f t="shared" si="10"/>
        <v>D</v>
      </c>
      <c r="L85" s="173">
        <f t="shared" si="11"/>
        <v>0</v>
      </c>
    </row>
    <row r="86" spans="1:12" x14ac:dyDescent="0.3">
      <c r="A86" t="s">
        <v>2626</v>
      </c>
      <c r="B86" t="s">
        <v>2156</v>
      </c>
      <c r="C86">
        <f t="shared" si="12"/>
        <v>16</v>
      </c>
      <c r="D86" t="str">
        <f t="shared" si="13"/>
        <v>Norm</v>
      </c>
      <c r="E86">
        <f t="shared" si="14"/>
        <v>1</v>
      </c>
      <c r="F86" t="str">
        <f t="shared" si="15"/>
        <v>D</v>
      </c>
      <c r="G86" s="115" t="s">
        <v>25</v>
      </c>
      <c r="H86" s="54">
        <v>32000</v>
      </c>
      <c r="I86" s="54">
        <v>32000</v>
      </c>
      <c r="J86" s="115" t="s">
        <v>25</v>
      </c>
      <c r="K86" t="str">
        <f t="shared" si="10"/>
        <v>D</v>
      </c>
      <c r="L86" s="173">
        <f t="shared" si="11"/>
        <v>0</v>
      </c>
    </row>
    <row r="87" spans="1:12" x14ac:dyDescent="0.3">
      <c r="A87" t="s">
        <v>2627</v>
      </c>
      <c r="B87" t="s">
        <v>2157</v>
      </c>
      <c r="C87">
        <f t="shared" si="12"/>
        <v>16</v>
      </c>
      <c r="D87" t="str">
        <f t="shared" si="13"/>
        <v>Norm</v>
      </c>
      <c r="E87">
        <f t="shared" si="14"/>
        <v>1</v>
      </c>
      <c r="F87" t="str">
        <f t="shared" si="15"/>
        <v>D</v>
      </c>
      <c r="G87" s="115" t="s">
        <v>25</v>
      </c>
      <c r="H87" s="54">
        <v>64350</v>
      </c>
      <c r="I87" s="54">
        <v>64350</v>
      </c>
      <c r="J87" s="115" t="s">
        <v>25</v>
      </c>
      <c r="K87" t="str">
        <f t="shared" si="10"/>
        <v>D</v>
      </c>
      <c r="L87" s="173">
        <f t="shared" si="11"/>
        <v>0</v>
      </c>
    </row>
    <row r="88" spans="1:12" x14ac:dyDescent="0.3">
      <c r="A88" t="s">
        <v>2628</v>
      </c>
      <c r="B88" t="s">
        <v>2158</v>
      </c>
      <c r="C88">
        <f t="shared" si="12"/>
        <v>16</v>
      </c>
      <c r="D88" t="str">
        <f t="shared" si="13"/>
        <v>Norm</v>
      </c>
      <c r="E88">
        <f t="shared" si="14"/>
        <v>1</v>
      </c>
      <c r="F88" t="str">
        <f t="shared" si="15"/>
        <v>D</v>
      </c>
      <c r="G88" s="115" t="s">
        <v>25</v>
      </c>
      <c r="H88" s="54">
        <v>6750</v>
      </c>
      <c r="I88" s="54">
        <v>6750</v>
      </c>
      <c r="J88" s="115" t="s">
        <v>25</v>
      </c>
      <c r="K88" t="str">
        <f t="shared" si="10"/>
        <v>D</v>
      </c>
      <c r="L88" s="173">
        <f t="shared" si="11"/>
        <v>0</v>
      </c>
    </row>
    <row r="89" spans="1:12" x14ac:dyDescent="0.3">
      <c r="A89" t="s">
        <v>2629</v>
      </c>
      <c r="B89" t="s">
        <v>409</v>
      </c>
      <c r="C89">
        <f t="shared" si="12"/>
        <v>11</v>
      </c>
      <c r="D89" t="str">
        <f t="shared" si="13"/>
        <v>Red.</v>
      </c>
      <c r="E89">
        <f t="shared" si="14"/>
        <v>1</v>
      </c>
      <c r="F89" t="str">
        <f t="shared" si="15"/>
        <v>C</v>
      </c>
      <c r="G89" s="115" t="s">
        <v>25</v>
      </c>
      <c r="H89" s="54">
        <v>1860724.04</v>
      </c>
      <c r="I89" s="54">
        <v>1585101.84</v>
      </c>
      <c r="J89" s="115" t="s">
        <v>2159</v>
      </c>
      <c r="K89" t="str">
        <f t="shared" si="10"/>
        <v>D</v>
      </c>
      <c r="L89" s="173">
        <f t="shared" si="11"/>
        <v>275622.2</v>
      </c>
    </row>
    <row r="90" spans="1:12" x14ac:dyDescent="0.3">
      <c r="A90" t="s">
        <v>2630</v>
      </c>
      <c r="B90" t="s">
        <v>412</v>
      </c>
      <c r="C90">
        <f t="shared" si="12"/>
        <v>16</v>
      </c>
      <c r="D90" t="str">
        <f t="shared" si="13"/>
        <v>Norm</v>
      </c>
      <c r="E90">
        <f t="shared" si="14"/>
        <v>1</v>
      </c>
      <c r="F90" t="str">
        <f t="shared" si="15"/>
        <v>D</v>
      </c>
      <c r="G90" s="115" t="s">
        <v>25</v>
      </c>
      <c r="H90" s="54">
        <v>1860724.04</v>
      </c>
      <c r="I90" s="54">
        <v>1585101.84</v>
      </c>
      <c r="J90" s="115" t="s">
        <v>2159</v>
      </c>
      <c r="K90" t="str">
        <f t="shared" si="10"/>
        <v>D</v>
      </c>
      <c r="L90" s="173">
        <f t="shared" si="11"/>
        <v>275622.2</v>
      </c>
    </row>
    <row r="91" spans="1:12" x14ac:dyDescent="0.3">
      <c r="A91" t="s">
        <v>2631</v>
      </c>
      <c r="B91" t="s">
        <v>421</v>
      </c>
      <c r="C91">
        <f t="shared" si="12"/>
        <v>8</v>
      </c>
      <c r="D91" t="str">
        <f t="shared" si="13"/>
        <v>Norm</v>
      </c>
      <c r="E91">
        <f t="shared" si="14"/>
        <v>1</v>
      </c>
      <c r="F91" t="str">
        <f t="shared" si="15"/>
        <v>D</v>
      </c>
      <c r="G91" s="115" t="s">
        <v>423</v>
      </c>
      <c r="H91" s="54">
        <v>26364226.690000001</v>
      </c>
      <c r="I91" s="54">
        <v>25689530.91</v>
      </c>
      <c r="J91" s="115" t="s">
        <v>2632</v>
      </c>
      <c r="K91" t="str">
        <f t="shared" si="10"/>
        <v>D</v>
      </c>
      <c r="L91" s="173">
        <f t="shared" si="11"/>
        <v>2432944.75</v>
      </c>
    </row>
    <row r="92" spans="1:12" x14ac:dyDescent="0.3">
      <c r="A92" t="s">
        <v>2633</v>
      </c>
      <c r="B92" t="s">
        <v>434</v>
      </c>
      <c r="C92">
        <f t="shared" si="12"/>
        <v>11</v>
      </c>
      <c r="D92" t="str">
        <f t="shared" si="13"/>
        <v>Norm</v>
      </c>
      <c r="E92">
        <f t="shared" si="14"/>
        <v>1</v>
      </c>
      <c r="F92" t="str">
        <f t="shared" si="15"/>
        <v>D</v>
      </c>
      <c r="G92" s="115" t="s">
        <v>441</v>
      </c>
      <c r="H92" s="54">
        <v>686504.54</v>
      </c>
      <c r="I92" s="54">
        <v>647022.84</v>
      </c>
      <c r="J92" s="115" t="s">
        <v>2160</v>
      </c>
      <c r="K92" t="str">
        <f t="shared" si="10"/>
        <v>D</v>
      </c>
      <c r="L92" s="173">
        <f t="shared" si="11"/>
        <v>100920.1</v>
      </c>
    </row>
    <row r="93" spans="1:12" x14ac:dyDescent="0.3">
      <c r="A93" t="s">
        <v>2634</v>
      </c>
      <c r="B93" t="s">
        <v>437</v>
      </c>
      <c r="C93">
        <f t="shared" si="12"/>
        <v>16</v>
      </c>
      <c r="D93" t="str">
        <f t="shared" si="13"/>
        <v>Norm</v>
      </c>
      <c r="E93">
        <f t="shared" si="14"/>
        <v>1</v>
      </c>
      <c r="F93" t="str">
        <f t="shared" si="15"/>
        <v>D</v>
      </c>
      <c r="G93" s="115" t="s">
        <v>25</v>
      </c>
      <c r="H93" s="54">
        <v>229556.06</v>
      </c>
      <c r="I93" s="54">
        <v>229556.06</v>
      </c>
      <c r="J93" s="115" t="s">
        <v>25</v>
      </c>
      <c r="K93" t="str">
        <f t="shared" si="10"/>
        <v>D</v>
      </c>
      <c r="L93" s="173">
        <f t="shared" si="11"/>
        <v>0</v>
      </c>
    </row>
    <row r="94" spans="1:12" x14ac:dyDescent="0.3">
      <c r="A94" t="s">
        <v>2635</v>
      </c>
      <c r="B94" t="s">
        <v>439</v>
      </c>
      <c r="C94">
        <f t="shared" si="12"/>
        <v>16</v>
      </c>
      <c r="D94" t="str">
        <f t="shared" si="13"/>
        <v>Norm</v>
      </c>
      <c r="E94">
        <f t="shared" si="14"/>
        <v>1</v>
      </c>
      <c r="F94" t="str">
        <f t="shared" si="15"/>
        <v>D</v>
      </c>
      <c r="G94" s="115" t="s">
        <v>441</v>
      </c>
      <c r="H94" s="54">
        <v>456948.47999999998</v>
      </c>
      <c r="I94" s="54">
        <v>417466.78</v>
      </c>
      <c r="J94" s="115" t="s">
        <v>2160</v>
      </c>
      <c r="K94" t="str">
        <f t="shared" si="10"/>
        <v>D</v>
      </c>
      <c r="L94" s="173">
        <f t="shared" si="11"/>
        <v>100920.1</v>
      </c>
    </row>
    <row r="95" spans="1:12" x14ac:dyDescent="0.3">
      <c r="A95" t="s">
        <v>2636</v>
      </c>
      <c r="B95" t="s">
        <v>443</v>
      </c>
      <c r="C95">
        <f t="shared" si="12"/>
        <v>11</v>
      </c>
      <c r="D95" t="str">
        <f t="shared" si="13"/>
        <v>Norm</v>
      </c>
      <c r="E95">
        <f t="shared" si="14"/>
        <v>1</v>
      </c>
      <c r="F95" t="str">
        <f t="shared" si="15"/>
        <v>D</v>
      </c>
      <c r="G95" s="115" t="s">
        <v>2637</v>
      </c>
      <c r="H95" s="54">
        <v>1805401.16</v>
      </c>
      <c r="I95" s="54">
        <v>743204.39</v>
      </c>
      <c r="J95" s="115" t="s">
        <v>2638</v>
      </c>
      <c r="K95" t="str">
        <f t="shared" si="10"/>
        <v>D</v>
      </c>
      <c r="L95" s="173">
        <f t="shared" si="11"/>
        <v>2331952.69</v>
      </c>
    </row>
    <row r="96" spans="1:12" x14ac:dyDescent="0.3">
      <c r="A96" t="s">
        <v>2639</v>
      </c>
      <c r="B96" t="s">
        <v>2161</v>
      </c>
      <c r="C96">
        <f t="shared" si="12"/>
        <v>16</v>
      </c>
      <c r="D96" t="str">
        <f t="shared" si="13"/>
        <v>Norm</v>
      </c>
      <c r="E96">
        <f t="shared" si="14"/>
        <v>1</v>
      </c>
      <c r="F96" t="str">
        <f t="shared" si="15"/>
        <v>D</v>
      </c>
      <c r="G96" s="115" t="s">
        <v>25</v>
      </c>
      <c r="H96" s="115">
        <v>185.6</v>
      </c>
      <c r="I96" s="115">
        <v>0</v>
      </c>
      <c r="J96" s="115" t="s">
        <v>2162</v>
      </c>
      <c r="K96" t="str">
        <f t="shared" si="10"/>
        <v>D</v>
      </c>
      <c r="L96" s="173">
        <f t="shared" si="11"/>
        <v>185.6</v>
      </c>
    </row>
    <row r="97" spans="1:12" x14ac:dyDescent="0.3">
      <c r="A97" t="s">
        <v>2640</v>
      </c>
      <c r="B97" t="s">
        <v>446</v>
      </c>
      <c r="C97">
        <f t="shared" si="12"/>
        <v>16</v>
      </c>
      <c r="D97" t="str">
        <f t="shared" si="13"/>
        <v>Norm</v>
      </c>
      <c r="E97">
        <f t="shared" si="14"/>
        <v>1</v>
      </c>
      <c r="F97" t="str">
        <f t="shared" si="15"/>
        <v>D</v>
      </c>
      <c r="G97" s="115" t="s">
        <v>448</v>
      </c>
      <c r="H97" s="115">
        <v>456.74</v>
      </c>
      <c r="I97" s="115">
        <v>0</v>
      </c>
      <c r="J97" s="115" t="s">
        <v>2163</v>
      </c>
      <c r="K97" t="str">
        <f t="shared" si="10"/>
        <v>D</v>
      </c>
      <c r="L97" s="173">
        <f t="shared" si="11"/>
        <v>1796.65</v>
      </c>
    </row>
    <row r="98" spans="1:12" x14ac:dyDescent="0.3">
      <c r="A98" t="s">
        <v>2641</v>
      </c>
      <c r="B98" t="s">
        <v>450</v>
      </c>
      <c r="C98">
        <f t="shared" si="12"/>
        <v>16</v>
      </c>
      <c r="D98" t="str">
        <f t="shared" si="13"/>
        <v>Norm</v>
      </c>
      <c r="E98">
        <f t="shared" si="14"/>
        <v>1</v>
      </c>
      <c r="F98" t="str">
        <f t="shared" si="15"/>
        <v>D</v>
      </c>
      <c r="G98" s="115" t="s">
        <v>452</v>
      </c>
      <c r="H98" s="54">
        <v>40137.07</v>
      </c>
      <c r="I98" s="115">
        <v>0</v>
      </c>
      <c r="J98" s="115" t="s">
        <v>2164</v>
      </c>
      <c r="K98" t="str">
        <f t="shared" si="10"/>
        <v>D</v>
      </c>
      <c r="L98" s="173">
        <f t="shared" si="11"/>
        <v>397399.05</v>
      </c>
    </row>
    <row r="99" spans="1:12" x14ac:dyDescent="0.3">
      <c r="A99" t="s">
        <v>2642</v>
      </c>
      <c r="B99" t="s">
        <v>454</v>
      </c>
      <c r="C99">
        <f t="shared" si="12"/>
        <v>16</v>
      </c>
      <c r="D99" t="str">
        <f t="shared" si="13"/>
        <v>Norm</v>
      </c>
      <c r="E99">
        <f t="shared" si="14"/>
        <v>1</v>
      </c>
      <c r="F99" t="str">
        <f t="shared" si="15"/>
        <v>D</v>
      </c>
      <c r="G99" s="115" t="s">
        <v>456</v>
      </c>
      <c r="H99" s="54">
        <v>1451537.21</v>
      </c>
      <c r="I99" s="54">
        <v>610853.47</v>
      </c>
      <c r="J99" s="115" t="s">
        <v>2165</v>
      </c>
      <c r="K99" t="str">
        <f t="shared" si="10"/>
        <v>D</v>
      </c>
      <c r="L99" s="173">
        <f t="shared" si="11"/>
        <v>1587940.03</v>
      </c>
    </row>
    <row r="100" spans="1:12" x14ac:dyDescent="0.3">
      <c r="A100" t="s">
        <v>2643</v>
      </c>
      <c r="B100" t="s">
        <v>458</v>
      </c>
      <c r="C100">
        <f t="shared" si="12"/>
        <v>16</v>
      </c>
      <c r="D100" t="str">
        <f t="shared" si="13"/>
        <v>Norm</v>
      </c>
      <c r="E100">
        <f t="shared" si="14"/>
        <v>1</v>
      </c>
      <c r="F100" t="str">
        <f t="shared" si="15"/>
        <v>D</v>
      </c>
      <c r="G100" s="115" t="s">
        <v>460</v>
      </c>
      <c r="H100" s="54">
        <v>313084.53999999998</v>
      </c>
      <c r="I100" s="54">
        <v>132350.92000000001</v>
      </c>
      <c r="J100" s="115" t="s">
        <v>2166</v>
      </c>
      <c r="K100" t="str">
        <f t="shared" si="10"/>
        <v>D</v>
      </c>
      <c r="L100" s="173">
        <f t="shared" si="11"/>
        <v>344566.26</v>
      </c>
    </row>
    <row r="101" spans="1:12" x14ac:dyDescent="0.3">
      <c r="A101" t="s">
        <v>2644</v>
      </c>
      <c r="B101" t="s">
        <v>468</v>
      </c>
      <c r="C101">
        <f t="shared" si="12"/>
        <v>16</v>
      </c>
      <c r="D101" t="str">
        <f t="shared" si="13"/>
        <v>Norm</v>
      </c>
      <c r="E101">
        <f t="shared" si="14"/>
        <v>1</v>
      </c>
      <c r="F101" t="str">
        <f t="shared" si="15"/>
        <v>D</v>
      </c>
      <c r="G101" s="115" t="s">
        <v>470</v>
      </c>
      <c r="H101" s="115">
        <v>0</v>
      </c>
      <c r="I101" s="115">
        <v>0</v>
      </c>
      <c r="J101" s="115" t="s">
        <v>470</v>
      </c>
      <c r="K101" t="str">
        <f t="shared" si="10"/>
        <v>D</v>
      </c>
      <c r="L101" s="173">
        <f t="shared" si="11"/>
        <v>65.099999999999994</v>
      </c>
    </row>
    <row r="102" spans="1:12" x14ac:dyDescent="0.3">
      <c r="A102" t="s">
        <v>2645</v>
      </c>
      <c r="B102" t="s">
        <v>472</v>
      </c>
      <c r="C102">
        <f t="shared" si="12"/>
        <v>11</v>
      </c>
      <c r="D102" t="str">
        <f t="shared" si="13"/>
        <v>Norm</v>
      </c>
      <c r="E102">
        <f t="shared" si="14"/>
        <v>1</v>
      </c>
      <c r="F102" t="str">
        <f t="shared" si="15"/>
        <v>D</v>
      </c>
      <c r="G102" s="115" t="s">
        <v>2646</v>
      </c>
      <c r="H102" s="115">
        <v>0</v>
      </c>
      <c r="I102" s="115">
        <v>0</v>
      </c>
      <c r="J102" s="115" t="s">
        <v>2646</v>
      </c>
      <c r="K102" t="str">
        <f t="shared" si="10"/>
        <v>D</v>
      </c>
      <c r="L102" s="173">
        <f t="shared" si="11"/>
        <v>71.959999999999994</v>
      </c>
    </row>
    <row r="103" spans="1:12" x14ac:dyDescent="0.3">
      <c r="A103" t="s">
        <v>2647</v>
      </c>
      <c r="B103" t="s">
        <v>475</v>
      </c>
      <c r="C103">
        <f t="shared" si="12"/>
        <v>16</v>
      </c>
      <c r="D103" t="str">
        <f t="shared" si="13"/>
        <v>Norm</v>
      </c>
      <c r="E103">
        <f t="shared" si="14"/>
        <v>1</v>
      </c>
      <c r="F103" t="str">
        <f t="shared" si="15"/>
        <v>D</v>
      </c>
      <c r="G103" s="115" t="s">
        <v>476</v>
      </c>
      <c r="H103" s="115">
        <v>0</v>
      </c>
      <c r="I103" s="115">
        <v>0</v>
      </c>
      <c r="J103" s="115" t="s">
        <v>476</v>
      </c>
      <c r="K103" t="str">
        <f t="shared" si="10"/>
        <v>D</v>
      </c>
      <c r="L103" s="173">
        <f t="shared" si="11"/>
        <v>32.44</v>
      </c>
    </row>
    <row r="104" spans="1:12" x14ac:dyDescent="0.3">
      <c r="A104" t="s">
        <v>2648</v>
      </c>
      <c r="B104" t="s">
        <v>478</v>
      </c>
      <c r="C104">
        <f t="shared" si="12"/>
        <v>16</v>
      </c>
      <c r="D104" t="str">
        <f t="shared" si="13"/>
        <v>Norm</v>
      </c>
      <c r="E104">
        <f t="shared" si="14"/>
        <v>1</v>
      </c>
      <c r="F104" t="str">
        <f t="shared" si="15"/>
        <v>D</v>
      </c>
      <c r="G104" s="115" t="s">
        <v>479</v>
      </c>
      <c r="H104" s="115">
        <v>0</v>
      </c>
      <c r="I104" s="115">
        <v>0</v>
      </c>
      <c r="J104" s="115" t="s">
        <v>479</v>
      </c>
      <c r="K104" t="str">
        <f t="shared" si="10"/>
        <v>D</v>
      </c>
      <c r="L104" s="173">
        <f t="shared" si="11"/>
        <v>30.14</v>
      </c>
    </row>
    <row r="105" spans="1:12" x14ac:dyDescent="0.3">
      <c r="A105" t="s">
        <v>2649</v>
      </c>
      <c r="B105" t="s">
        <v>481</v>
      </c>
      <c r="C105">
        <f t="shared" si="12"/>
        <v>16</v>
      </c>
      <c r="D105" t="str">
        <f t="shared" si="13"/>
        <v>Norm</v>
      </c>
      <c r="E105">
        <f t="shared" si="14"/>
        <v>1</v>
      </c>
      <c r="F105" t="str">
        <f t="shared" si="15"/>
        <v>D</v>
      </c>
      <c r="G105" s="115" t="s">
        <v>482</v>
      </c>
      <c r="H105" s="115">
        <v>0</v>
      </c>
      <c r="I105" s="115">
        <v>0</v>
      </c>
      <c r="J105" s="115" t="s">
        <v>482</v>
      </c>
      <c r="K105" t="str">
        <f t="shared" si="10"/>
        <v>D</v>
      </c>
      <c r="L105" s="173">
        <f t="shared" si="11"/>
        <v>9.3800000000000008</v>
      </c>
    </row>
    <row r="106" spans="1:12" x14ac:dyDescent="0.3">
      <c r="A106" t="s">
        <v>2650</v>
      </c>
      <c r="B106" t="s">
        <v>484</v>
      </c>
      <c r="C106">
        <f t="shared" si="12"/>
        <v>11</v>
      </c>
      <c r="D106" t="str">
        <f t="shared" si="13"/>
        <v>Norm</v>
      </c>
      <c r="E106">
        <f t="shared" si="14"/>
        <v>1</v>
      </c>
      <c r="F106" t="str">
        <f t="shared" si="15"/>
        <v>D</v>
      </c>
      <c r="G106" s="115" t="s">
        <v>25</v>
      </c>
      <c r="H106" s="54">
        <v>3568271.1</v>
      </c>
      <c r="I106" s="54">
        <v>3568271.1</v>
      </c>
      <c r="J106" s="115" t="s">
        <v>25</v>
      </c>
      <c r="K106" t="str">
        <f t="shared" si="10"/>
        <v>D</v>
      </c>
      <c r="L106" s="173">
        <f t="shared" si="11"/>
        <v>0</v>
      </c>
    </row>
    <row r="107" spans="1:12" x14ac:dyDescent="0.3">
      <c r="A107" t="s">
        <v>2651</v>
      </c>
      <c r="B107" t="s">
        <v>486</v>
      </c>
      <c r="C107">
        <f t="shared" si="12"/>
        <v>16</v>
      </c>
      <c r="D107" t="str">
        <f t="shared" si="13"/>
        <v>Norm</v>
      </c>
      <c r="E107">
        <f t="shared" si="14"/>
        <v>1</v>
      </c>
      <c r="F107" t="str">
        <f t="shared" si="15"/>
        <v>D</v>
      </c>
      <c r="G107" s="115">
        <v>0</v>
      </c>
      <c r="H107" s="54">
        <v>3568271.1</v>
      </c>
      <c r="I107" s="54">
        <v>3568271.1</v>
      </c>
      <c r="J107" s="115">
        <v>0</v>
      </c>
      <c r="K107" t="str">
        <f t="shared" si="10"/>
        <v>0</v>
      </c>
      <c r="L107" s="173">
        <f t="shared" si="11"/>
        <v>0</v>
      </c>
    </row>
    <row r="108" spans="1:12" x14ac:dyDescent="0.3">
      <c r="A108" t="s">
        <v>2652</v>
      </c>
      <c r="B108" t="s">
        <v>488</v>
      </c>
      <c r="C108">
        <f t="shared" si="12"/>
        <v>11</v>
      </c>
      <c r="D108" t="str">
        <f t="shared" si="13"/>
        <v>Norm</v>
      </c>
      <c r="E108">
        <f t="shared" si="14"/>
        <v>1</v>
      </c>
      <c r="F108" t="str">
        <f t="shared" si="15"/>
        <v>D</v>
      </c>
      <c r="G108" s="115">
        <v>0</v>
      </c>
      <c r="H108" s="54">
        <v>7846369.29</v>
      </c>
      <c r="I108" s="54">
        <v>7846369.29</v>
      </c>
      <c r="J108" s="115">
        <v>0</v>
      </c>
      <c r="K108" t="str">
        <f t="shared" si="10"/>
        <v>0</v>
      </c>
      <c r="L108" s="173">
        <f t="shared" si="11"/>
        <v>0</v>
      </c>
    </row>
    <row r="109" spans="1:12" x14ac:dyDescent="0.3">
      <c r="A109" t="s">
        <v>2653</v>
      </c>
      <c r="B109" t="s">
        <v>490</v>
      </c>
      <c r="C109">
        <f t="shared" si="12"/>
        <v>16</v>
      </c>
      <c r="D109" t="str">
        <f t="shared" si="13"/>
        <v>Norm</v>
      </c>
      <c r="E109">
        <f t="shared" si="14"/>
        <v>1</v>
      </c>
      <c r="F109" t="str">
        <f t="shared" si="15"/>
        <v>D</v>
      </c>
      <c r="G109" s="115">
        <v>0</v>
      </c>
      <c r="H109" s="54">
        <v>7846369.29</v>
      </c>
      <c r="I109" s="54">
        <v>7846369.29</v>
      </c>
      <c r="J109" s="115">
        <v>0</v>
      </c>
      <c r="K109" t="str">
        <f t="shared" si="10"/>
        <v>0</v>
      </c>
      <c r="L109" s="173">
        <f t="shared" si="11"/>
        <v>0</v>
      </c>
    </row>
    <row r="110" spans="1:12" x14ac:dyDescent="0.3">
      <c r="A110" t="s">
        <v>2654</v>
      </c>
      <c r="B110" t="s">
        <v>492</v>
      </c>
      <c r="C110">
        <f t="shared" si="12"/>
        <v>11</v>
      </c>
      <c r="D110" t="str">
        <f t="shared" si="13"/>
        <v>Norm</v>
      </c>
      <c r="E110">
        <f t="shared" si="14"/>
        <v>1</v>
      </c>
      <c r="F110" t="str">
        <f t="shared" si="15"/>
        <v>D</v>
      </c>
      <c r="G110" s="115" t="s">
        <v>499</v>
      </c>
      <c r="H110" s="54">
        <v>12457680.6</v>
      </c>
      <c r="I110" s="54">
        <v>12884663.289999999</v>
      </c>
      <c r="J110" s="115" t="s">
        <v>25</v>
      </c>
      <c r="K110" t="str">
        <f t="shared" si="10"/>
        <v>D</v>
      </c>
      <c r="L110" s="173">
        <f t="shared" si="11"/>
        <v>0</v>
      </c>
    </row>
    <row r="111" spans="1:12" x14ac:dyDescent="0.3">
      <c r="A111" t="s">
        <v>2655</v>
      </c>
      <c r="B111" t="s">
        <v>495</v>
      </c>
      <c r="C111">
        <f t="shared" si="12"/>
        <v>16</v>
      </c>
      <c r="D111" t="str">
        <f t="shared" si="13"/>
        <v>Norm</v>
      </c>
      <c r="E111">
        <f t="shared" si="14"/>
        <v>1</v>
      </c>
      <c r="F111" t="str">
        <f t="shared" si="15"/>
        <v>D</v>
      </c>
      <c r="G111" s="115" t="s">
        <v>25</v>
      </c>
      <c r="H111" s="54">
        <v>12457680.6</v>
      </c>
      <c r="I111" s="54">
        <v>12457680.6</v>
      </c>
      <c r="J111" s="115" t="s">
        <v>25</v>
      </c>
      <c r="K111" t="str">
        <f t="shared" si="10"/>
        <v>D</v>
      </c>
      <c r="L111" s="173">
        <f t="shared" si="11"/>
        <v>0</v>
      </c>
    </row>
    <row r="112" spans="1:12" x14ac:dyDescent="0.3">
      <c r="A112" t="s">
        <v>2656</v>
      </c>
      <c r="B112" t="s">
        <v>498</v>
      </c>
      <c r="C112">
        <f t="shared" si="12"/>
        <v>16</v>
      </c>
      <c r="D112" t="str">
        <f t="shared" si="13"/>
        <v>Norm</v>
      </c>
      <c r="E112">
        <f t="shared" si="14"/>
        <v>1</v>
      </c>
      <c r="F112" t="str">
        <f t="shared" si="15"/>
        <v>D</v>
      </c>
      <c r="G112" s="115" t="s">
        <v>499</v>
      </c>
      <c r="H112" s="115">
        <v>0</v>
      </c>
      <c r="I112" s="54">
        <v>426982.69</v>
      </c>
      <c r="J112" s="115" t="s">
        <v>25</v>
      </c>
      <c r="K112" t="str">
        <f t="shared" si="10"/>
        <v>D</v>
      </c>
      <c r="L112" s="173">
        <f t="shared" si="11"/>
        <v>0</v>
      </c>
    </row>
    <row r="113" spans="1:12" x14ac:dyDescent="0.3">
      <c r="A113" t="s">
        <v>2657</v>
      </c>
      <c r="B113" t="s">
        <v>501</v>
      </c>
      <c r="C113">
        <f t="shared" si="12"/>
        <v>8</v>
      </c>
      <c r="D113" t="str">
        <f t="shared" si="13"/>
        <v>Norm</v>
      </c>
      <c r="E113">
        <f t="shared" si="14"/>
        <v>1</v>
      </c>
      <c r="F113" t="str">
        <f t="shared" si="15"/>
        <v>D</v>
      </c>
      <c r="G113" s="115" t="s">
        <v>505</v>
      </c>
      <c r="H113" s="54">
        <v>14125645.710000001</v>
      </c>
      <c r="I113" s="54">
        <v>17852925.289999999</v>
      </c>
      <c r="J113" s="115" t="s">
        <v>2658</v>
      </c>
      <c r="K113" t="str">
        <f t="shared" si="10"/>
        <v>D</v>
      </c>
      <c r="L113" s="173">
        <f t="shared" si="11"/>
        <v>120930.33</v>
      </c>
    </row>
    <row r="114" spans="1:12" x14ac:dyDescent="0.3">
      <c r="A114" t="s">
        <v>2659</v>
      </c>
      <c r="B114" t="s">
        <v>503</v>
      </c>
      <c r="C114">
        <f t="shared" si="12"/>
        <v>11</v>
      </c>
      <c r="D114" t="str">
        <f t="shared" si="13"/>
        <v>Norm</v>
      </c>
      <c r="E114">
        <f t="shared" si="14"/>
        <v>1</v>
      </c>
      <c r="F114" t="str">
        <f t="shared" si="15"/>
        <v>D</v>
      </c>
      <c r="G114" s="115" t="s">
        <v>505</v>
      </c>
      <c r="H114" s="54">
        <v>14125645.710000001</v>
      </c>
      <c r="I114" s="54">
        <v>17852925.289999999</v>
      </c>
      <c r="J114" s="115" t="s">
        <v>2658</v>
      </c>
      <c r="K114" t="str">
        <f t="shared" si="10"/>
        <v>D</v>
      </c>
      <c r="L114" s="173">
        <f t="shared" si="11"/>
        <v>120930.33</v>
      </c>
    </row>
    <row r="115" spans="1:12" x14ac:dyDescent="0.3">
      <c r="A115" t="s">
        <v>2660</v>
      </c>
      <c r="B115" t="s">
        <v>507</v>
      </c>
      <c r="C115">
        <f t="shared" si="12"/>
        <v>16</v>
      </c>
      <c r="D115" t="str">
        <f t="shared" si="13"/>
        <v>Red.</v>
      </c>
      <c r="E115">
        <f t="shared" si="14"/>
        <v>1</v>
      </c>
      <c r="F115" t="str">
        <f t="shared" si="15"/>
        <v>C</v>
      </c>
      <c r="G115" s="115" t="s">
        <v>508</v>
      </c>
      <c r="H115" s="115">
        <v>0</v>
      </c>
      <c r="I115" s="115">
        <v>0</v>
      </c>
      <c r="J115" s="115" t="s">
        <v>508</v>
      </c>
      <c r="K115" t="str">
        <f t="shared" si="10"/>
        <v>C</v>
      </c>
      <c r="L115" s="173">
        <f>-IF(J115=0,0,LEFT(J115,LEN(J115)-1)+0)</f>
        <v>-18391.52</v>
      </c>
    </row>
    <row r="116" spans="1:12" x14ac:dyDescent="0.3">
      <c r="A116" t="s">
        <v>2661</v>
      </c>
      <c r="B116" t="s">
        <v>510</v>
      </c>
      <c r="C116">
        <f t="shared" si="12"/>
        <v>16</v>
      </c>
      <c r="D116" t="str">
        <f t="shared" si="13"/>
        <v>Norm</v>
      </c>
      <c r="E116">
        <f t="shared" si="14"/>
        <v>1</v>
      </c>
      <c r="F116" t="str">
        <f t="shared" si="15"/>
        <v>D</v>
      </c>
      <c r="G116" s="115" t="s">
        <v>512</v>
      </c>
      <c r="H116" s="54">
        <v>379035.59</v>
      </c>
      <c r="I116" s="54">
        <v>3274743.33</v>
      </c>
      <c r="J116" s="115" t="s">
        <v>25</v>
      </c>
      <c r="K116" t="str">
        <f t="shared" si="10"/>
        <v>D</v>
      </c>
      <c r="L116" s="173">
        <f t="shared" si="11"/>
        <v>0</v>
      </c>
    </row>
    <row r="117" spans="1:12" x14ac:dyDescent="0.3">
      <c r="A117" t="s">
        <v>2662</v>
      </c>
      <c r="B117" t="s">
        <v>514</v>
      </c>
      <c r="C117">
        <f t="shared" si="12"/>
        <v>16</v>
      </c>
      <c r="D117" t="str">
        <f t="shared" si="13"/>
        <v>Norm</v>
      </c>
      <c r="E117">
        <f t="shared" si="14"/>
        <v>1</v>
      </c>
      <c r="F117" t="str">
        <f t="shared" si="15"/>
        <v>D</v>
      </c>
      <c r="G117" s="115" t="s">
        <v>516</v>
      </c>
      <c r="H117" s="54">
        <v>7868098.1399999997</v>
      </c>
      <c r="I117" s="54">
        <v>7887418.1399999997</v>
      </c>
      <c r="J117" s="115" t="s">
        <v>884</v>
      </c>
      <c r="K117" t="str">
        <f t="shared" si="10"/>
        <v>C</v>
      </c>
      <c r="L117" s="173">
        <f t="shared" si="11"/>
        <v>0</v>
      </c>
    </row>
    <row r="118" spans="1:12" x14ac:dyDescent="0.3">
      <c r="A118" t="s">
        <v>2663</v>
      </c>
      <c r="B118" t="s">
        <v>518</v>
      </c>
      <c r="C118">
        <f t="shared" si="12"/>
        <v>16</v>
      </c>
      <c r="D118" t="str">
        <f t="shared" si="13"/>
        <v>Norm</v>
      </c>
      <c r="E118">
        <f t="shared" si="14"/>
        <v>1</v>
      </c>
      <c r="F118" t="str">
        <f t="shared" si="15"/>
        <v>D</v>
      </c>
      <c r="G118" s="115" t="s">
        <v>520</v>
      </c>
      <c r="H118" s="54">
        <v>74893.3</v>
      </c>
      <c r="I118" s="54">
        <v>33550.79</v>
      </c>
      <c r="J118" s="115" t="s">
        <v>2169</v>
      </c>
      <c r="K118" t="str">
        <f t="shared" si="10"/>
        <v>D</v>
      </c>
      <c r="L118" s="173">
        <f t="shared" si="11"/>
        <v>98288.81</v>
      </c>
    </row>
    <row r="119" spans="1:12" x14ac:dyDescent="0.3">
      <c r="A119" t="s">
        <v>2664</v>
      </c>
      <c r="B119" t="s">
        <v>522</v>
      </c>
      <c r="C119">
        <f t="shared" si="12"/>
        <v>16</v>
      </c>
      <c r="D119" t="str">
        <f t="shared" si="13"/>
        <v>Norm</v>
      </c>
      <c r="E119">
        <f t="shared" si="14"/>
        <v>1</v>
      </c>
      <c r="F119" t="str">
        <f t="shared" si="15"/>
        <v>D</v>
      </c>
      <c r="G119" s="115" t="s">
        <v>524</v>
      </c>
      <c r="H119" s="115">
        <v>0</v>
      </c>
      <c r="I119" s="115">
        <v>119.04</v>
      </c>
      <c r="J119" s="115" t="s">
        <v>2170</v>
      </c>
      <c r="K119" t="str">
        <f t="shared" si="10"/>
        <v>D</v>
      </c>
      <c r="L119" s="173">
        <f t="shared" si="11"/>
        <v>37745.599999999999</v>
      </c>
    </row>
    <row r="120" spans="1:12" x14ac:dyDescent="0.3">
      <c r="A120" t="s">
        <v>2665</v>
      </c>
      <c r="B120" t="s">
        <v>526</v>
      </c>
      <c r="C120">
        <f t="shared" si="12"/>
        <v>16</v>
      </c>
      <c r="D120" t="str">
        <f t="shared" si="13"/>
        <v>Norm</v>
      </c>
      <c r="E120">
        <f t="shared" si="14"/>
        <v>1</v>
      </c>
      <c r="F120" t="str">
        <f t="shared" si="15"/>
        <v>D</v>
      </c>
      <c r="G120" s="115" t="s">
        <v>528</v>
      </c>
      <c r="H120" s="54">
        <v>1714.72</v>
      </c>
      <c r="I120" s="115">
        <v>0</v>
      </c>
      <c r="J120" s="115" t="s">
        <v>2171</v>
      </c>
      <c r="K120" t="str">
        <f t="shared" si="10"/>
        <v>D</v>
      </c>
      <c r="L120" s="173">
        <f t="shared" si="11"/>
        <v>3138.45</v>
      </c>
    </row>
    <row r="121" spans="1:12" x14ac:dyDescent="0.3">
      <c r="A121" t="s">
        <v>2666</v>
      </c>
      <c r="B121" t="s">
        <v>530</v>
      </c>
      <c r="C121">
        <f t="shared" si="12"/>
        <v>16</v>
      </c>
      <c r="D121" t="str">
        <f t="shared" si="13"/>
        <v>Norm</v>
      </c>
      <c r="E121">
        <f t="shared" si="14"/>
        <v>1</v>
      </c>
      <c r="F121" t="str">
        <f t="shared" si="15"/>
        <v>D</v>
      </c>
      <c r="G121" s="115" t="s">
        <v>531</v>
      </c>
      <c r="H121" s="115">
        <v>0</v>
      </c>
      <c r="I121" s="115">
        <v>0</v>
      </c>
      <c r="J121" s="115" t="s">
        <v>531</v>
      </c>
      <c r="K121" t="str">
        <f t="shared" si="10"/>
        <v>D</v>
      </c>
      <c r="L121" s="173">
        <f t="shared" si="11"/>
        <v>148.99</v>
      </c>
    </row>
    <row r="122" spans="1:12" x14ac:dyDescent="0.3">
      <c r="A122" t="s">
        <v>2667</v>
      </c>
      <c r="B122" t="s">
        <v>533</v>
      </c>
      <c r="C122">
        <f t="shared" si="12"/>
        <v>16</v>
      </c>
      <c r="D122" t="str">
        <f t="shared" si="13"/>
        <v>Norm</v>
      </c>
      <c r="E122">
        <f t="shared" si="14"/>
        <v>1</v>
      </c>
      <c r="F122" t="str">
        <f t="shared" si="15"/>
        <v>D</v>
      </c>
      <c r="G122" s="115" t="s">
        <v>535</v>
      </c>
      <c r="H122" s="54">
        <v>7604.48</v>
      </c>
      <c r="I122" s="54">
        <v>48701.8</v>
      </c>
      <c r="J122" s="115" t="s">
        <v>25</v>
      </c>
      <c r="K122" t="str">
        <f t="shared" si="10"/>
        <v>D</v>
      </c>
      <c r="L122" s="173">
        <f t="shared" si="11"/>
        <v>0</v>
      </c>
    </row>
    <row r="123" spans="1:12" x14ac:dyDescent="0.3">
      <c r="A123" t="s">
        <v>2668</v>
      </c>
      <c r="B123" t="s">
        <v>537</v>
      </c>
      <c r="C123">
        <f t="shared" si="12"/>
        <v>16</v>
      </c>
      <c r="D123" t="str">
        <f t="shared" si="13"/>
        <v>Norm</v>
      </c>
      <c r="E123">
        <f t="shared" si="14"/>
        <v>1</v>
      </c>
      <c r="F123" t="str">
        <f t="shared" si="15"/>
        <v>D</v>
      </c>
      <c r="G123" s="115" t="s">
        <v>539</v>
      </c>
      <c r="H123" s="54">
        <v>8628.76</v>
      </c>
      <c r="I123" s="54">
        <v>8750.6</v>
      </c>
      <c r="J123" s="115" t="s">
        <v>25</v>
      </c>
      <c r="K123" t="str">
        <f t="shared" si="10"/>
        <v>D</v>
      </c>
      <c r="L123" s="173">
        <f t="shared" si="11"/>
        <v>0</v>
      </c>
    </row>
    <row r="124" spans="1:12" x14ac:dyDescent="0.3">
      <c r="A124" t="s">
        <v>2669</v>
      </c>
      <c r="B124" t="s">
        <v>541</v>
      </c>
      <c r="C124">
        <f t="shared" si="12"/>
        <v>16</v>
      </c>
      <c r="D124" t="str">
        <f t="shared" si="13"/>
        <v>Norm</v>
      </c>
      <c r="E124">
        <f t="shared" si="14"/>
        <v>1</v>
      </c>
      <c r="F124" t="str">
        <f t="shared" si="15"/>
        <v>D</v>
      </c>
      <c r="G124" s="115" t="s">
        <v>542</v>
      </c>
      <c r="H124" s="115">
        <v>0</v>
      </c>
      <c r="I124" s="115">
        <v>362.89</v>
      </c>
      <c r="J124" s="115" t="s">
        <v>25</v>
      </c>
      <c r="K124" t="str">
        <f t="shared" si="10"/>
        <v>D</v>
      </c>
      <c r="L124" s="173">
        <f t="shared" si="11"/>
        <v>0</v>
      </c>
    </row>
    <row r="125" spans="1:12" x14ac:dyDescent="0.3">
      <c r="A125" t="s">
        <v>2670</v>
      </c>
      <c r="B125" t="s">
        <v>544</v>
      </c>
      <c r="C125">
        <f t="shared" si="12"/>
        <v>16</v>
      </c>
      <c r="D125" t="str">
        <f t="shared" si="13"/>
        <v>Norm</v>
      </c>
      <c r="E125">
        <f t="shared" si="14"/>
        <v>1</v>
      </c>
      <c r="F125" t="str">
        <f t="shared" si="15"/>
        <v>D</v>
      </c>
      <c r="G125" s="115" t="s">
        <v>545</v>
      </c>
      <c r="H125" s="54">
        <v>651349.81000000006</v>
      </c>
      <c r="I125" s="54">
        <v>895361.89</v>
      </c>
      <c r="J125" s="115" t="s">
        <v>25</v>
      </c>
      <c r="K125" t="str">
        <f t="shared" si="10"/>
        <v>D</v>
      </c>
      <c r="L125" s="173">
        <f t="shared" si="11"/>
        <v>0</v>
      </c>
    </row>
    <row r="126" spans="1:12" x14ac:dyDescent="0.3">
      <c r="A126" t="s">
        <v>2671</v>
      </c>
      <c r="B126" t="s">
        <v>547</v>
      </c>
      <c r="C126">
        <f t="shared" si="12"/>
        <v>16</v>
      </c>
      <c r="D126" t="str">
        <f t="shared" si="13"/>
        <v>Norm</v>
      </c>
      <c r="E126">
        <f t="shared" si="14"/>
        <v>1</v>
      </c>
      <c r="F126" t="str">
        <f t="shared" si="15"/>
        <v>D</v>
      </c>
      <c r="G126" s="115" t="s">
        <v>548</v>
      </c>
      <c r="H126" s="54">
        <v>5127668.5</v>
      </c>
      <c r="I126" s="54">
        <v>5697264.4000000004</v>
      </c>
      <c r="J126" s="115" t="s">
        <v>25</v>
      </c>
      <c r="K126" t="str">
        <f t="shared" si="10"/>
        <v>D</v>
      </c>
      <c r="L126" s="173">
        <f t="shared" si="11"/>
        <v>0</v>
      </c>
    </row>
    <row r="127" spans="1:12" x14ac:dyDescent="0.3">
      <c r="A127" t="s">
        <v>2672</v>
      </c>
      <c r="B127" t="s">
        <v>2172</v>
      </c>
      <c r="C127">
        <f t="shared" si="12"/>
        <v>16</v>
      </c>
      <c r="D127" t="str">
        <f t="shared" si="13"/>
        <v>Norm</v>
      </c>
      <c r="E127">
        <f t="shared" si="14"/>
        <v>1</v>
      </c>
      <c r="F127" t="str">
        <f t="shared" si="15"/>
        <v>D</v>
      </c>
      <c r="G127" s="115" t="s">
        <v>25</v>
      </c>
      <c r="H127" s="54">
        <v>6652.41</v>
      </c>
      <c r="I127" s="54">
        <v>6652.41</v>
      </c>
      <c r="J127" s="115" t="s">
        <v>25</v>
      </c>
      <c r="K127" t="str">
        <f t="shared" si="10"/>
        <v>D</v>
      </c>
      <c r="L127" s="173">
        <f t="shared" si="11"/>
        <v>0</v>
      </c>
    </row>
    <row r="128" spans="1:12" x14ac:dyDescent="0.3">
      <c r="A128" t="s">
        <v>2673</v>
      </c>
      <c r="B128" t="s">
        <v>550</v>
      </c>
      <c r="C128">
        <f t="shared" si="12"/>
        <v>8</v>
      </c>
      <c r="D128" t="str">
        <f t="shared" si="13"/>
        <v>Norm</v>
      </c>
      <c r="E128">
        <f t="shared" si="14"/>
        <v>1</v>
      </c>
      <c r="F128" t="str">
        <f t="shared" si="15"/>
        <v>D</v>
      </c>
      <c r="G128" s="115" t="s">
        <v>554</v>
      </c>
      <c r="H128" s="54">
        <v>5535.08</v>
      </c>
      <c r="I128" s="54">
        <v>42933.72</v>
      </c>
      <c r="J128" s="115" t="s">
        <v>2674</v>
      </c>
      <c r="K128" t="str">
        <f t="shared" si="10"/>
        <v>D</v>
      </c>
      <c r="L128" s="173">
        <f t="shared" si="11"/>
        <v>16372.58</v>
      </c>
    </row>
    <row r="129" spans="1:12" x14ac:dyDescent="0.3">
      <c r="A129" t="s">
        <v>2675</v>
      </c>
      <c r="B129" t="s">
        <v>552</v>
      </c>
      <c r="C129">
        <f t="shared" si="12"/>
        <v>11</v>
      </c>
      <c r="D129" t="str">
        <f t="shared" si="13"/>
        <v>Norm</v>
      </c>
      <c r="E129">
        <f t="shared" si="14"/>
        <v>1</v>
      </c>
      <c r="F129" t="str">
        <f t="shared" si="15"/>
        <v>D</v>
      </c>
      <c r="G129" s="115" t="s">
        <v>554</v>
      </c>
      <c r="H129" s="54">
        <v>5535.08</v>
      </c>
      <c r="I129" s="54">
        <v>42933.72</v>
      </c>
      <c r="J129" s="115" t="s">
        <v>2674</v>
      </c>
      <c r="K129" t="str">
        <f t="shared" si="10"/>
        <v>D</v>
      </c>
      <c r="L129" s="173">
        <f t="shared" si="11"/>
        <v>16372.58</v>
      </c>
    </row>
    <row r="130" spans="1:12" x14ac:dyDescent="0.3">
      <c r="A130" t="s">
        <v>2676</v>
      </c>
      <c r="B130" t="s">
        <v>556</v>
      </c>
      <c r="C130">
        <f t="shared" si="12"/>
        <v>16</v>
      </c>
      <c r="D130" t="str">
        <f t="shared" si="13"/>
        <v>Norm</v>
      </c>
      <c r="E130">
        <f t="shared" si="14"/>
        <v>1</v>
      </c>
      <c r="F130" t="str">
        <f t="shared" si="15"/>
        <v>D</v>
      </c>
      <c r="G130" s="115" t="s">
        <v>554</v>
      </c>
      <c r="H130" s="115">
        <v>37.5</v>
      </c>
      <c r="I130" s="54">
        <v>42933.72</v>
      </c>
      <c r="J130" s="115" t="s">
        <v>2677</v>
      </c>
      <c r="K130" t="str">
        <f t="shared" si="10"/>
        <v>D</v>
      </c>
      <c r="L130" s="173">
        <f t="shared" si="11"/>
        <v>10875</v>
      </c>
    </row>
    <row r="131" spans="1:12" x14ac:dyDescent="0.3">
      <c r="A131" t="s">
        <v>2678</v>
      </c>
      <c r="B131" t="s">
        <v>2173</v>
      </c>
      <c r="C131">
        <f t="shared" si="12"/>
        <v>16</v>
      </c>
      <c r="D131" t="str">
        <f t="shared" si="13"/>
        <v>Norm</v>
      </c>
      <c r="E131">
        <f t="shared" si="14"/>
        <v>1</v>
      </c>
      <c r="F131" t="str">
        <f t="shared" si="15"/>
        <v>D</v>
      </c>
      <c r="G131" s="115" t="s">
        <v>25</v>
      </c>
      <c r="H131" s="54">
        <v>5497.58</v>
      </c>
      <c r="I131" s="115">
        <v>0</v>
      </c>
      <c r="J131" s="115" t="s">
        <v>2679</v>
      </c>
      <c r="K131" t="str">
        <f t="shared" ref="K131:K194" si="16">RIGHT(J131,1)</f>
        <v>D</v>
      </c>
      <c r="L131" s="173">
        <f t="shared" ref="L131:L194" si="17">IF(J131=0,0,LEFT(J131,LEN(J131)-1)+0)</f>
        <v>5497.58</v>
      </c>
    </row>
    <row r="132" spans="1:12" x14ac:dyDescent="0.3">
      <c r="A132" t="s">
        <v>2680</v>
      </c>
      <c r="B132" t="s">
        <v>559</v>
      </c>
      <c r="C132">
        <f t="shared" si="12"/>
        <v>8</v>
      </c>
      <c r="D132" t="str">
        <f t="shared" si="13"/>
        <v>Norm</v>
      </c>
      <c r="E132">
        <f t="shared" si="14"/>
        <v>1</v>
      </c>
      <c r="F132" t="str">
        <f t="shared" si="15"/>
        <v>D</v>
      </c>
      <c r="G132" s="115" t="s">
        <v>563</v>
      </c>
      <c r="H132" s="54">
        <v>150276.57</v>
      </c>
      <c r="I132" s="54">
        <v>170433.83</v>
      </c>
      <c r="J132" s="115" t="s">
        <v>2681</v>
      </c>
      <c r="K132" t="str">
        <f t="shared" si="16"/>
        <v>D</v>
      </c>
      <c r="L132" s="173">
        <f t="shared" si="17"/>
        <v>349578.28</v>
      </c>
    </row>
    <row r="133" spans="1:12" x14ac:dyDescent="0.3">
      <c r="A133" t="s">
        <v>2682</v>
      </c>
      <c r="B133" t="s">
        <v>561</v>
      </c>
      <c r="C133">
        <f t="shared" si="12"/>
        <v>11</v>
      </c>
      <c r="D133" t="str">
        <f t="shared" si="13"/>
        <v>Norm</v>
      </c>
      <c r="E133">
        <f t="shared" si="14"/>
        <v>1</v>
      </c>
      <c r="F133" t="str">
        <f t="shared" si="15"/>
        <v>D</v>
      </c>
      <c r="G133" s="115" t="s">
        <v>563</v>
      </c>
      <c r="H133" s="54">
        <v>150276.57</v>
      </c>
      <c r="I133" s="54">
        <v>170433.83</v>
      </c>
      <c r="J133" s="115" t="s">
        <v>2681</v>
      </c>
      <c r="K133" t="str">
        <f t="shared" si="16"/>
        <v>D</v>
      </c>
      <c r="L133" s="173">
        <f t="shared" si="17"/>
        <v>349578.28</v>
      </c>
    </row>
    <row r="134" spans="1:12" x14ac:dyDescent="0.3">
      <c r="A134" t="s">
        <v>2683</v>
      </c>
      <c r="B134" t="s">
        <v>565</v>
      </c>
      <c r="C134">
        <f t="shared" si="12"/>
        <v>16</v>
      </c>
      <c r="D134" t="str">
        <f t="shared" si="13"/>
        <v>Norm</v>
      </c>
      <c r="E134">
        <f t="shared" si="14"/>
        <v>1</v>
      </c>
      <c r="F134" t="str">
        <f t="shared" si="15"/>
        <v>D</v>
      </c>
      <c r="G134" s="115" t="s">
        <v>567</v>
      </c>
      <c r="H134" s="54">
        <v>1333.21</v>
      </c>
      <c r="I134" s="54">
        <v>154469.5</v>
      </c>
      <c r="J134" s="115" t="s">
        <v>2174</v>
      </c>
      <c r="K134" t="str">
        <f t="shared" si="16"/>
        <v>D</v>
      </c>
      <c r="L134" s="173">
        <f t="shared" si="17"/>
        <v>364995.54</v>
      </c>
    </row>
    <row r="135" spans="1:12" x14ac:dyDescent="0.3">
      <c r="A135" t="s">
        <v>2684</v>
      </c>
      <c r="B135" t="s">
        <v>569</v>
      </c>
      <c r="C135">
        <f t="shared" si="12"/>
        <v>16</v>
      </c>
      <c r="D135" t="str">
        <f t="shared" si="13"/>
        <v>Red.</v>
      </c>
      <c r="E135">
        <f t="shared" si="14"/>
        <v>1</v>
      </c>
      <c r="F135" t="str">
        <f t="shared" si="15"/>
        <v>C</v>
      </c>
      <c r="G135" s="115" t="s">
        <v>571</v>
      </c>
      <c r="H135" s="54">
        <v>148943.35999999999</v>
      </c>
      <c r="I135" s="54">
        <v>15964.33</v>
      </c>
      <c r="J135" s="115" t="s">
        <v>2175</v>
      </c>
      <c r="K135" t="str">
        <f t="shared" si="16"/>
        <v>C</v>
      </c>
      <c r="L135" s="173">
        <f>-IF(J135=0,0,LEFT(J135,LEN(J135)-1)+0)</f>
        <v>-15417.26</v>
      </c>
    </row>
    <row r="136" spans="1:12" x14ac:dyDescent="0.3">
      <c r="A136" t="s">
        <v>2685</v>
      </c>
      <c r="B136" t="s">
        <v>2176</v>
      </c>
      <c r="C136">
        <f t="shared" si="12"/>
        <v>8</v>
      </c>
      <c r="D136" t="str">
        <f t="shared" si="13"/>
        <v>Norm</v>
      </c>
      <c r="E136">
        <f t="shared" si="14"/>
        <v>1</v>
      </c>
      <c r="F136" t="str">
        <f t="shared" si="15"/>
        <v>D</v>
      </c>
      <c r="G136" s="115" t="s">
        <v>25</v>
      </c>
      <c r="H136" s="54">
        <v>3498392.74</v>
      </c>
      <c r="I136" s="115">
        <v>0</v>
      </c>
      <c r="J136" s="115" t="s">
        <v>2686</v>
      </c>
      <c r="K136" t="str">
        <f t="shared" si="16"/>
        <v>D</v>
      </c>
      <c r="L136" s="173">
        <f t="shared" si="17"/>
        <v>3498392.74</v>
      </c>
    </row>
    <row r="137" spans="1:12" x14ac:dyDescent="0.3">
      <c r="A137" t="s">
        <v>2687</v>
      </c>
      <c r="B137" t="s">
        <v>2177</v>
      </c>
      <c r="C137">
        <f t="shared" si="12"/>
        <v>11</v>
      </c>
      <c r="D137" t="str">
        <f t="shared" si="13"/>
        <v>Norm</v>
      </c>
      <c r="E137">
        <f t="shared" si="14"/>
        <v>1</v>
      </c>
      <c r="F137" t="str">
        <f t="shared" si="15"/>
        <v>D</v>
      </c>
      <c r="G137" s="115" t="s">
        <v>25</v>
      </c>
      <c r="H137" s="54">
        <v>3498392.74</v>
      </c>
      <c r="I137" s="115">
        <v>0</v>
      </c>
      <c r="J137" s="115" t="s">
        <v>2686</v>
      </c>
      <c r="K137" t="str">
        <f t="shared" si="16"/>
        <v>D</v>
      </c>
      <c r="L137" s="173">
        <f t="shared" si="17"/>
        <v>3498392.74</v>
      </c>
    </row>
    <row r="138" spans="1:12" x14ac:dyDescent="0.3">
      <c r="A138" t="s">
        <v>2688</v>
      </c>
      <c r="B138" t="s">
        <v>2178</v>
      </c>
      <c r="C138">
        <f t="shared" si="12"/>
        <v>16</v>
      </c>
      <c r="D138" t="str">
        <f t="shared" si="13"/>
        <v>Norm</v>
      </c>
      <c r="E138">
        <f t="shared" si="14"/>
        <v>1</v>
      </c>
      <c r="F138" t="str">
        <f t="shared" si="15"/>
        <v>D</v>
      </c>
      <c r="G138" s="115" t="s">
        <v>25</v>
      </c>
      <c r="H138" s="54">
        <v>15037.61</v>
      </c>
      <c r="I138" s="115">
        <v>0</v>
      </c>
      <c r="J138" s="115" t="s">
        <v>2689</v>
      </c>
      <c r="K138" t="str">
        <f t="shared" si="16"/>
        <v>D</v>
      </c>
      <c r="L138" s="173">
        <f t="shared" si="17"/>
        <v>15037.61</v>
      </c>
    </row>
    <row r="139" spans="1:12" x14ac:dyDescent="0.3">
      <c r="A139" t="s">
        <v>2690</v>
      </c>
      <c r="B139" t="s">
        <v>2179</v>
      </c>
      <c r="C139">
        <f t="shared" si="12"/>
        <v>16</v>
      </c>
      <c r="D139" t="str">
        <f t="shared" si="13"/>
        <v>Norm</v>
      </c>
      <c r="E139">
        <f t="shared" si="14"/>
        <v>1</v>
      </c>
      <c r="F139" t="str">
        <f t="shared" si="15"/>
        <v>D</v>
      </c>
      <c r="G139" s="115" t="s">
        <v>25</v>
      </c>
      <c r="H139" s="54">
        <v>8083.82</v>
      </c>
      <c r="I139" s="115">
        <v>0</v>
      </c>
      <c r="J139" s="115" t="s">
        <v>2691</v>
      </c>
      <c r="K139" t="str">
        <f t="shared" si="16"/>
        <v>D</v>
      </c>
      <c r="L139" s="173">
        <f t="shared" si="17"/>
        <v>8083.82</v>
      </c>
    </row>
    <row r="140" spans="1:12" x14ac:dyDescent="0.3">
      <c r="A140" t="s">
        <v>2692</v>
      </c>
      <c r="B140" t="s">
        <v>2180</v>
      </c>
      <c r="C140">
        <f t="shared" si="12"/>
        <v>16</v>
      </c>
      <c r="D140" t="str">
        <f t="shared" si="13"/>
        <v>Norm</v>
      </c>
      <c r="E140">
        <f t="shared" si="14"/>
        <v>1</v>
      </c>
      <c r="F140" t="str">
        <f t="shared" si="15"/>
        <v>D</v>
      </c>
      <c r="G140" s="115" t="s">
        <v>25</v>
      </c>
      <c r="H140" s="115">
        <v>329.84</v>
      </c>
      <c r="I140" s="115">
        <v>0</v>
      </c>
      <c r="J140" s="115" t="s">
        <v>2693</v>
      </c>
      <c r="K140" t="str">
        <f t="shared" si="16"/>
        <v>D</v>
      </c>
      <c r="L140" s="173">
        <f t="shared" si="17"/>
        <v>329.84</v>
      </c>
    </row>
    <row r="141" spans="1:12" x14ac:dyDescent="0.3">
      <c r="A141" t="s">
        <v>2694</v>
      </c>
      <c r="B141" t="s">
        <v>2181</v>
      </c>
      <c r="C141">
        <f t="shared" ref="C141:C204" si="18">LEN(B141)</f>
        <v>16</v>
      </c>
      <c r="D141" t="str">
        <f t="shared" ref="D141:D204" si="19">IF(LEFT(TRIM(A141),1)="(","Red.","Norm")</f>
        <v>Norm</v>
      </c>
      <c r="E141">
        <f t="shared" ref="E141:E204" si="20">LEFT(SUBSTITUTE(B141,"[","",1),1)+0</f>
        <v>1</v>
      </c>
      <c r="F141" t="str">
        <f t="shared" ref="F141:F204" si="21">IF(AND(OR(E141=1,E141=3,E141=5),D141="Norm"),"D",
IF(AND(OR(E141=1,E141=3,E141=5),D141="Red."),"C",
IF(AND(OR(E141=2,E141=4,E141=6),D141="Norm"),"C",
IF(AND(OR(E141=2,E141=4,E141=6),D141="Red."),"D"))))</f>
        <v>D</v>
      </c>
      <c r="G141" s="115" t="s">
        <v>25</v>
      </c>
      <c r="H141" s="54">
        <v>384752.36</v>
      </c>
      <c r="I141" s="115">
        <v>0</v>
      </c>
      <c r="J141" s="115" t="s">
        <v>2695</v>
      </c>
      <c r="K141" t="str">
        <f t="shared" si="16"/>
        <v>D</v>
      </c>
      <c r="L141" s="173">
        <f t="shared" si="17"/>
        <v>384752.36</v>
      </c>
    </row>
    <row r="142" spans="1:12" x14ac:dyDescent="0.3">
      <c r="A142" t="s">
        <v>2696</v>
      </c>
      <c r="B142" t="s">
        <v>2182</v>
      </c>
      <c r="C142">
        <f t="shared" si="18"/>
        <v>16</v>
      </c>
      <c r="D142" t="str">
        <f t="shared" si="19"/>
        <v>Norm</v>
      </c>
      <c r="E142">
        <f t="shared" si="20"/>
        <v>1</v>
      </c>
      <c r="F142" t="str">
        <f t="shared" si="21"/>
        <v>D</v>
      </c>
      <c r="G142" s="115" t="s">
        <v>25</v>
      </c>
      <c r="H142" s="54">
        <v>3090189.11</v>
      </c>
      <c r="I142" s="115">
        <v>0</v>
      </c>
      <c r="J142" s="115" t="s">
        <v>2697</v>
      </c>
      <c r="K142" t="str">
        <f t="shared" si="16"/>
        <v>D</v>
      </c>
      <c r="L142" s="173">
        <f t="shared" si="17"/>
        <v>3090189.11</v>
      </c>
    </row>
    <row r="143" spans="1:12" x14ac:dyDescent="0.3">
      <c r="A143" t="s">
        <v>2698</v>
      </c>
      <c r="B143" t="s">
        <v>2699</v>
      </c>
      <c r="C143">
        <f t="shared" si="18"/>
        <v>8</v>
      </c>
      <c r="D143" t="str">
        <f t="shared" si="19"/>
        <v>Norm</v>
      </c>
      <c r="E143">
        <f t="shared" si="20"/>
        <v>1</v>
      </c>
      <c r="F143" t="str">
        <f t="shared" si="21"/>
        <v>D</v>
      </c>
      <c r="G143" s="115" t="s">
        <v>25</v>
      </c>
      <c r="H143" s="54">
        <v>6393073.3099999996</v>
      </c>
      <c r="I143" s="115">
        <v>0</v>
      </c>
      <c r="J143" s="115" t="s">
        <v>2700</v>
      </c>
      <c r="K143" t="str">
        <f t="shared" si="16"/>
        <v>D</v>
      </c>
      <c r="L143" s="173">
        <f t="shared" si="17"/>
        <v>6393073.3099999996</v>
      </c>
    </row>
    <row r="144" spans="1:12" x14ac:dyDescent="0.3">
      <c r="A144" t="s">
        <v>2701</v>
      </c>
      <c r="B144" t="s">
        <v>2702</v>
      </c>
      <c r="C144">
        <f t="shared" si="18"/>
        <v>11</v>
      </c>
      <c r="D144" t="str">
        <f t="shared" si="19"/>
        <v>Norm</v>
      </c>
      <c r="E144">
        <f t="shared" si="20"/>
        <v>1</v>
      </c>
      <c r="F144" t="str">
        <f t="shared" si="21"/>
        <v>D</v>
      </c>
      <c r="G144" s="115" t="s">
        <v>25</v>
      </c>
      <c r="H144" s="54">
        <v>6393073.3099999996</v>
      </c>
      <c r="I144" s="115">
        <v>0</v>
      </c>
      <c r="J144" s="115" t="s">
        <v>2700</v>
      </c>
      <c r="K144" t="str">
        <f t="shared" si="16"/>
        <v>D</v>
      </c>
      <c r="L144" s="173">
        <f t="shared" si="17"/>
        <v>6393073.3099999996</v>
      </c>
    </row>
    <row r="145" spans="1:12" x14ac:dyDescent="0.3">
      <c r="A145" t="s">
        <v>2703</v>
      </c>
      <c r="B145" t="s">
        <v>2704</v>
      </c>
      <c r="C145">
        <f t="shared" si="18"/>
        <v>16</v>
      </c>
      <c r="D145" t="str">
        <f t="shared" si="19"/>
        <v>Norm</v>
      </c>
      <c r="E145">
        <f t="shared" si="20"/>
        <v>1</v>
      </c>
      <c r="F145" t="str">
        <f t="shared" si="21"/>
        <v>D</v>
      </c>
      <c r="G145" s="115" t="s">
        <v>25</v>
      </c>
      <c r="H145" s="54">
        <v>1870632</v>
      </c>
      <c r="I145" s="115">
        <v>0</v>
      </c>
      <c r="J145" s="115" t="s">
        <v>2167</v>
      </c>
      <c r="K145" t="str">
        <f t="shared" si="16"/>
        <v>D</v>
      </c>
      <c r="L145" s="173">
        <f t="shared" si="17"/>
        <v>1870632</v>
      </c>
    </row>
    <row r="146" spans="1:12" x14ac:dyDescent="0.3">
      <c r="A146" t="s">
        <v>2705</v>
      </c>
      <c r="B146" t="s">
        <v>2706</v>
      </c>
      <c r="C146">
        <f t="shared" si="18"/>
        <v>16</v>
      </c>
      <c r="D146" t="str">
        <f t="shared" si="19"/>
        <v>Norm</v>
      </c>
      <c r="E146">
        <f t="shared" si="20"/>
        <v>1</v>
      </c>
      <c r="F146" t="str">
        <f t="shared" si="21"/>
        <v>D</v>
      </c>
      <c r="G146" s="115" t="s">
        <v>25</v>
      </c>
      <c r="H146" s="54">
        <v>4522441.3099999996</v>
      </c>
      <c r="I146" s="115">
        <v>0</v>
      </c>
      <c r="J146" s="115" t="s">
        <v>2168</v>
      </c>
      <c r="K146" t="str">
        <f t="shared" si="16"/>
        <v>D</v>
      </c>
      <c r="L146" s="173">
        <f t="shared" si="17"/>
        <v>4522441.3099999996</v>
      </c>
    </row>
    <row r="147" spans="1:12" x14ac:dyDescent="0.3">
      <c r="A147" t="s">
        <v>2707</v>
      </c>
      <c r="B147" t="s">
        <v>573</v>
      </c>
      <c r="C147">
        <f t="shared" si="18"/>
        <v>8</v>
      </c>
      <c r="D147" t="str">
        <f t="shared" si="19"/>
        <v>Norm</v>
      </c>
      <c r="E147">
        <f t="shared" si="20"/>
        <v>1</v>
      </c>
      <c r="F147" t="str">
        <f t="shared" si="21"/>
        <v>D</v>
      </c>
      <c r="G147" s="115" t="s">
        <v>577</v>
      </c>
      <c r="H147" s="54">
        <v>8526.2800000000007</v>
      </c>
      <c r="I147" s="54">
        <v>9734.64</v>
      </c>
      <c r="J147" s="115" t="s">
        <v>2708</v>
      </c>
      <c r="K147" t="str">
        <f t="shared" si="16"/>
        <v>D</v>
      </c>
      <c r="L147" s="173">
        <f t="shared" si="17"/>
        <v>1465155.6</v>
      </c>
    </row>
    <row r="148" spans="1:12" x14ac:dyDescent="0.3">
      <c r="A148" t="s">
        <v>2709</v>
      </c>
      <c r="B148" t="s">
        <v>575</v>
      </c>
      <c r="C148">
        <f t="shared" si="18"/>
        <v>11</v>
      </c>
      <c r="D148" t="str">
        <f t="shared" si="19"/>
        <v>Norm</v>
      </c>
      <c r="E148">
        <f t="shared" si="20"/>
        <v>1</v>
      </c>
      <c r="F148" t="str">
        <f t="shared" si="21"/>
        <v>D</v>
      </c>
      <c r="G148" s="115" t="s">
        <v>577</v>
      </c>
      <c r="H148" s="54">
        <v>8526.2800000000007</v>
      </c>
      <c r="I148" s="54">
        <v>9734.64</v>
      </c>
      <c r="J148" s="115" t="s">
        <v>2708</v>
      </c>
      <c r="K148" t="str">
        <f t="shared" si="16"/>
        <v>D</v>
      </c>
      <c r="L148" s="173">
        <f t="shared" si="17"/>
        <v>1465155.6</v>
      </c>
    </row>
    <row r="149" spans="1:12" x14ac:dyDescent="0.3">
      <c r="A149" t="s">
        <v>2710</v>
      </c>
      <c r="B149" t="s">
        <v>579</v>
      </c>
      <c r="C149">
        <f t="shared" si="18"/>
        <v>16</v>
      </c>
      <c r="D149" t="str">
        <f t="shared" si="19"/>
        <v>Norm</v>
      </c>
      <c r="E149">
        <f t="shared" si="20"/>
        <v>1</v>
      </c>
      <c r="F149" t="str">
        <f t="shared" si="21"/>
        <v>D</v>
      </c>
      <c r="G149" s="115" t="s">
        <v>581</v>
      </c>
      <c r="H149" s="54">
        <v>8526.2800000000007</v>
      </c>
      <c r="I149" s="54">
        <v>9734.64</v>
      </c>
      <c r="J149" s="115" t="s">
        <v>2183</v>
      </c>
      <c r="K149" t="str">
        <f t="shared" si="16"/>
        <v>D</v>
      </c>
      <c r="L149" s="173">
        <f t="shared" si="17"/>
        <v>97115.13</v>
      </c>
    </row>
    <row r="150" spans="1:12" x14ac:dyDescent="0.3">
      <c r="A150" t="s">
        <v>2711</v>
      </c>
      <c r="B150" t="s">
        <v>583</v>
      </c>
      <c r="C150">
        <f t="shared" si="18"/>
        <v>16</v>
      </c>
      <c r="D150" t="str">
        <f t="shared" si="19"/>
        <v>Norm</v>
      </c>
      <c r="E150">
        <f t="shared" si="20"/>
        <v>1</v>
      </c>
      <c r="F150" t="str">
        <f t="shared" si="21"/>
        <v>D</v>
      </c>
      <c r="G150" s="115" t="s">
        <v>585</v>
      </c>
      <c r="H150" s="115">
        <v>0</v>
      </c>
      <c r="I150" s="115">
        <v>0</v>
      </c>
      <c r="J150" s="115" t="s">
        <v>585</v>
      </c>
      <c r="K150" t="str">
        <f t="shared" si="16"/>
        <v>D</v>
      </c>
      <c r="L150" s="173">
        <f t="shared" si="17"/>
        <v>1368040.47</v>
      </c>
    </row>
    <row r="151" spans="1:12" x14ac:dyDescent="0.3">
      <c r="A151" t="s">
        <v>2712</v>
      </c>
      <c r="B151" t="s">
        <v>587</v>
      </c>
      <c r="C151">
        <f t="shared" si="18"/>
        <v>8</v>
      </c>
      <c r="D151" t="str">
        <f t="shared" si="19"/>
        <v>Norm</v>
      </c>
      <c r="E151">
        <f t="shared" si="20"/>
        <v>1</v>
      </c>
      <c r="F151" t="str">
        <f t="shared" si="21"/>
        <v>D</v>
      </c>
      <c r="G151" s="115" t="s">
        <v>591</v>
      </c>
      <c r="H151" s="54">
        <v>3796524.16</v>
      </c>
      <c r="I151" s="54">
        <v>3461720.65</v>
      </c>
      <c r="J151" s="115" t="s">
        <v>2713</v>
      </c>
      <c r="K151" t="str">
        <f t="shared" si="16"/>
        <v>D</v>
      </c>
      <c r="L151" s="173">
        <f t="shared" si="17"/>
        <v>1860171.39</v>
      </c>
    </row>
    <row r="152" spans="1:12" x14ac:dyDescent="0.3">
      <c r="A152" t="s">
        <v>2714</v>
      </c>
      <c r="B152" t="s">
        <v>590</v>
      </c>
      <c r="C152">
        <f t="shared" si="18"/>
        <v>11</v>
      </c>
      <c r="D152" t="str">
        <f t="shared" si="19"/>
        <v>Norm</v>
      </c>
      <c r="E152">
        <f t="shared" si="20"/>
        <v>1</v>
      </c>
      <c r="F152" t="str">
        <f t="shared" si="21"/>
        <v>D</v>
      </c>
      <c r="G152" s="115" t="s">
        <v>591</v>
      </c>
      <c r="H152" s="54">
        <v>3796524.16</v>
      </c>
      <c r="I152" s="54">
        <v>3461720.65</v>
      </c>
      <c r="J152" s="115" t="s">
        <v>2713</v>
      </c>
      <c r="K152" t="str">
        <f t="shared" si="16"/>
        <v>D</v>
      </c>
      <c r="L152" s="173">
        <f t="shared" si="17"/>
        <v>1860171.39</v>
      </c>
    </row>
    <row r="153" spans="1:12" x14ac:dyDescent="0.3">
      <c r="A153" t="s">
        <v>2715</v>
      </c>
      <c r="B153" t="s">
        <v>593</v>
      </c>
      <c r="C153">
        <f t="shared" si="18"/>
        <v>16</v>
      </c>
      <c r="D153" t="str">
        <f t="shared" si="19"/>
        <v>Norm</v>
      </c>
      <c r="E153">
        <f t="shared" si="20"/>
        <v>1</v>
      </c>
      <c r="F153" t="str">
        <f t="shared" si="21"/>
        <v>D</v>
      </c>
      <c r="G153" s="115" t="s">
        <v>591</v>
      </c>
      <c r="H153" s="54">
        <v>3793172.66</v>
      </c>
      <c r="I153" s="54">
        <v>3459248.47</v>
      </c>
      <c r="J153" s="115" t="s">
        <v>2716</v>
      </c>
      <c r="K153" t="str">
        <f t="shared" si="16"/>
        <v>D</v>
      </c>
      <c r="L153" s="173">
        <f t="shared" si="17"/>
        <v>1859292.07</v>
      </c>
    </row>
    <row r="154" spans="1:12" x14ac:dyDescent="0.3">
      <c r="A154" t="s">
        <v>2717</v>
      </c>
      <c r="B154" t="s">
        <v>2184</v>
      </c>
      <c r="C154">
        <f t="shared" si="18"/>
        <v>16</v>
      </c>
      <c r="D154" t="str">
        <f t="shared" si="19"/>
        <v>Norm</v>
      </c>
      <c r="E154">
        <f t="shared" si="20"/>
        <v>1</v>
      </c>
      <c r="F154" t="str">
        <f t="shared" si="21"/>
        <v>D</v>
      </c>
      <c r="G154" s="115" t="s">
        <v>25</v>
      </c>
      <c r="H154" s="54">
        <v>2781.6</v>
      </c>
      <c r="I154" s="54">
        <v>1902.28</v>
      </c>
      <c r="J154" s="115" t="s">
        <v>2718</v>
      </c>
      <c r="K154" t="str">
        <f t="shared" si="16"/>
        <v>D</v>
      </c>
      <c r="L154" s="173">
        <f t="shared" si="17"/>
        <v>879.32</v>
      </c>
    </row>
    <row r="155" spans="1:12" x14ac:dyDescent="0.3">
      <c r="A155" t="s">
        <v>2719</v>
      </c>
      <c r="B155" t="s">
        <v>2185</v>
      </c>
      <c r="C155">
        <f t="shared" si="18"/>
        <v>16</v>
      </c>
      <c r="D155" t="str">
        <f t="shared" si="19"/>
        <v>Norm</v>
      </c>
      <c r="E155">
        <f t="shared" si="20"/>
        <v>1</v>
      </c>
      <c r="F155" t="str">
        <f t="shared" si="21"/>
        <v>D</v>
      </c>
      <c r="G155" s="115" t="s">
        <v>25</v>
      </c>
      <c r="H155" s="115">
        <v>569.9</v>
      </c>
      <c r="I155" s="115">
        <v>569.9</v>
      </c>
      <c r="J155" s="115" t="s">
        <v>25</v>
      </c>
      <c r="K155" t="str">
        <f t="shared" si="16"/>
        <v>D</v>
      </c>
      <c r="L155" s="173">
        <f t="shared" si="17"/>
        <v>0</v>
      </c>
    </row>
    <row r="156" spans="1:12" x14ac:dyDescent="0.3">
      <c r="A156" t="s">
        <v>2720</v>
      </c>
      <c r="B156" t="s">
        <v>596</v>
      </c>
      <c r="C156">
        <f t="shared" si="18"/>
        <v>5</v>
      </c>
      <c r="D156" t="str">
        <f t="shared" si="19"/>
        <v>Norm</v>
      </c>
      <c r="E156">
        <f t="shared" si="20"/>
        <v>1</v>
      </c>
      <c r="F156" t="str">
        <f t="shared" si="21"/>
        <v>D</v>
      </c>
      <c r="G156" s="115" t="s">
        <v>598</v>
      </c>
      <c r="H156" s="54">
        <v>31279165.09</v>
      </c>
      <c r="I156" s="54">
        <v>62961239.280000001</v>
      </c>
      <c r="J156" s="115" t="s">
        <v>2721</v>
      </c>
      <c r="K156" t="str">
        <f t="shared" si="16"/>
        <v>D</v>
      </c>
      <c r="L156" s="173">
        <f t="shared" si="17"/>
        <v>35886327.490000002</v>
      </c>
    </row>
    <row r="157" spans="1:12" x14ac:dyDescent="0.3">
      <c r="A157" t="s">
        <v>2722</v>
      </c>
      <c r="B157" t="s">
        <v>600</v>
      </c>
      <c r="C157">
        <f t="shared" si="18"/>
        <v>8</v>
      </c>
      <c r="D157" t="str">
        <f t="shared" si="19"/>
        <v>Norm</v>
      </c>
      <c r="E157">
        <f t="shared" si="20"/>
        <v>1</v>
      </c>
      <c r="F157" t="str">
        <f t="shared" si="21"/>
        <v>D</v>
      </c>
      <c r="G157" s="115" t="s">
        <v>2723</v>
      </c>
      <c r="H157" s="54">
        <v>1235804</v>
      </c>
      <c r="I157" s="115">
        <v>0</v>
      </c>
      <c r="J157" s="115" t="s">
        <v>2724</v>
      </c>
      <c r="K157" t="str">
        <f t="shared" si="16"/>
        <v>D</v>
      </c>
      <c r="L157" s="173">
        <f t="shared" si="17"/>
        <v>7492499.2999999998</v>
      </c>
    </row>
    <row r="158" spans="1:12" x14ac:dyDescent="0.3">
      <c r="A158" t="s">
        <v>2725</v>
      </c>
      <c r="B158" t="s">
        <v>603</v>
      </c>
      <c r="C158">
        <f t="shared" si="18"/>
        <v>11</v>
      </c>
      <c r="D158" t="str">
        <f t="shared" si="19"/>
        <v>Norm</v>
      </c>
      <c r="E158">
        <f t="shared" si="20"/>
        <v>1</v>
      </c>
      <c r="F158" t="str">
        <f t="shared" si="21"/>
        <v>D</v>
      </c>
      <c r="G158" s="115" t="s">
        <v>605</v>
      </c>
      <c r="H158" s="115">
        <v>0</v>
      </c>
      <c r="I158" s="115">
        <v>0</v>
      </c>
      <c r="J158" s="115" t="s">
        <v>605</v>
      </c>
      <c r="K158" t="str">
        <f t="shared" si="16"/>
        <v>D</v>
      </c>
      <c r="L158" s="173">
        <f t="shared" si="17"/>
        <v>4618.91</v>
      </c>
    </row>
    <row r="159" spans="1:12" x14ac:dyDescent="0.3">
      <c r="A159" t="s">
        <v>2726</v>
      </c>
      <c r="B159" t="s">
        <v>607</v>
      </c>
      <c r="C159">
        <f t="shared" si="18"/>
        <v>16</v>
      </c>
      <c r="D159" t="str">
        <f t="shared" si="19"/>
        <v>Norm</v>
      </c>
      <c r="E159">
        <f t="shared" si="20"/>
        <v>1</v>
      </c>
      <c r="F159" t="str">
        <f t="shared" si="21"/>
        <v>D</v>
      </c>
      <c r="G159" s="115" t="s">
        <v>608</v>
      </c>
      <c r="H159" s="115">
        <v>0</v>
      </c>
      <c r="I159" s="115">
        <v>0</v>
      </c>
      <c r="J159" s="115" t="s">
        <v>608</v>
      </c>
      <c r="K159" t="str">
        <f t="shared" si="16"/>
        <v>D</v>
      </c>
      <c r="L159" s="173">
        <f t="shared" si="17"/>
        <v>530.16</v>
      </c>
    </row>
    <row r="160" spans="1:12" x14ac:dyDescent="0.3">
      <c r="A160" t="s">
        <v>2727</v>
      </c>
      <c r="B160" t="s">
        <v>610</v>
      </c>
      <c r="C160">
        <f t="shared" si="18"/>
        <v>16</v>
      </c>
      <c r="D160" t="str">
        <f t="shared" si="19"/>
        <v>Norm</v>
      </c>
      <c r="E160">
        <f t="shared" si="20"/>
        <v>1</v>
      </c>
      <c r="F160" t="str">
        <f t="shared" si="21"/>
        <v>D</v>
      </c>
      <c r="G160" s="115" t="s">
        <v>611</v>
      </c>
      <c r="H160" s="115">
        <v>0</v>
      </c>
      <c r="I160" s="115">
        <v>0</v>
      </c>
      <c r="J160" s="115" t="s">
        <v>611</v>
      </c>
      <c r="K160" t="str">
        <f t="shared" si="16"/>
        <v>D</v>
      </c>
      <c r="L160" s="173">
        <f t="shared" si="17"/>
        <v>4088.75</v>
      </c>
    </row>
    <row r="161" spans="1:12" x14ac:dyDescent="0.3">
      <c r="A161" t="s">
        <v>2728</v>
      </c>
      <c r="B161" t="s">
        <v>613</v>
      </c>
      <c r="C161">
        <f t="shared" si="18"/>
        <v>11</v>
      </c>
      <c r="D161" t="str">
        <f t="shared" si="19"/>
        <v>Norm</v>
      </c>
      <c r="E161">
        <f t="shared" si="20"/>
        <v>1</v>
      </c>
      <c r="F161" t="str">
        <f t="shared" si="21"/>
        <v>D</v>
      </c>
      <c r="G161" s="115" t="s">
        <v>615</v>
      </c>
      <c r="H161" s="54">
        <v>1235804</v>
      </c>
      <c r="I161" s="115">
        <v>0</v>
      </c>
      <c r="J161" s="115" t="s">
        <v>2729</v>
      </c>
      <c r="K161" t="str">
        <f t="shared" si="16"/>
        <v>D</v>
      </c>
      <c r="L161" s="173">
        <f t="shared" si="17"/>
        <v>7487880.3899999997</v>
      </c>
    </row>
    <row r="162" spans="1:12" x14ac:dyDescent="0.3">
      <c r="A162" t="s">
        <v>2730</v>
      </c>
      <c r="B162" t="s">
        <v>617</v>
      </c>
      <c r="C162">
        <f t="shared" si="18"/>
        <v>16</v>
      </c>
      <c r="D162" t="str">
        <f t="shared" si="19"/>
        <v>Norm</v>
      </c>
      <c r="E162">
        <f t="shared" si="20"/>
        <v>1</v>
      </c>
      <c r="F162" t="str">
        <f t="shared" si="21"/>
        <v>D</v>
      </c>
      <c r="G162" s="115" t="s">
        <v>619</v>
      </c>
      <c r="H162" s="54">
        <v>1165954.46</v>
      </c>
      <c r="I162" s="115">
        <v>0</v>
      </c>
      <c r="J162" s="115" t="s">
        <v>2186</v>
      </c>
      <c r="K162" t="str">
        <f t="shared" si="16"/>
        <v>D</v>
      </c>
      <c r="L162" s="173">
        <f t="shared" si="17"/>
        <v>5436758.8700000001</v>
      </c>
    </row>
    <row r="163" spans="1:12" x14ac:dyDescent="0.3">
      <c r="A163" t="s">
        <v>2731</v>
      </c>
      <c r="B163" t="s">
        <v>621</v>
      </c>
      <c r="C163">
        <f t="shared" si="18"/>
        <v>16</v>
      </c>
      <c r="D163" t="str">
        <f t="shared" si="19"/>
        <v>Norm</v>
      </c>
      <c r="E163">
        <f t="shared" si="20"/>
        <v>1</v>
      </c>
      <c r="F163" t="str">
        <f t="shared" si="21"/>
        <v>D</v>
      </c>
      <c r="G163" s="115" t="s">
        <v>623</v>
      </c>
      <c r="H163" s="54">
        <v>69849.539999999994</v>
      </c>
      <c r="I163" s="115">
        <v>0</v>
      </c>
      <c r="J163" s="115" t="s">
        <v>2187</v>
      </c>
      <c r="K163" t="str">
        <f t="shared" si="16"/>
        <v>D</v>
      </c>
      <c r="L163" s="173">
        <f t="shared" si="17"/>
        <v>2051121.52</v>
      </c>
    </row>
    <row r="164" spans="1:12" x14ac:dyDescent="0.3">
      <c r="A164" t="s">
        <v>2732</v>
      </c>
      <c r="B164" t="s">
        <v>625</v>
      </c>
      <c r="C164">
        <f t="shared" si="18"/>
        <v>8</v>
      </c>
      <c r="D164" t="str">
        <f t="shared" si="19"/>
        <v>Norm</v>
      </c>
      <c r="E164">
        <f t="shared" si="20"/>
        <v>1</v>
      </c>
      <c r="F164" t="str">
        <f t="shared" si="21"/>
        <v>D</v>
      </c>
      <c r="G164" s="115" t="s">
        <v>2733</v>
      </c>
      <c r="H164" s="115">
        <v>0</v>
      </c>
      <c r="I164" s="115">
        <v>0</v>
      </c>
      <c r="J164" s="115" t="s">
        <v>2733</v>
      </c>
      <c r="K164" t="str">
        <f t="shared" si="16"/>
        <v>D</v>
      </c>
      <c r="L164" s="173">
        <f t="shared" si="17"/>
        <v>52634.400000000001</v>
      </c>
    </row>
    <row r="165" spans="1:12" x14ac:dyDescent="0.3">
      <c r="A165" t="s">
        <v>2734</v>
      </c>
      <c r="B165" t="s">
        <v>629</v>
      </c>
      <c r="C165">
        <f t="shared" si="18"/>
        <v>11</v>
      </c>
      <c r="D165" t="str">
        <f t="shared" si="19"/>
        <v>Norm</v>
      </c>
      <c r="E165">
        <f t="shared" si="20"/>
        <v>1</v>
      </c>
      <c r="F165" t="str">
        <f t="shared" si="21"/>
        <v>D</v>
      </c>
      <c r="G165" s="115" t="s">
        <v>631</v>
      </c>
      <c r="H165" s="115">
        <v>0</v>
      </c>
      <c r="I165" s="115">
        <v>0</v>
      </c>
      <c r="J165" s="115" t="s">
        <v>631</v>
      </c>
      <c r="K165" t="str">
        <f t="shared" si="16"/>
        <v>D</v>
      </c>
      <c r="L165" s="173">
        <f t="shared" si="17"/>
        <v>42022.61</v>
      </c>
    </row>
    <row r="166" spans="1:12" x14ac:dyDescent="0.3">
      <c r="A166" t="s">
        <v>2735</v>
      </c>
      <c r="B166" t="s">
        <v>633</v>
      </c>
      <c r="C166">
        <f t="shared" si="18"/>
        <v>16</v>
      </c>
      <c r="D166" t="str">
        <f t="shared" si="19"/>
        <v>Norm</v>
      </c>
      <c r="E166">
        <f t="shared" si="20"/>
        <v>1</v>
      </c>
      <c r="F166" t="str">
        <f t="shared" si="21"/>
        <v>D</v>
      </c>
      <c r="G166" s="115" t="s">
        <v>634</v>
      </c>
      <c r="H166" s="115">
        <v>0</v>
      </c>
      <c r="I166" s="115">
        <v>0</v>
      </c>
      <c r="J166" s="115" t="s">
        <v>634</v>
      </c>
      <c r="K166" t="str">
        <f t="shared" si="16"/>
        <v>D</v>
      </c>
      <c r="L166" s="173">
        <f t="shared" si="17"/>
        <v>1066.44</v>
      </c>
    </row>
    <row r="167" spans="1:12" x14ac:dyDescent="0.3">
      <c r="A167" t="s">
        <v>2736</v>
      </c>
      <c r="B167" t="s">
        <v>636</v>
      </c>
      <c r="C167">
        <f t="shared" si="18"/>
        <v>16</v>
      </c>
      <c r="D167" t="str">
        <f t="shared" si="19"/>
        <v>Norm</v>
      </c>
      <c r="E167">
        <f t="shared" si="20"/>
        <v>1</v>
      </c>
      <c r="F167" t="str">
        <f t="shared" si="21"/>
        <v>D</v>
      </c>
      <c r="G167" s="115" t="s">
        <v>637</v>
      </c>
      <c r="H167" s="115">
        <v>0</v>
      </c>
      <c r="I167" s="115">
        <v>0</v>
      </c>
      <c r="J167" s="115" t="s">
        <v>637</v>
      </c>
      <c r="K167" t="str">
        <f t="shared" si="16"/>
        <v>D</v>
      </c>
      <c r="L167" s="173">
        <f t="shared" si="17"/>
        <v>450.01</v>
      </c>
    </row>
    <row r="168" spans="1:12" x14ac:dyDescent="0.3">
      <c r="A168" t="s">
        <v>2737</v>
      </c>
      <c r="B168" t="s">
        <v>639</v>
      </c>
      <c r="C168">
        <f t="shared" si="18"/>
        <v>16</v>
      </c>
      <c r="D168" t="str">
        <f t="shared" si="19"/>
        <v>Norm</v>
      </c>
      <c r="E168">
        <f t="shared" si="20"/>
        <v>1</v>
      </c>
      <c r="F168" t="str">
        <f t="shared" si="21"/>
        <v>D</v>
      </c>
      <c r="G168" s="115" t="s">
        <v>640</v>
      </c>
      <c r="H168" s="115">
        <v>0</v>
      </c>
      <c r="I168" s="115">
        <v>0</v>
      </c>
      <c r="J168" s="115" t="s">
        <v>640</v>
      </c>
      <c r="K168" t="str">
        <f t="shared" si="16"/>
        <v>D</v>
      </c>
      <c r="L168" s="173">
        <f t="shared" si="17"/>
        <v>2725.64</v>
      </c>
    </row>
    <row r="169" spans="1:12" x14ac:dyDescent="0.3">
      <c r="A169" t="s">
        <v>2738</v>
      </c>
      <c r="B169" t="s">
        <v>642</v>
      </c>
      <c r="C169">
        <f t="shared" si="18"/>
        <v>16</v>
      </c>
      <c r="D169" t="str">
        <f t="shared" si="19"/>
        <v>Norm</v>
      </c>
      <c r="E169">
        <f t="shared" si="20"/>
        <v>1</v>
      </c>
      <c r="F169" t="str">
        <f t="shared" si="21"/>
        <v>D</v>
      </c>
      <c r="G169" s="115" t="s">
        <v>643</v>
      </c>
      <c r="H169" s="115">
        <v>0</v>
      </c>
      <c r="I169" s="115">
        <v>0</v>
      </c>
      <c r="J169" s="115" t="s">
        <v>643</v>
      </c>
      <c r="K169" t="str">
        <f t="shared" si="16"/>
        <v>D</v>
      </c>
      <c r="L169" s="173">
        <f t="shared" si="17"/>
        <v>34997.629999999997</v>
      </c>
    </row>
    <row r="170" spans="1:12" x14ac:dyDescent="0.3">
      <c r="A170" t="s">
        <v>2739</v>
      </c>
      <c r="B170" t="s">
        <v>645</v>
      </c>
      <c r="C170">
        <f t="shared" si="18"/>
        <v>16</v>
      </c>
      <c r="D170" t="str">
        <f t="shared" si="19"/>
        <v>Norm</v>
      </c>
      <c r="E170">
        <f t="shared" si="20"/>
        <v>1</v>
      </c>
      <c r="F170" t="str">
        <f t="shared" si="21"/>
        <v>D</v>
      </c>
      <c r="G170" s="115" t="s">
        <v>646</v>
      </c>
      <c r="H170" s="115">
        <v>0</v>
      </c>
      <c r="I170" s="115">
        <v>0</v>
      </c>
      <c r="J170" s="115" t="s">
        <v>646</v>
      </c>
      <c r="K170" t="str">
        <f t="shared" si="16"/>
        <v>D</v>
      </c>
      <c r="L170" s="173">
        <f t="shared" si="17"/>
        <v>62.89</v>
      </c>
    </row>
    <row r="171" spans="1:12" x14ac:dyDescent="0.3">
      <c r="A171" t="s">
        <v>2740</v>
      </c>
      <c r="B171" t="s">
        <v>648</v>
      </c>
      <c r="C171">
        <f t="shared" si="18"/>
        <v>16</v>
      </c>
      <c r="D171" t="str">
        <f t="shared" si="19"/>
        <v>Norm</v>
      </c>
      <c r="E171">
        <f t="shared" si="20"/>
        <v>1</v>
      </c>
      <c r="F171" t="str">
        <f t="shared" si="21"/>
        <v>D</v>
      </c>
      <c r="G171" s="115" t="s">
        <v>649</v>
      </c>
      <c r="H171" s="115">
        <v>0</v>
      </c>
      <c r="I171" s="115">
        <v>0</v>
      </c>
      <c r="J171" s="115" t="s">
        <v>649</v>
      </c>
      <c r="K171" t="str">
        <f t="shared" si="16"/>
        <v>D</v>
      </c>
      <c r="L171" s="173">
        <f t="shared" si="17"/>
        <v>2720</v>
      </c>
    </row>
    <row r="172" spans="1:12" x14ac:dyDescent="0.3">
      <c r="A172" t="s">
        <v>2741</v>
      </c>
      <c r="B172" t="s">
        <v>651</v>
      </c>
      <c r="C172">
        <f t="shared" si="18"/>
        <v>11</v>
      </c>
      <c r="D172" t="str">
        <f t="shared" si="19"/>
        <v>Norm</v>
      </c>
      <c r="E172">
        <f t="shared" si="20"/>
        <v>1</v>
      </c>
      <c r="F172" t="str">
        <f t="shared" si="21"/>
        <v>D</v>
      </c>
      <c r="G172" s="115" t="s">
        <v>653</v>
      </c>
      <c r="H172" s="115">
        <v>0</v>
      </c>
      <c r="I172" s="115">
        <v>0</v>
      </c>
      <c r="J172" s="115" t="s">
        <v>653</v>
      </c>
      <c r="K172" t="str">
        <f t="shared" si="16"/>
        <v>D</v>
      </c>
      <c r="L172" s="173">
        <f t="shared" si="17"/>
        <v>10611.79</v>
      </c>
    </row>
    <row r="173" spans="1:12" x14ac:dyDescent="0.3">
      <c r="A173" t="s">
        <v>2742</v>
      </c>
      <c r="B173" t="s">
        <v>655</v>
      </c>
      <c r="C173">
        <f t="shared" si="18"/>
        <v>16</v>
      </c>
      <c r="D173" t="str">
        <f t="shared" si="19"/>
        <v>Norm</v>
      </c>
      <c r="E173">
        <f t="shared" si="20"/>
        <v>1</v>
      </c>
      <c r="F173" t="str">
        <f t="shared" si="21"/>
        <v>D</v>
      </c>
      <c r="G173" s="115" t="s">
        <v>656</v>
      </c>
      <c r="H173" s="115">
        <v>0</v>
      </c>
      <c r="I173" s="115">
        <v>0</v>
      </c>
      <c r="J173" s="115" t="s">
        <v>656</v>
      </c>
      <c r="K173" t="str">
        <f t="shared" si="16"/>
        <v>D</v>
      </c>
      <c r="L173" s="173">
        <f t="shared" si="17"/>
        <v>3864.04</v>
      </c>
    </row>
    <row r="174" spans="1:12" x14ac:dyDescent="0.3">
      <c r="A174" t="s">
        <v>2743</v>
      </c>
      <c r="B174" t="s">
        <v>658</v>
      </c>
      <c r="C174">
        <f t="shared" si="18"/>
        <v>16</v>
      </c>
      <c r="D174" t="str">
        <f t="shared" si="19"/>
        <v>Norm</v>
      </c>
      <c r="E174">
        <f t="shared" si="20"/>
        <v>1</v>
      </c>
      <c r="F174" t="str">
        <f t="shared" si="21"/>
        <v>D</v>
      </c>
      <c r="G174" s="115" t="s">
        <v>659</v>
      </c>
      <c r="H174" s="115">
        <v>0</v>
      </c>
      <c r="I174" s="115">
        <v>0</v>
      </c>
      <c r="J174" s="115" t="s">
        <v>659</v>
      </c>
      <c r="K174" t="str">
        <f t="shared" si="16"/>
        <v>D</v>
      </c>
      <c r="L174" s="173">
        <f t="shared" si="17"/>
        <v>2355.9899999999998</v>
      </c>
    </row>
    <row r="175" spans="1:12" x14ac:dyDescent="0.3">
      <c r="A175" t="s">
        <v>2744</v>
      </c>
      <c r="B175" t="s">
        <v>661</v>
      </c>
      <c r="C175">
        <f t="shared" si="18"/>
        <v>16</v>
      </c>
      <c r="D175" t="str">
        <f t="shared" si="19"/>
        <v>Norm</v>
      </c>
      <c r="E175">
        <f t="shared" si="20"/>
        <v>1</v>
      </c>
      <c r="F175" t="str">
        <f t="shared" si="21"/>
        <v>D</v>
      </c>
      <c r="G175" s="115" t="s">
        <v>662</v>
      </c>
      <c r="H175" s="115">
        <v>0</v>
      </c>
      <c r="I175" s="115">
        <v>0</v>
      </c>
      <c r="J175" s="115" t="s">
        <v>662</v>
      </c>
      <c r="K175" t="str">
        <f t="shared" si="16"/>
        <v>D</v>
      </c>
      <c r="L175" s="173">
        <f t="shared" si="17"/>
        <v>4391.76</v>
      </c>
    </row>
    <row r="176" spans="1:12" x14ac:dyDescent="0.3">
      <c r="A176" s="174" t="s">
        <v>2745</v>
      </c>
      <c r="B176" s="174" t="s">
        <v>664</v>
      </c>
      <c r="C176" s="174">
        <f t="shared" si="18"/>
        <v>8</v>
      </c>
      <c r="D176" s="174" t="str">
        <f t="shared" si="19"/>
        <v>Norm</v>
      </c>
      <c r="E176" s="174">
        <f t="shared" si="20"/>
        <v>1</v>
      </c>
      <c r="F176" s="174" t="str">
        <f t="shared" si="21"/>
        <v>D</v>
      </c>
      <c r="G176" s="175" t="s">
        <v>2746</v>
      </c>
      <c r="H176" s="176">
        <v>30043361.09</v>
      </c>
      <c r="I176" s="176">
        <v>62961239.280000001</v>
      </c>
      <c r="J176" s="175" t="s">
        <v>2747</v>
      </c>
      <c r="K176" s="174" t="str">
        <f t="shared" si="16"/>
        <v>D</v>
      </c>
      <c r="L176" s="177">
        <f t="shared" si="17"/>
        <v>28341193.789999999</v>
      </c>
    </row>
    <row r="177" spans="1:12" x14ac:dyDescent="0.3">
      <c r="A177" t="s">
        <v>2748</v>
      </c>
      <c r="B177" t="s">
        <v>667</v>
      </c>
      <c r="C177">
        <f t="shared" si="18"/>
        <v>11</v>
      </c>
      <c r="D177" t="str">
        <f t="shared" si="19"/>
        <v>Norm</v>
      </c>
      <c r="E177">
        <f t="shared" si="20"/>
        <v>1</v>
      </c>
      <c r="F177" t="str">
        <f t="shared" si="21"/>
        <v>D</v>
      </c>
      <c r="G177" s="115" t="s">
        <v>669</v>
      </c>
      <c r="H177" s="54">
        <v>22333293.699999999</v>
      </c>
      <c r="I177" s="54">
        <v>52012534.219999999</v>
      </c>
      <c r="J177" s="115" t="s">
        <v>2749</v>
      </c>
      <c r="K177" t="str">
        <f t="shared" si="16"/>
        <v>D</v>
      </c>
      <c r="L177" s="173">
        <f t="shared" si="17"/>
        <v>31320759.48</v>
      </c>
    </row>
    <row r="178" spans="1:12" x14ac:dyDescent="0.3">
      <c r="A178" t="s">
        <v>2750</v>
      </c>
      <c r="B178" t="s">
        <v>671</v>
      </c>
      <c r="C178">
        <f t="shared" si="18"/>
        <v>16</v>
      </c>
      <c r="D178" t="str">
        <f t="shared" si="19"/>
        <v>Norm</v>
      </c>
      <c r="E178">
        <f t="shared" si="20"/>
        <v>1</v>
      </c>
      <c r="F178" t="str">
        <f t="shared" si="21"/>
        <v>D</v>
      </c>
      <c r="G178" s="115" t="s">
        <v>672</v>
      </c>
      <c r="H178" s="54">
        <v>376132</v>
      </c>
      <c r="I178" s="115">
        <v>0</v>
      </c>
      <c r="J178" s="115" t="s">
        <v>2751</v>
      </c>
      <c r="K178" t="str">
        <f t="shared" si="16"/>
        <v>D</v>
      </c>
      <c r="L178" s="173">
        <f t="shared" si="17"/>
        <v>12378857.800000001</v>
      </c>
    </row>
    <row r="179" spans="1:12" x14ac:dyDescent="0.3">
      <c r="A179" t="s">
        <v>2752</v>
      </c>
      <c r="B179" t="s">
        <v>674</v>
      </c>
      <c r="C179">
        <f t="shared" si="18"/>
        <v>16</v>
      </c>
      <c r="D179" t="str">
        <f t="shared" si="19"/>
        <v>Norm</v>
      </c>
      <c r="E179">
        <f t="shared" si="20"/>
        <v>1</v>
      </c>
      <c r="F179" t="str">
        <f t="shared" si="21"/>
        <v>D</v>
      </c>
      <c r="G179" s="115" t="s">
        <v>676</v>
      </c>
      <c r="H179" s="54">
        <v>3504764.89</v>
      </c>
      <c r="I179" s="115">
        <v>0</v>
      </c>
      <c r="J179" s="115" t="s">
        <v>675</v>
      </c>
      <c r="K179" t="str">
        <f t="shared" si="16"/>
        <v>D</v>
      </c>
      <c r="L179" s="173">
        <f t="shared" si="17"/>
        <v>7392054.1699999999</v>
      </c>
    </row>
    <row r="180" spans="1:12" x14ac:dyDescent="0.3">
      <c r="A180" t="s">
        <v>2753</v>
      </c>
      <c r="B180" t="s">
        <v>678</v>
      </c>
      <c r="C180">
        <f t="shared" si="18"/>
        <v>16</v>
      </c>
      <c r="D180" t="str">
        <f t="shared" si="19"/>
        <v>Norm</v>
      </c>
      <c r="E180">
        <f t="shared" si="20"/>
        <v>1</v>
      </c>
      <c r="F180" t="str">
        <f t="shared" si="21"/>
        <v>D</v>
      </c>
      <c r="G180" s="115" t="s">
        <v>680</v>
      </c>
      <c r="H180" s="54">
        <v>440300.64</v>
      </c>
      <c r="I180" s="115">
        <v>0</v>
      </c>
      <c r="J180" s="115" t="s">
        <v>679</v>
      </c>
      <c r="K180" t="str">
        <f t="shared" si="16"/>
        <v>D</v>
      </c>
      <c r="L180" s="173">
        <f t="shared" si="17"/>
        <v>928657.5</v>
      </c>
    </row>
    <row r="181" spans="1:12" x14ac:dyDescent="0.3">
      <c r="A181" t="s">
        <v>2754</v>
      </c>
      <c r="B181" t="s">
        <v>682</v>
      </c>
      <c r="C181">
        <f t="shared" si="18"/>
        <v>16</v>
      </c>
      <c r="D181" t="str">
        <f t="shared" si="19"/>
        <v>Norm</v>
      </c>
      <c r="E181">
        <f t="shared" si="20"/>
        <v>1</v>
      </c>
      <c r="F181" t="str">
        <f t="shared" si="21"/>
        <v>D</v>
      </c>
      <c r="G181" s="115" t="s">
        <v>684</v>
      </c>
      <c r="H181" s="54">
        <v>125727.1</v>
      </c>
      <c r="I181" s="115">
        <v>0</v>
      </c>
      <c r="J181" s="115" t="s">
        <v>683</v>
      </c>
      <c r="K181" t="str">
        <f t="shared" si="16"/>
        <v>D</v>
      </c>
      <c r="L181" s="173">
        <f t="shared" si="17"/>
        <v>265176.57</v>
      </c>
    </row>
    <row r="182" spans="1:12" x14ac:dyDescent="0.3">
      <c r="A182" t="s">
        <v>2755</v>
      </c>
      <c r="B182" t="s">
        <v>686</v>
      </c>
      <c r="C182">
        <f t="shared" si="18"/>
        <v>16</v>
      </c>
      <c r="D182" t="str">
        <f t="shared" si="19"/>
        <v>Norm</v>
      </c>
      <c r="E182">
        <f t="shared" si="20"/>
        <v>1</v>
      </c>
      <c r="F182" t="str">
        <f t="shared" si="21"/>
        <v>D</v>
      </c>
      <c r="G182" s="115" t="s">
        <v>688</v>
      </c>
      <c r="H182" s="54">
        <v>130482.7</v>
      </c>
      <c r="I182" s="115">
        <v>0</v>
      </c>
      <c r="J182" s="115" t="s">
        <v>687</v>
      </c>
      <c r="K182" t="str">
        <f t="shared" si="16"/>
        <v>D</v>
      </c>
      <c r="L182" s="173">
        <f t="shared" si="17"/>
        <v>275206.83</v>
      </c>
    </row>
    <row r="183" spans="1:12" x14ac:dyDescent="0.3">
      <c r="A183" t="s">
        <v>2756</v>
      </c>
      <c r="B183" t="s">
        <v>690</v>
      </c>
      <c r="C183">
        <f t="shared" si="18"/>
        <v>16</v>
      </c>
      <c r="D183" t="str">
        <f t="shared" si="19"/>
        <v>Norm</v>
      </c>
      <c r="E183">
        <f t="shared" si="20"/>
        <v>1</v>
      </c>
      <c r="F183" t="str">
        <f t="shared" si="21"/>
        <v>D</v>
      </c>
      <c r="G183" s="115" t="s">
        <v>692</v>
      </c>
      <c r="H183" s="54">
        <v>151754.20000000001</v>
      </c>
      <c r="I183" s="115">
        <v>0</v>
      </c>
      <c r="J183" s="115" t="s">
        <v>691</v>
      </c>
      <c r="K183" t="str">
        <f t="shared" si="16"/>
        <v>D</v>
      </c>
      <c r="L183" s="173">
        <f t="shared" si="17"/>
        <v>320071.48</v>
      </c>
    </row>
    <row r="184" spans="1:12" x14ac:dyDescent="0.3">
      <c r="A184" t="s">
        <v>2757</v>
      </c>
      <c r="B184" t="s">
        <v>694</v>
      </c>
      <c r="C184">
        <f t="shared" si="18"/>
        <v>16</v>
      </c>
      <c r="D184" t="str">
        <f t="shared" si="19"/>
        <v>Norm</v>
      </c>
      <c r="E184">
        <f t="shared" si="20"/>
        <v>1</v>
      </c>
      <c r="F184" t="str">
        <f t="shared" si="21"/>
        <v>D</v>
      </c>
      <c r="G184" s="115" t="s">
        <v>695</v>
      </c>
      <c r="H184" s="54">
        <v>6016200.1799999997</v>
      </c>
      <c r="I184" s="54">
        <v>6016200.1799999997</v>
      </c>
      <c r="J184" s="115" t="s">
        <v>695</v>
      </c>
      <c r="K184" t="str">
        <f t="shared" si="16"/>
        <v>D</v>
      </c>
      <c r="L184" s="173">
        <f t="shared" si="17"/>
        <v>12550576.34</v>
      </c>
    </row>
    <row r="185" spans="1:12" x14ac:dyDescent="0.3">
      <c r="A185" t="s">
        <v>2758</v>
      </c>
      <c r="B185" t="s">
        <v>697</v>
      </c>
      <c r="C185">
        <f t="shared" si="18"/>
        <v>16</v>
      </c>
      <c r="D185" t="str">
        <f t="shared" si="19"/>
        <v>Norm</v>
      </c>
      <c r="E185">
        <f t="shared" si="20"/>
        <v>1</v>
      </c>
      <c r="F185" t="str">
        <f t="shared" si="21"/>
        <v>D</v>
      </c>
      <c r="G185" s="115" t="s">
        <v>699</v>
      </c>
      <c r="H185" s="54">
        <v>115488.74</v>
      </c>
      <c r="I185" s="115">
        <v>0</v>
      </c>
      <c r="J185" s="115" t="s">
        <v>698</v>
      </c>
      <c r="K185" t="str">
        <f t="shared" si="16"/>
        <v>D</v>
      </c>
      <c r="L185" s="173">
        <f t="shared" si="17"/>
        <v>243582.4</v>
      </c>
    </row>
    <row r="186" spans="1:12" x14ac:dyDescent="0.3">
      <c r="A186" t="s">
        <v>2759</v>
      </c>
      <c r="B186" t="s">
        <v>701</v>
      </c>
      <c r="C186">
        <f t="shared" si="18"/>
        <v>16</v>
      </c>
      <c r="D186" t="str">
        <f t="shared" si="19"/>
        <v>Norm</v>
      </c>
      <c r="E186">
        <f t="shared" si="20"/>
        <v>1</v>
      </c>
      <c r="F186" t="str">
        <f t="shared" si="21"/>
        <v>D</v>
      </c>
      <c r="G186" s="115" t="s">
        <v>703</v>
      </c>
      <c r="H186" s="54">
        <v>758008.9</v>
      </c>
      <c r="I186" s="115">
        <v>0</v>
      </c>
      <c r="J186" s="115" t="s">
        <v>702</v>
      </c>
      <c r="K186" t="str">
        <f t="shared" si="16"/>
        <v>D</v>
      </c>
      <c r="L186" s="173">
        <f t="shared" si="17"/>
        <v>1598750</v>
      </c>
    </row>
    <row r="187" spans="1:12" x14ac:dyDescent="0.3">
      <c r="A187" t="s">
        <v>2760</v>
      </c>
      <c r="B187" t="s">
        <v>705</v>
      </c>
      <c r="C187">
        <f t="shared" si="18"/>
        <v>16</v>
      </c>
      <c r="D187" t="str">
        <f t="shared" si="19"/>
        <v>Norm</v>
      </c>
      <c r="E187">
        <f t="shared" si="20"/>
        <v>1</v>
      </c>
      <c r="F187" t="str">
        <f t="shared" si="21"/>
        <v>D</v>
      </c>
      <c r="G187" s="115" t="s">
        <v>25</v>
      </c>
      <c r="H187" s="54">
        <v>889821.57</v>
      </c>
      <c r="I187" s="115">
        <v>0</v>
      </c>
      <c r="J187" s="115" t="s">
        <v>706</v>
      </c>
      <c r="K187" t="str">
        <f t="shared" si="16"/>
        <v>D</v>
      </c>
      <c r="L187" s="173">
        <f t="shared" si="17"/>
        <v>889821.57</v>
      </c>
    </row>
    <row r="188" spans="1:12" x14ac:dyDescent="0.3">
      <c r="A188" t="s">
        <v>2761</v>
      </c>
      <c r="B188" t="s">
        <v>708</v>
      </c>
      <c r="C188">
        <f t="shared" si="18"/>
        <v>16</v>
      </c>
      <c r="D188" t="str">
        <f t="shared" si="19"/>
        <v>Norm</v>
      </c>
      <c r="E188">
        <f t="shared" si="20"/>
        <v>1</v>
      </c>
      <c r="F188" t="str">
        <f t="shared" si="21"/>
        <v>D</v>
      </c>
      <c r="G188" s="115" t="s">
        <v>709</v>
      </c>
      <c r="H188" s="115">
        <v>0</v>
      </c>
      <c r="I188" s="54">
        <v>36446697.859999999</v>
      </c>
      <c r="J188" s="115">
        <v>0</v>
      </c>
      <c r="K188" t="str">
        <f t="shared" si="16"/>
        <v>0</v>
      </c>
      <c r="L188" s="173">
        <f t="shared" si="17"/>
        <v>0</v>
      </c>
    </row>
    <row r="189" spans="1:12" x14ac:dyDescent="0.3">
      <c r="A189" t="s">
        <v>2762</v>
      </c>
      <c r="B189" t="s">
        <v>711</v>
      </c>
      <c r="C189">
        <f t="shared" si="18"/>
        <v>16</v>
      </c>
      <c r="D189" t="str">
        <f t="shared" si="19"/>
        <v>Norm</v>
      </c>
      <c r="E189">
        <f t="shared" si="20"/>
        <v>1</v>
      </c>
      <c r="F189" t="str">
        <f t="shared" si="21"/>
        <v>D</v>
      </c>
      <c r="G189" s="115" t="s">
        <v>712</v>
      </c>
      <c r="H189" s="115">
        <v>0</v>
      </c>
      <c r="I189" s="54">
        <v>1828160.71</v>
      </c>
      <c r="J189" s="115" t="s">
        <v>25</v>
      </c>
      <c r="K189" t="str">
        <f t="shared" si="16"/>
        <v>D</v>
      </c>
      <c r="L189" s="173">
        <f t="shared" si="17"/>
        <v>0</v>
      </c>
    </row>
    <row r="190" spans="1:12" x14ac:dyDescent="0.3">
      <c r="A190" t="s">
        <v>2763</v>
      </c>
      <c r="B190" t="s">
        <v>714</v>
      </c>
      <c r="C190">
        <f t="shared" si="18"/>
        <v>16</v>
      </c>
      <c r="D190" t="str">
        <f t="shared" si="19"/>
        <v>Norm</v>
      </c>
      <c r="E190">
        <f t="shared" si="20"/>
        <v>1</v>
      </c>
      <c r="F190" t="str">
        <f t="shared" si="21"/>
        <v>D</v>
      </c>
      <c r="G190" s="115" t="s">
        <v>715</v>
      </c>
      <c r="H190" s="115">
        <v>0</v>
      </c>
      <c r="I190" s="54">
        <v>56843.14</v>
      </c>
      <c r="J190" s="115" t="s">
        <v>25</v>
      </c>
      <c r="K190" t="str">
        <f t="shared" si="16"/>
        <v>D</v>
      </c>
      <c r="L190" s="173">
        <f t="shared" si="17"/>
        <v>0</v>
      </c>
    </row>
    <row r="191" spans="1:12" x14ac:dyDescent="0.3">
      <c r="A191" t="s">
        <v>2764</v>
      </c>
      <c r="B191" t="s">
        <v>717</v>
      </c>
      <c r="C191">
        <f t="shared" si="18"/>
        <v>16</v>
      </c>
      <c r="D191" t="str">
        <f t="shared" si="19"/>
        <v>Norm</v>
      </c>
      <c r="E191">
        <f t="shared" si="20"/>
        <v>1</v>
      </c>
      <c r="F191" t="str">
        <f t="shared" si="21"/>
        <v>D</v>
      </c>
      <c r="G191" s="115" t="s">
        <v>718</v>
      </c>
      <c r="H191" s="115">
        <v>0</v>
      </c>
      <c r="I191" s="54">
        <v>209478.53</v>
      </c>
      <c r="J191" s="115" t="s">
        <v>25</v>
      </c>
      <c r="K191" t="str">
        <f t="shared" si="16"/>
        <v>D</v>
      </c>
      <c r="L191" s="173">
        <f t="shared" si="17"/>
        <v>0</v>
      </c>
    </row>
    <row r="192" spans="1:12" x14ac:dyDescent="0.3">
      <c r="A192" t="s">
        <v>2765</v>
      </c>
      <c r="B192" t="s">
        <v>720</v>
      </c>
      <c r="C192">
        <f t="shared" si="18"/>
        <v>16</v>
      </c>
      <c r="D192" t="str">
        <f t="shared" si="19"/>
        <v>Norm</v>
      </c>
      <c r="E192">
        <f t="shared" si="20"/>
        <v>1</v>
      </c>
      <c r="F192" t="str">
        <f t="shared" si="21"/>
        <v>D</v>
      </c>
      <c r="G192" s="115" t="s">
        <v>721</v>
      </c>
      <c r="H192" s="115">
        <v>0</v>
      </c>
      <c r="I192" s="54">
        <v>56739.38</v>
      </c>
      <c r="J192" s="115" t="s">
        <v>25</v>
      </c>
      <c r="K192" t="str">
        <f t="shared" si="16"/>
        <v>D</v>
      </c>
      <c r="L192" s="173">
        <f t="shared" si="17"/>
        <v>0</v>
      </c>
    </row>
    <row r="193" spans="1:12" x14ac:dyDescent="0.3">
      <c r="A193" t="s">
        <v>2766</v>
      </c>
      <c r="B193" t="s">
        <v>723</v>
      </c>
      <c r="C193">
        <f t="shared" si="18"/>
        <v>16</v>
      </c>
      <c r="D193" t="str">
        <f t="shared" si="19"/>
        <v>Norm</v>
      </c>
      <c r="E193">
        <f t="shared" si="20"/>
        <v>1</v>
      </c>
      <c r="F193" t="str">
        <f t="shared" si="21"/>
        <v>D</v>
      </c>
      <c r="G193" s="115" t="s">
        <v>724</v>
      </c>
      <c r="H193" s="115">
        <v>0</v>
      </c>
      <c r="I193" s="54">
        <v>74806.34</v>
      </c>
      <c r="J193" s="115" t="s">
        <v>25</v>
      </c>
      <c r="K193" t="str">
        <f t="shared" si="16"/>
        <v>D</v>
      </c>
      <c r="L193" s="173">
        <f t="shared" si="17"/>
        <v>0</v>
      </c>
    </row>
    <row r="194" spans="1:12" x14ac:dyDescent="0.3">
      <c r="A194" t="s">
        <v>2767</v>
      </c>
      <c r="B194" t="s">
        <v>726</v>
      </c>
      <c r="C194">
        <f t="shared" si="18"/>
        <v>16</v>
      </c>
      <c r="D194" t="str">
        <f t="shared" si="19"/>
        <v>Norm</v>
      </c>
      <c r="E194">
        <f t="shared" si="20"/>
        <v>1</v>
      </c>
      <c r="F194" t="str">
        <f t="shared" si="21"/>
        <v>D</v>
      </c>
      <c r="G194" s="115" t="s">
        <v>727</v>
      </c>
      <c r="H194" s="115">
        <v>0</v>
      </c>
      <c r="I194" s="54">
        <v>931275.9</v>
      </c>
      <c r="J194" s="115" t="s">
        <v>25</v>
      </c>
      <c r="K194" t="str">
        <f t="shared" si="16"/>
        <v>D</v>
      </c>
      <c r="L194" s="173">
        <f t="shared" si="17"/>
        <v>0</v>
      </c>
    </row>
    <row r="195" spans="1:12" x14ac:dyDescent="0.3">
      <c r="A195" t="s">
        <v>2768</v>
      </c>
      <c r="B195" t="s">
        <v>729</v>
      </c>
      <c r="C195">
        <f t="shared" si="18"/>
        <v>16</v>
      </c>
      <c r="D195" t="str">
        <f t="shared" si="19"/>
        <v>Norm</v>
      </c>
      <c r="E195">
        <f t="shared" si="20"/>
        <v>1</v>
      </c>
      <c r="F195" t="str">
        <f t="shared" si="21"/>
        <v>D</v>
      </c>
      <c r="G195" s="115" t="s">
        <v>730</v>
      </c>
      <c r="H195" s="54">
        <v>8894738.5</v>
      </c>
      <c r="I195" s="115">
        <v>0</v>
      </c>
      <c r="J195" s="115" t="s">
        <v>25</v>
      </c>
      <c r="K195" t="str">
        <f t="shared" ref="K195:K258" si="22">RIGHT(J195,1)</f>
        <v>D</v>
      </c>
      <c r="L195" s="173">
        <f t="shared" ref="L195:L258" si="23">IF(J195=0,0,LEFT(J195,LEN(J195)-1)+0)</f>
        <v>0</v>
      </c>
    </row>
    <row r="196" spans="1:12" x14ac:dyDescent="0.3">
      <c r="A196" t="s">
        <v>2769</v>
      </c>
      <c r="B196" t="s">
        <v>732</v>
      </c>
      <c r="C196">
        <f t="shared" si="18"/>
        <v>16</v>
      </c>
      <c r="D196" t="str">
        <f t="shared" si="19"/>
        <v>Norm</v>
      </c>
      <c r="E196">
        <f t="shared" si="20"/>
        <v>1</v>
      </c>
      <c r="F196" t="str">
        <f t="shared" si="21"/>
        <v>D</v>
      </c>
      <c r="G196" s="115" t="s">
        <v>733</v>
      </c>
      <c r="H196" s="54">
        <v>59537.279999999999</v>
      </c>
      <c r="I196" s="115">
        <v>0</v>
      </c>
      <c r="J196" s="115" t="s">
        <v>25</v>
      </c>
      <c r="K196" t="str">
        <f t="shared" si="22"/>
        <v>D</v>
      </c>
      <c r="L196" s="173">
        <f t="shared" si="23"/>
        <v>0</v>
      </c>
    </row>
    <row r="197" spans="1:12" x14ac:dyDescent="0.3">
      <c r="A197" t="s">
        <v>2770</v>
      </c>
      <c r="B197" t="s">
        <v>2188</v>
      </c>
      <c r="C197">
        <f t="shared" si="18"/>
        <v>16</v>
      </c>
      <c r="D197" t="str">
        <f t="shared" si="19"/>
        <v>Norm</v>
      </c>
      <c r="E197">
        <f t="shared" si="20"/>
        <v>1</v>
      </c>
      <c r="F197" t="str">
        <f t="shared" si="21"/>
        <v>D</v>
      </c>
      <c r="G197" s="115">
        <v>0</v>
      </c>
      <c r="H197" s="54">
        <v>870337</v>
      </c>
      <c r="I197" s="54">
        <v>376132</v>
      </c>
      <c r="J197" s="115" t="s">
        <v>2771</v>
      </c>
      <c r="K197" t="str">
        <f t="shared" si="22"/>
        <v>D</v>
      </c>
      <c r="L197" s="173">
        <f t="shared" si="23"/>
        <v>494205</v>
      </c>
    </row>
    <row r="198" spans="1:12" x14ac:dyDescent="0.3">
      <c r="A198" t="s">
        <v>2772</v>
      </c>
      <c r="B198" t="s">
        <v>2189</v>
      </c>
      <c r="C198">
        <f t="shared" si="18"/>
        <v>16</v>
      </c>
      <c r="D198" t="str">
        <f t="shared" si="19"/>
        <v>Norm</v>
      </c>
      <c r="E198">
        <f t="shared" si="20"/>
        <v>1</v>
      </c>
      <c r="F198" t="str">
        <f t="shared" si="21"/>
        <v>D</v>
      </c>
      <c r="G198" s="115" t="s">
        <v>884</v>
      </c>
      <c r="H198" s="115">
        <v>0</v>
      </c>
      <c r="I198" s="54">
        <v>6016200.1799999997</v>
      </c>
      <c r="J198" s="115" t="s">
        <v>2190</v>
      </c>
      <c r="K198" t="str">
        <f t="shared" si="22"/>
        <v>C</v>
      </c>
      <c r="L198" s="173">
        <f>-IF(J198=0,0,LEFT(J198,LEN(J198)-1)+0)</f>
        <v>-6016200.1799999997</v>
      </c>
    </row>
    <row r="199" spans="1:12" x14ac:dyDescent="0.3">
      <c r="A199" t="s">
        <v>2773</v>
      </c>
      <c r="B199" t="s">
        <v>735</v>
      </c>
      <c r="C199">
        <f t="shared" si="18"/>
        <v>11</v>
      </c>
      <c r="D199" t="str">
        <f t="shared" si="19"/>
        <v>Norm</v>
      </c>
      <c r="E199">
        <f t="shared" si="20"/>
        <v>1</v>
      </c>
      <c r="F199" t="str">
        <f t="shared" si="21"/>
        <v>D</v>
      </c>
      <c r="G199" s="115" t="s">
        <v>737</v>
      </c>
      <c r="H199" s="54">
        <v>2780112.23</v>
      </c>
      <c r="I199" s="54">
        <v>218568.11</v>
      </c>
      <c r="J199" s="115" t="s">
        <v>2774</v>
      </c>
      <c r="K199" t="str">
        <f t="shared" si="22"/>
        <v>D</v>
      </c>
      <c r="L199" s="173">
        <f t="shared" si="23"/>
        <v>20901731.469999999</v>
      </c>
    </row>
    <row r="200" spans="1:12" x14ac:dyDescent="0.3">
      <c r="A200" t="s">
        <v>2775</v>
      </c>
      <c r="B200" t="s">
        <v>739</v>
      </c>
      <c r="C200">
        <f t="shared" si="18"/>
        <v>16</v>
      </c>
      <c r="D200" t="str">
        <f t="shared" si="19"/>
        <v>Norm</v>
      </c>
      <c r="E200">
        <f t="shared" si="20"/>
        <v>1</v>
      </c>
      <c r="F200" t="str">
        <f t="shared" si="21"/>
        <v>D</v>
      </c>
      <c r="G200" s="115" t="s">
        <v>741</v>
      </c>
      <c r="H200" s="54">
        <v>267601.31</v>
      </c>
      <c r="I200" s="115">
        <v>0</v>
      </c>
      <c r="J200" s="115" t="s">
        <v>2191</v>
      </c>
      <c r="K200" t="str">
        <f t="shared" si="22"/>
        <v>D</v>
      </c>
      <c r="L200" s="173">
        <f t="shared" si="23"/>
        <v>14084602.359999999</v>
      </c>
    </row>
    <row r="201" spans="1:12" x14ac:dyDescent="0.3">
      <c r="A201" t="s">
        <v>2776</v>
      </c>
      <c r="B201" t="s">
        <v>743</v>
      </c>
      <c r="C201">
        <f t="shared" si="18"/>
        <v>16</v>
      </c>
      <c r="D201" t="str">
        <f t="shared" si="19"/>
        <v>Norm</v>
      </c>
      <c r="E201">
        <f t="shared" si="20"/>
        <v>1</v>
      </c>
      <c r="F201" t="str">
        <f t="shared" si="21"/>
        <v>D</v>
      </c>
      <c r="G201" s="115" t="s">
        <v>744</v>
      </c>
      <c r="H201" s="54">
        <v>2308423.5</v>
      </c>
      <c r="I201" s="115">
        <v>0</v>
      </c>
      <c r="J201" s="115" t="s">
        <v>2192</v>
      </c>
      <c r="K201" t="str">
        <f t="shared" si="22"/>
        <v>D</v>
      </c>
      <c r="L201" s="173">
        <f t="shared" si="23"/>
        <v>5813175.4400000004</v>
      </c>
    </row>
    <row r="202" spans="1:12" x14ac:dyDescent="0.3">
      <c r="A202" t="s">
        <v>2777</v>
      </c>
      <c r="B202" t="s">
        <v>746</v>
      </c>
      <c r="C202">
        <f t="shared" si="18"/>
        <v>16</v>
      </c>
      <c r="D202" t="str">
        <f t="shared" si="19"/>
        <v>Norm</v>
      </c>
      <c r="E202">
        <f t="shared" si="20"/>
        <v>1</v>
      </c>
      <c r="F202" t="str">
        <f t="shared" si="21"/>
        <v>D</v>
      </c>
      <c r="G202" s="115" t="s">
        <v>747</v>
      </c>
      <c r="H202" s="54">
        <v>204087.42</v>
      </c>
      <c r="I202" s="115">
        <v>0</v>
      </c>
      <c r="J202" s="115" t="s">
        <v>2193</v>
      </c>
      <c r="K202" t="str">
        <f t="shared" si="22"/>
        <v>D</v>
      </c>
      <c r="L202" s="173">
        <f t="shared" si="23"/>
        <v>718728.13</v>
      </c>
    </row>
    <row r="203" spans="1:12" x14ac:dyDescent="0.3">
      <c r="A203" t="s">
        <v>2778</v>
      </c>
      <c r="B203" t="s">
        <v>749</v>
      </c>
      <c r="C203">
        <f t="shared" si="18"/>
        <v>16</v>
      </c>
      <c r="D203" t="str">
        <f t="shared" si="19"/>
        <v>Norm</v>
      </c>
      <c r="E203">
        <f t="shared" si="20"/>
        <v>1</v>
      </c>
      <c r="F203" t="str">
        <f t="shared" si="21"/>
        <v>D</v>
      </c>
      <c r="G203" s="115" t="s">
        <v>750</v>
      </c>
      <c r="H203" s="115">
        <v>0</v>
      </c>
      <c r="I203" s="54">
        <v>18997.66</v>
      </c>
      <c r="J203" s="115" t="s">
        <v>2194</v>
      </c>
      <c r="K203" t="str">
        <f t="shared" si="22"/>
        <v>D</v>
      </c>
      <c r="L203" s="173">
        <f t="shared" si="23"/>
        <v>8050</v>
      </c>
    </row>
    <row r="204" spans="1:12" x14ac:dyDescent="0.3">
      <c r="A204" t="s">
        <v>2779</v>
      </c>
      <c r="B204" t="s">
        <v>752</v>
      </c>
      <c r="C204">
        <f t="shared" si="18"/>
        <v>16</v>
      </c>
      <c r="D204" t="str">
        <f t="shared" si="19"/>
        <v>Norm</v>
      </c>
      <c r="E204">
        <f t="shared" si="20"/>
        <v>1</v>
      </c>
      <c r="F204" t="str">
        <f t="shared" si="21"/>
        <v>D</v>
      </c>
      <c r="G204" s="115" t="s">
        <v>753</v>
      </c>
      <c r="H204" s="115">
        <v>0</v>
      </c>
      <c r="I204" s="54">
        <v>147845.88</v>
      </c>
      <c r="J204" s="115" t="s">
        <v>2195</v>
      </c>
      <c r="K204" t="str">
        <f t="shared" si="22"/>
        <v>D</v>
      </c>
      <c r="L204" s="173">
        <f t="shared" si="23"/>
        <v>259784.67</v>
      </c>
    </row>
    <row r="205" spans="1:12" x14ac:dyDescent="0.3">
      <c r="A205" t="s">
        <v>2780</v>
      </c>
      <c r="B205" t="s">
        <v>755</v>
      </c>
      <c r="C205">
        <f t="shared" ref="C205:C268" si="24">LEN(B205)</f>
        <v>16</v>
      </c>
      <c r="D205" t="str">
        <f t="shared" ref="D205:D268" si="25">IF(LEFT(TRIM(A205),1)="(","Red.","Norm")</f>
        <v>Norm</v>
      </c>
      <c r="E205">
        <f t="shared" ref="E205:E268" si="26">LEFT(SUBSTITUTE(B205,"[","",1),1)+0</f>
        <v>1</v>
      </c>
      <c r="F205" t="str">
        <f t="shared" ref="F205:F268" si="27">IF(AND(OR(E205=1,E205=3,E205=5),D205="Norm"),"D",
IF(AND(OR(E205=1,E205=3,E205=5),D205="Red."),"C",
IF(AND(OR(E205=2,E205=4,E205=6),D205="Norm"),"C",
IF(AND(OR(E205=2,E205=4,E205=6),D205="Red."),"D"))))</f>
        <v>D</v>
      </c>
      <c r="G205" s="115" t="s">
        <v>756</v>
      </c>
      <c r="H205" s="115">
        <v>0</v>
      </c>
      <c r="I205" s="54">
        <v>7017.3</v>
      </c>
      <c r="J205" s="115" t="s">
        <v>2196</v>
      </c>
      <c r="K205" t="str">
        <f t="shared" si="22"/>
        <v>D</v>
      </c>
      <c r="L205" s="173">
        <f t="shared" si="23"/>
        <v>2282.4899999999998</v>
      </c>
    </row>
    <row r="206" spans="1:12" x14ac:dyDescent="0.3">
      <c r="A206" t="s">
        <v>2781</v>
      </c>
      <c r="B206" t="s">
        <v>758</v>
      </c>
      <c r="C206">
        <f t="shared" si="24"/>
        <v>16</v>
      </c>
      <c r="D206" t="str">
        <f t="shared" si="25"/>
        <v>Norm</v>
      </c>
      <c r="E206">
        <f t="shared" si="26"/>
        <v>1</v>
      </c>
      <c r="F206" t="str">
        <f t="shared" si="27"/>
        <v>D</v>
      </c>
      <c r="G206" s="115" t="s">
        <v>759</v>
      </c>
      <c r="H206" s="115">
        <v>0</v>
      </c>
      <c r="I206" s="54">
        <v>35678.269999999997</v>
      </c>
      <c r="J206" s="115" t="s">
        <v>2197</v>
      </c>
      <c r="K206" t="str">
        <f t="shared" si="22"/>
        <v>D</v>
      </c>
      <c r="L206" s="173">
        <f t="shared" si="23"/>
        <v>15108.38</v>
      </c>
    </row>
    <row r="207" spans="1:12" x14ac:dyDescent="0.3">
      <c r="A207" t="s">
        <v>2782</v>
      </c>
      <c r="B207" t="s">
        <v>761</v>
      </c>
      <c r="C207">
        <f t="shared" si="24"/>
        <v>16</v>
      </c>
      <c r="D207" t="str">
        <f t="shared" si="25"/>
        <v>Norm</v>
      </c>
      <c r="E207">
        <f t="shared" si="26"/>
        <v>1</v>
      </c>
      <c r="F207" t="str">
        <f t="shared" si="27"/>
        <v>D</v>
      </c>
      <c r="G207" s="115" t="s">
        <v>762</v>
      </c>
      <c r="H207" s="115">
        <v>0</v>
      </c>
      <c r="I207" s="54">
        <v>9029</v>
      </c>
      <c r="J207" s="115" t="s">
        <v>25</v>
      </c>
      <c r="K207" t="str">
        <f t="shared" si="22"/>
        <v>D</v>
      </c>
      <c r="L207" s="173">
        <f t="shared" si="23"/>
        <v>0</v>
      </c>
    </row>
    <row r="208" spans="1:12" x14ac:dyDescent="0.3">
      <c r="A208" t="s">
        <v>2783</v>
      </c>
      <c r="B208" t="s">
        <v>764</v>
      </c>
      <c r="C208">
        <f t="shared" si="24"/>
        <v>11</v>
      </c>
      <c r="D208" t="str">
        <f t="shared" si="25"/>
        <v>Norm</v>
      </c>
      <c r="E208">
        <f t="shared" si="26"/>
        <v>1</v>
      </c>
      <c r="F208" t="str">
        <f t="shared" si="27"/>
        <v>D</v>
      </c>
      <c r="G208" s="115" t="s">
        <v>766</v>
      </c>
      <c r="H208" s="54">
        <v>352159.59</v>
      </c>
      <c r="I208" s="54">
        <v>176264.87</v>
      </c>
      <c r="J208" s="115" t="s">
        <v>2784</v>
      </c>
      <c r="K208" t="str">
        <f t="shared" si="22"/>
        <v>D</v>
      </c>
      <c r="L208" s="173">
        <f t="shared" si="23"/>
        <v>687191.35</v>
      </c>
    </row>
    <row r="209" spans="1:12" x14ac:dyDescent="0.3">
      <c r="A209" t="s">
        <v>2785</v>
      </c>
      <c r="B209" t="s">
        <v>768</v>
      </c>
      <c r="C209">
        <f t="shared" si="24"/>
        <v>16</v>
      </c>
      <c r="D209" t="str">
        <f t="shared" si="25"/>
        <v>Norm</v>
      </c>
      <c r="E209">
        <f t="shared" si="26"/>
        <v>1</v>
      </c>
      <c r="F209" t="str">
        <f t="shared" si="27"/>
        <v>D</v>
      </c>
      <c r="G209" s="115" t="s">
        <v>769</v>
      </c>
      <c r="H209" s="115">
        <v>0</v>
      </c>
      <c r="I209" s="54">
        <v>48673.2</v>
      </c>
      <c r="J209" s="115" t="s">
        <v>2198</v>
      </c>
      <c r="K209" t="str">
        <f t="shared" si="22"/>
        <v>D</v>
      </c>
      <c r="L209" s="173">
        <f t="shared" si="23"/>
        <v>72032.53</v>
      </c>
    </row>
    <row r="210" spans="1:12" x14ac:dyDescent="0.3">
      <c r="A210" t="s">
        <v>2786</v>
      </c>
      <c r="B210" t="s">
        <v>771</v>
      </c>
      <c r="C210">
        <f t="shared" si="24"/>
        <v>16</v>
      </c>
      <c r="D210" t="str">
        <f t="shared" si="25"/>
        <v>Norm</v>
      </c>
      <c r="E210">
        <f t="shared" si="26"/>
        <v>1</v>
      </c>
      <c r="F210" t="str">
        <f t="shared" si="27"/>
        <v>D</v>
      </c>
      <c r="G210" s="115" t="s">
        <v>772</v>
      </c>
      <c r="H210" s="115">
        <v>0</v>
      </c>
      <c r="I210" s="54">
        <v>108367.77</v>
      </c>
      <c r="J210" s="115" t="s">
        <v>2199</v>
      </c>
      <c r="K210" t="str">
        <f t="shared" si="22"/>
        <v>D</v>
      </c>
      <c r="L210" s="173">
        <f t="shared" si="23"/>
        <v>25270</v>
      </c>
    </row>
    <row r="211" spans="1:12" x14ac:dyDescent="0.3">
      <c r="A211" t="s">
        <v>2787</v>
      </c>
      <c r="B211" t="s">
        <v>774</v>
      </c>
      <c r="C211">
        <f t="shared" si="24"/>
        <v>16</v>
      </c>
      <c r="D211" t="str">
        <f t="shared" si="25"/>
        <v>Norm</v>
      </c>
      <c r="E211">
        <f t="shared" si="26"/>
        <v>1</v>
      </c>
      <c r="F211" t="str">
        <f t="shared" si="27"/>
        <v>D</v>
      </c>
      <c r="G211" s="115" t="s">
        <v>775</v>
      </c>
      <c r="H211" s="54">
        <v>331178.59000000003</v>
      </c>
      <c r="I211" s="115">
        <v>0</v>
      </c>
      <c r="J211" s="115" t="s">
        <v>2200</v>
      </c>
      <c r="K211" t="str">
        <f t="shared" si="22"/>
        <v>D</v>
      </c>
      <c r="L211" s="173">
        <f t="shared" si="23"/>
        <v>345503.5</v>
      </c>
    </row>
    <row r="212" spans="1:12" x14ac:dyDescent="0.3">
      <c r="A212" t="s">
        <v>2788</v>
      </c>
      <c r="B212" t="s">
        <v>777</v>
      </c>
      <c r="C212">
        <f t="shared" si="24"/>
        <v>16</v>
      </c>
      <c r="D212" t="str">
        <f t="shared" si="25"/>
        <v>Norm</v>
      </c>
      <c r="E212">
        <f t="shared" si="26"/>
        <v>1</v>
      </c>
      <c r="F212" t="str">
        <f t="shared" si="27"/>
        <v>D</v>
      </c>
      <c r="G212" s="115" t="s">
        <v>778</v>
      </c>
      <c r="H212" s="54">
        <v>20981</v>
      </c>
      <c r="I212" s="115">
        <v>0</v>
      </c>
      <c r="J212" s="115" t="s">
        <v>2201</v>
      </c>
      <c r="K212" t="str">
        <f t="shared" si="22"/>
        <v>D</v>
      </c>
      <c r="L212" s="173">
        <f t="shared" si="23"/>
        <v>243588.32</v>
      </c>
    </row>
    <row r="213" spans="1:12" x14ac:dyDescent="0.3">
      <c r="A213" t="s">
        <v>2789</v>
      </c>
      <c r="B213" t="s">
        <v>780</v>
      </c>
      <c r="C213">
        <f t="shared" si="24"/>
        <v>16</v>
      </c>
      <c r="D213" t="str">
        <f t="shared" si="25"/>
        <v>Norm</v>
      </c>
      <c r="E213">
        <f t="shared" si="26"/>
        <v>1</v>
      </c>
      <c r="F213" t="str">
        <f t="shared" si="27"/>
        <v>D</v>
      </c>
      <c r="G213" s="115" t="s">
        <v>781</v>
      </c>
      <c r="H213" s="115">
        <v>0</v>
      </c>
      <c r="I213" s="54">
        <v>19223.900000000001</v>
      </c>
      <c r="J213" s="115" t="s">
        <v>2202</v>
      </c>
      <c r="K213" t="str">
        <f t="shared" si="22"/>
        <v>D</v>
      </c>
      <c r="L213" s="173">
        <f t="shared" si="23"/>
        <v>797</v>
      </c>
    </row>
    <row r="214" spans="1:12" x14ac:dyDescent="0.3">
      <c r="A214" t="s">
        <v>2790</v>
      </c>
      <c r="B214" t="s">
        <v>783</v>
      </c>
      <c r="C214">
        <f t="shared" si="24"/>
        <v>11</v>
      </c>
      <c r="D214" t="str">
        <f t="shared" si="25"/>
        <v>Norm</v>
      </c>
      <c r="E214">
        <f t="shared" si="26"/>
        <v>1</v>
      </c>
      <c r="F214" t="str">
        <f t="shared" si="27"/>
        <v>D</v>
      </c>
      <c r="G214" s="115" t="s">
        <v>25</v>
      </c>
      <c r="H214" s="54">
        <v>3202809.3</v>
      </c>
      <c r="I214" s="115">
        <v>0</v>
      </c>
      <c r="J214" s="115" t="s">
        <v>2791</v>
      </c>
      <c r="K214" t="str">
        <f t="shared" si="22"/>
        <v>D</v>
      </c>
      <c r="L214" s="173">
        <f t="shared" si="23"/>
        <v>3202809.3</v>
      </c>
    </row>
    <row r="215" spans="1:12" x14ac:dyDescent="0.3">
      <c r="A215" t="s">
        <v>2792</v>
      </c>
      <c r="B215" t="s">
        <v>786</v>
      </c>
      <c r="C215">
        <f t="shared" si="24"/>
        <v>16</v>
      </c>
      <c r="D215" t="str">
        <f t="shared" si="25"/>
        <v>Norm</v>
      </c>
      <c r="E215">
        <f t="shared" si="26"/>
        <v>1</v>
      </c>
      <c r="F215" t="str">
        <f t="shared" si="27"/>
        <v>D</v>
      </c>
      <c r="G215" s="115" t="s">
        <v>788</v>
      </c>
      <c r="H215" s="54">
        <v>798629.93</v>
      </c>
      <c r="I215" s="115">
        <v>0</v>
      </c>
      <c r="J215" s="115" t="s">
        <v>787</v>
      </c>
      <c r="K215" t="str">
        <f t="shared" si="22"/>
        <v>D</v>
      </c>
      <c r="L215" s="173">
        <f t="shared" si="23"/>
        <v>1537069.64</v>
      </c>
    </row>
    <row r="216" spans="1:12" x14ac:dyDescent="0.3">
      <c r="A216" t="s">
        <v>2793</v>
      </c>
      <c r="B216" t="s">
        <v>790</v>
      </c>
      <c r="C216">
        <f t="shared" si="24"/>
        <v>16</v>
      </c>
      <c r="D216" t="str">
        <f t="shared" si="25"/>
        <v>Norm</v>
      </c>
      <c r="E216">
        <f t="shared" si="26"/>
        <v>1</v>
      </c>
      <c r="F216" t="str">
        <f t="shared" si="27"/>
        <v>D</v>
      </c>
      <c r="G216" s="115" t="s">
        <v>792</v>
      </c>
      <c r="H216" s="54">
        <v>137622.89000000001</v>
      </c>
      <c r="I216" s="115">
        <v>0</v>
      </c>
      <c r="J216" s="115" t="s">
        <v>791</v>
      </c>
      <c r="K216" t="str">
        <f t="shared" si="22"/>
        <v>D</v>
      </c>
      <c r="L216" s="173">
        <f t="shared" si="23"/>
        <v>264873.58</v>
      </c>
    </row>
    <row r="217" spans="1:12" x14ac:dyDescent="0.3">
      <c r="A217" t="s">
        <v>2794</v>
      </c>
      <c r="B217" t="s">
        <v>794</v>
      </c>
      <c r="C217">
        <f t="shared" si="24"/>
        <v>16</v>
      </c>
      <c r="D217" t="str">
        <f t="shared" si="25"/>
        <v>Norm</v>
      </c>
      <c r="E217">
        <f t="shared" si="26"/>
        <v>1</v>
      </c>
      <c r="F217" t="str">
        <f t="shared" si="27"/>
        <v>D</v>
      </c>
      <c r="G217" s="115" t="s">
        <v>796</v>
      </c>
      <c r="H217" s="54">
        <v>587558.81999999995</v>
      </c>
      <c r="I217" s="115">
        <v>0</v>
      </c>
      <c r="J217" s="115" t="s">
        <v>795</v>
      </c>
      <c r="K217" t="str">
        <f t="shared" si="22"/>
        <v>D</v>
      </c>
      <c r="L217" s="173">
        <f t="shared" si="23"/>
        <v>1130835.2</v>
      </c>
    </row>
    <row r="218" spans="1:12" x14ac:dyDescent="0.3">
      <c r="A218" t="s">
        <v>2795</v>
      </c>
      <c r="B218" t="s">
        <v>798</v>
      </c>
      <c r="C218">
        <f t="shared" si="24"/>
        <v>16</v>
      </c>
      <c r="D218" t="str">
        <f t="shared" si="25"/>
        <v>Norm</v>
      </c>
      <c r="E218">
        <f t="shared" si="26"/>
        <v>1</v>
      </c>
      <c r="F218" t="str">
        <f t="shared" si="27"/>
        <v>D</v>
      </c>
      <c r="G218" s="115" t="s">
        <v>800</v>
      </c>
      <c r="H218" s="115">
        <v>467.62</v>
      </c>
      <c r="I218" s="115">
        <v>0</v>
      </c>
      <c r="J218" s="115" t="s">
        <v>799</v>
      </c>
      <c r="K218" t="str">
        <f t="shared" si="22"/>
        <v>D</v>
      </c>
      <c r="L218" s="173">
        <f t="shared" si="23"/>
        <v>900</v>
      </c>
    </row>
    <row r="219" spans="1:12" x14ac:dyDescent="0.3">
      <c r="A219" t="s">
        <v>2796</v>
      </c>
      <c r="B219" t="s">
        <v>802</v>
      </c>
      <c r="C219">
        <f t="shared" si="24"/>
        <v>16</v>
      </c>
      <c r="D219" t="str">
        <f t="shared" si="25"/>
        <v>Norm</v>
      </c>
      <c r="E219">
        <f t="shared" si="26"/>
        <v>1</v>
      </c>
      <c r="F219" t="str">
        <f t="shared" si="27"/>
        <v>D</v>
      </c>
      <c r="G219" s="115" t="s">
        <v>804</v>
      </c>
      <c r="H219" s="54">
        <v>139834.9</v>
      </c>
      <c r="I219" s="115">
        <v>0</v>
      </c>
      <c r="J219" s="115" t="s">
        <v>803</v>
      </c>
      <c r="K219" t="str">
        <f t="shared" si="22"/>
        <v>D</v>
      </c>
      <c r="L219" s="173">
        <f t="shared" si="23"/>
        <v>269130.88</v>
      </c>
    </row>
    <row r="220" spans="1:12" x14ac:dyDescent="0.3">
      <c r="A220" t="s">
        <v>2797</v>
      </c>
      <c r="B220" t="s">
        <v>806</v>
      </c>
      <c r="C220">
        <f t="shared" si="24"/>
        <v>16</v>
      </c>
      <c r="D220" t="str">
        <f t="shared" si="25"/>
        <v>Norm</v>
      </c>
      <c r="E220">
        <f t="shared" si="26"/>
        <v>1</v>
      </c>
      <c r="F220" t="str">
        <f t="shared" si="27"/>
        <v>D</v>
      </c>
      <c r="G220" s="115" t="s">
        <v>807</v>
      </c>
      <c r="H220" s="54">
        <v>738439.71</v>
      </c>
      <c r="I220" s="115">
        <v>0</v>
      </c>
      <c r="J220" s="115" t="s">
        <v>25</v>
      </c>
      <c r="K220" t="str">
        <f t="shared" si="22"/>
        <v>D</v>
      </c>
      <c r="L220" s="173">
        <f t="shared" si="23"/>
        <v>0</v>
      </c>
    </row>
    <row r="221" spans="1:12" x14ac:dyDescent="0.3">
      <c r="A221" t="s">
        <v>2798</v>
      </c>
      <c r="B221" t="s">
        <v>809</v>
      </c>
      <c r="C221">
        <f t="shared" si="24"/>
        <v>16</v>
      </c>
      <c r="D221" t="str">
        <f t="shared" si="25"/>
        <v>Norm</v>
      </c>
      <c r="E221">
        <f t="shared" si="26"/>
        <v>1</v>
      </c>
      <c r="F221" t="str">
        <f t="shared" si="27"/>
        <v>D</v>
      </c>
      <c r="G221" s="115" t="s">
        <v>810</v>
      </c>
      <c r="H221" s="54">
        <v>127250.69</v>
      </c>
      <c r="I221" s="115">
        <v>0</v>
      </c>
      <c r="J221" s="115" t="s">
        <v>25</v>
      </c>
      <c r="K221" t="str">
        <f t="shared" si="22"/>
        <v>D</v>
      </c>
      <c r="L221" s="173">
        <f t="shared" si="23"/>
        <v>0</v>
      </c>
    </row>
    <row r="222" spans="1:12" x14ac:dyDescent="0.3">
      <c r="A222" t="s">
        <v>2799</v>
      </c>
      <c r="B222" t="s">
        <v>812</v>
      </c>
      <c r="C222">
        <f t="shared" si="24"/>
        <v>16</v>
      </c>
      <c r="D222" t="str">
        <f t="shared" si="25"/>
        <v>Norm</v>
      </c>
      <c r="E222">
        <f t="shared" si="26"/>
        <v>1</v>
      </c>
      <c r="F222" t="str">
        <f t="shared" si="27"/>
        <v>D</v>
      </c>
      <c r="G222" s="115" t="s">
        <v>813</v>
      </c>
      <c r="H222" s="54">
        <v>543276.38</v>
      </c>
      <c r="I222" s="115">
        <v>0</v>
      </c>
      <c r="J222" s="115" t="s">
        <v>25</v>
      </c>
      <c r="K222" t="str">
        <f t="shared" si="22"/>
        <v>D</v>
      </c>
      <c r="L222" s="173">
        <f t="shared" si="23"/>
        <v>0</v>
      </c>
    </row>
    <row r="223" spans="1:12" x14ac:dyDescent="0.3">
      <c r="A223" t="s">
        <v>2800</v>
      </c>
      <c r="B223" t="s">
        <v>815</v>
      </c>
      <c r="C223">
        <f t="shared" si="24"/>
        <v>16</v>
      </c>
      <c r="D223" t="str">
        <f t="shared" si="25"/>
        <v>Norm</v>
      </c>
      <c r="E223">
        <f t="shared" si="26"/>
        <v>1</v>
      </c>
      <c r="F223" t="str">
        <f t="shared" si="27"/>
        <v>D</v>
      </c>
      <c r="G223" s="115" t="s">
        <v>816</v>
      </c>
      <c r="H223" s="115">
        <v>432.38</v>
      </c>
      <c r="I223" s="115">
        <v>0</v>
      </c>
      <c r="J223" s="115" t="s">
        <v>25</v>
      </c>
      <c r="K223" t="str">
        <f t="shared" si="22"/>
        <v>D</v>
      </c>
      <c r="L223" s="173">
        <f t="shared" si="23"/>
        <v>0</v>
      </c>
    </row>
    <row r="224" spans="1:12" x14ac:dyDescent="0.3">
      <c r="A224" t="s">
        <v>2801</v>
      </c>
      <c r="B224" t="s">
        <v>818</v>
      </c>
      <c r="C224">
        <f t="shared" si="24"/>
        <v>16</v>
      </c>
      <c r="D224" t="str">
        <f t="shared" si="25"/>
        <v>Norm</v>
      </c>
      <c r="E224">
        <f t="shared" si="26"/>
        <v>1</v>
      </c>
      <c r="F224" t="str">
        <f t="shared" si="27"/>
        <v>D</v>
      </c>
      <c r="G224" s="115" t="s">
        <v>819</v>
      </c>
      <c r="H224" s="54">
        <v>129295.98</v>
      </c>
      <c r="I224" s="115">
        <v>0</v>
      </c>
      <c r="J224" s="115" t="s">
        <v>25</v>
      </c>
      <c r="K224" t="str">
        <f t="shared" si="22"/>
        <v>D</v>
      </c>
      <c r="L224" s="173">
        <f t="shared" si="23"/>
        <v>0</v>
      </c>
    </row>
    <row r="225" spans="1:12" x14ac:dyDescent="0.3">
      <c r="A225" t="s">
        <v>2802</v>
      </c>
      <c r="B225" t="s">
        <v>821</v>
      </c>
      <c r="C225">
        <f t="shared" si="24"/>
        <v>11</v>
      </c>
      <c r="D225" t="str">
        <f t="shared" si="25"/>
        <v>Norm</v>
      </c>
      <c r="E225">
        <f t="shared" si="26"/>
        <v>1</v>
      </c>
      <c r="F225" t="str">
        <f t="shared" si="27"/>
        <v>D</v>
      </c>
      <c r="G225" s="115" t="s">
        <v>823</v>
      </c>
      <c r="H225" s="115">
        <v>0</v>
      </c>
      <c r="I225" s="115">
        <v>0</v>
      </c>
      <c r="J225" s="115" t="s">
        <v>823</v>
      </c>
      <c r="K225" t="str">
        <f t="shared" si="22"/>
        <v>D</v>
      </c>
      <c r="L225" s="173">
        <f t="shared" si="23"/>
        <v>32880.080000000002</v>
      </c>
    </row>
    <row r="226" spans="1:12" x14ac:dyDescent="0.3">
      <c r="A226" t="s">
        <v>2803</v>
      </c>
      <c r="B226" t="s">
        <v>825</v>
      </c>
      <c r="C226">
        <f t="shared" si="24"/>
        <v>16</v>
      </c>
      <c r="D226" t="str">
        <f t="shared" si="25"/>
        <v>Norm</v>
      </c>
      <c r="E226">
        <f t="shared" si="26"/>
        <v>1</v>
      </c>
      <c r="F226" t="str">
        <f t="shared" si="27"/>
        <v>D</v>
      </c>
      <c r="G226" s="115" t="s">
        <v>826</v>
      </c>
      <c r="H226" s="115">
        <v>0</v>
      </c>
      <c r="I226" s="115">
        <v>0</v>
      </c>
      <c r="J226" s="115" t="s">
        <v>826</v>
      </c>
      <c r="K226" t="str">
        <f t="shared" si="22"/>
        <v>D</v>
      </c>
      <c r="L226" s="173">
        <f t="shared" si="23"/>
        <v>8945.5</v>
      </c>
    </row>
    <row r="227" spans="1:12" x14ac:dyDescent="0.3">
      <c r="A227" t="s">
        <v>2804</v>
      </c>
      <c r="B227" t="s">
        <v>828</v>
      </c>
      <c r="C227">
        <f t="shared" si="24"/>
        <v>16</v>
      </c>
      <c r="D227" t="str">
        <f t="shared" si="25"/>
        <v>Norm</v>
      </c>
      <c r="E227">
        <f t="shared" si="26"/>
        <v>1</v>
      </c>
      <c r="F227" t="str">
        <f t="shared" si="27"/>
        <v>D</v>
      </c>
      <c r="G227" s="115" t="s">
        <v>829</v>
      </c>
      <c r="H227" s="115">
        <v>0</v>
      </c>
      <c r="I227" s="115">
        <v>0</v>
      </c>
      <c r="J227" s="115" t="s">
        <v>829</v>
      </c>
      <c r="K227" t="str">
        <f t="shared" si="22"/>
        <v>D</v>
      </c>
      <c r="L227" s="173">
        <f t="shared" si="23"/>
        <v>19674.09</v>
      </c>
    </row>
    <row r="228" spans="1:12" x14ac:dyDescent="0.3">
      <c r="A228" t="s">
        <v>2805</v>
      </c>
      <c r="B228" t="s">
        <v>831</v>
      </c>
      <c r="C228">
        <f t="shared" si="24"/>
        <v>16</v>
      </c>
      <c r="D228" t="str">
        <f t="shared" si="25"/>
        <v>Norm</v>
      </c>
      <c r="E228">
        <f t="shared" si="26"/>
        <v>1</v>
      </c>
      <c r="F228" t="str">
        <f t="shared" si="27"/>
        <v>D</v>
      </c>
      <c r="G228" s="115" t="s">
        <v>832</v>
      </c>
      <c r="H228" s="115">
        <v>0</v>
      </c>
      <c r="I228" s="115">
        <v>0</v>
      </c>
      <c r="J228" s="115" t="s">
        <v>832</v>
      </c>
      <c r="K228" t="str">
        <f t="shared" si="22"/>
        <v>D</v>
      </c>
      <c r="L228" s="173">
        <f t="shared" si="23"/>
        <v>4260.49</v>
      </c>
    </row>
    <row r="229" spans="1:12" x14ac:dyDescent="0.3">
      <c r="A229" t="s">
        <v>2806</v>
      </c>
      <c r="B229" t="s">
        <v>834</v>
      </c>
      <c r="C229">
        <f t="shared" si="24"/>
        <v>11</v>
      </c>
      <c r="D229" t="str">
        <f t="shared" si="25"/>
        <v>Norm</v>
      </c>
      <c r="E229">
        <f t="shared" si="26"/>
        <v>1</v>
      </c>
      <c r="F229" t="str">
        <f t="shared" si="27"/>
        <v>D</v>
      </c>
      <c r="G229" s="115" t="s">
        <v>836</v>
      </c>
      <c r="H229" s="54">
        <v>57900</v>
      </c>
      <c r="I229" s="115">
        <v>0</v>
      </c>
      <c r="J229" s="115" t="s">
        <v>2203</v>
      </c>
      <c r="K229" t="str">
        <f t="shared" si="22"/>
        <v>D</v>
      </c>
      <c r="L229" s="173">
        <f t="shared" si="23"/>
        <v>846786.11</v>
      </c>
    </row>
    <row r="230" spans="1:12" x14ac:dyDescent="0.3">
      <c r="A230" t="s">
        <v>2807</v>
      </c>
      <c r="B230" t="s">
        <v>838</v>
      </c>
      <c r="C230">
        <f t="shared" si="24"/>
        <v>16</v>
      </c>
      <c r="D230" t="str">
        <f t="shared" si="25"/>
        <v>Norm</v>
      </c>
      <c r="E230">
        <f t="shared" si="26"/>
        <v>1</v>
      </c>
      <c r="F230" t="str">
        <f t="shared" si="27"/>
        <v>D</v>
      </c>
      <c r="G230" s="115" t="s">
        <v>836</v>
      </c>
      <c r="H230" s="54">
        <v>57900</v>
      </c>
      <c r="I230" s="115">
        <v>0</v>
      </c>
      <c r="J230" s="115" t="s">
        <v>2203</v>
      </c>
      <c r="K230" t="str">
        <f t="shared" si="22"/>
        <v>D</v>
      </c>
      <c r="L230" s="173">
        <f t="shared" si="23"/>
        <v>846786.11</v>
      </c>
    </row>
    <row r="231" spans="1:12" x14ac:dyDescent="0.3">
      <c r="A231" t="s">
        <v>2808</v>
      </c>
      <c r="B231" t="s">
        <v>840</v>
      </c>
      <c r="C231">
        <f t="shared" si="24"/>
        <v>11</v>
      </c>
      <c r="D231" t="str">
        <f t="shared" si="25"/>
        <v>Norm</v>
      </c>
      <c r="E231">
        <f t="shared" si="26"/>
        <v>1</v>
      </c>
      <c r="F231" t="str">
        <f t="shared" si="27"/>
        <v>D</v>
      </c>
      <c r="G231" s="115" t="s">
        <v>842</v>
      </c>
      <c r="H231" s="54">
        <v>74101.070000000007</v>
      </c>
      <c r="I231" s="54">
        <v>266342.68</v>
      </c>
      <c r="J231" s="115" t="s">
        <v>2204</v>
      </c>
      <c r="K231" t="str">
        <f t="shared" si="22"/>
        <v>D</v>
      </c>
      <c r="L231" s="173">
        <f t="shared" si="23"/>
        <v>449068.7</v>
      </c>
    </row>
    <row r="232" spans="1:12" x14ac:dyDescent="0.3">
      <c r="A232" t="s">
        <v>2809</v>
      </c>
      <c r="B232" t="s">
        <v>844</v>
      </c>
      <c r="C232">
        <f t="shared" si="24"/>
        <v>16</v>
      </c>
      <c r="D232" t="str">
        <f t="shared" si="25"/>
        <v>Norm</v>
      </c>
      <c r="E232">
        <f t="shared" si="26"/>
        <v>1</v>
      </c>
      <c r="F232" t="str">
        <f t="shared" si="27"/>
        <v>D</v>
      </c>
      <c r="G232" s="115" t="s">
        <v>845</v>
      </c>
      <c r="H232" s="115">
        <v>0</v>
      </c>
      <c r="I232" s="54">
        <v>41221.440000000002</v>
      </c>
      <c r="J232" s="115" t="s">
        <v>2205</v>
      </c>
      <c r="K232" t="str">
        <f t="shared" si="22"/>
        <v>D</v>
      </c>
      <c r="L232" s="173">
        <f t="shared" si="23"/>
        <v>182065.14</v>
      </c>
    </row>
    <row r="233" spans="1:12" x14ac:dyDescent="0.3">
      <c r="A233" t="s">
        <v>2810</v>
      </c>
      <c r="B233" t="s">
        <v>847</v>
      </c>
      <c r="C233">
        <f t="shared" si="24"/>
        <v>16</v>
      </c>
      <c r="D233" t="str">
        <f t="shared" si="25"/>
        <v>Norm</v>
      </c>
      <c r="E233">
        <f t="shared" si="26"/>
        <v>1</v>
      </c>
      <c r="F233" t="str">
        <f t="shared" si="27"/>
        <v>D</v>
      </c>
      <c r="G233" s="115" t="s">
        <v>848</v>
      </c>
      <c r="H233" s="54">
        <v>56048.41</v>
      </c>
      <c r="I233" s="115">
        <v>0</v>
      </c>
      <c r="J233" s="115" t="s">
        <v>2206</v>
      </c>
      <c r="K233" t="str">
        <f t="shared" si="22"/>
        <v>D</v>
      </c>
      <c r="L233" s="173">
        <f t="shared" si="23"/>
        <v>69781.06</v>
      </c>
    </row>
    <row r="234" spans="1:12" x14ac:dyDescent="0.3">
      <c r="A234" t="s">
        <v>2811</v>
      </c>
      <c r="B234" t="s">
        <v>850</v>
      </c>
      <c r="C234">
        <f t="shared" si="24"/>
        <v>16</v>
      </c>
      <c r="D234" t="str">
        <f t="shared" si="25"/>
        <v>Norm</v>
      </c>
      <c r="E234">
        <f t="shared" si="26"/>
        <v>1</v>
      </c>
      <c r="F234" t="str">
        <f t="shared" si="27"/>
        <v>D</v>
      </c>
      <c r="G234" s="115" t="s">
        <v>851</v>
      </c>
      <c r="H234" s="54">
        <v>8974.66</v>
      </c>
      <c r="I234" s="115">
        <v>0</v>
      </c>
      <c r="J234" s="115" t="s">
        <v>2207</v>
      </c>
      <c r="K234" t="str">
        <f t="shared" si="22"/>
        <v>D</v>
      </c>
      <c r="L234" s="173">
        <f t="shared" si="23"/>
        <v>9604.94</v>
      </c>
    </row>
    <row r="235" spans="1:12" x14ac:dyDescent="0.3">
      <c r="A235" t="s">
        <v>2812</v>
      </c>
      <c r="B235" t="s">
        <v>853</v>
      </c>
      <c r="C235">
        <f t="shared" si="24"/>
        <v>16</v>
      </c>
      <c r="D235" t="str">
        <f t="shared" si="25"/>
        <v>Norm</v>
      </c>
      <c r="E235">
        <f t="shared" si="26"/>
        <v>1</v>
      </c>
      <c r="F235" t="str">
        <f t="shared" si="27"/>
        <v>D</v>
      </c>
      <c r="G235" s="115" t="s">
        <v>854</v>
      </c>
      <c r="H235" s="54">
        <v>9078</v>
      </c>
      <c r="I235" s="54">
        <v>221712.65</v>
      </c>
      <c r="J235" s="115" t="s">
        <v>2208</v>
      </c>
      <c r="K235" t="str">
        <f t="shared" si="22"/>
        <v>D</v>
      </c>
      <c r="L235" s="173">
        <f t="shared" si="23"/>
        <v>187617.56</v>
      </c>
    </row>
    <row r="236" spans="1:12" x14ac:dyDescent="0.3">
      <c r="A236" t="s">
        <v>2813</v>
      </c>
      <c r="B236" t="s">
        <v>856</v>
      </c>
      <c r="C236">
        <f t="shared" si="24"/>
        <v>16</v>
      </c>
      <c r="D236" t="str">
        <f t="shared" si="25"/>
        <v>Norm</v>
      </c>
      <c r="E236">
        <f t="shared" si="26"/>
        <v>1</v>
      </c>
      <c r="F236" t="str">
        <f t="shared" si="27"/>
        <v>D</v>
      </c>
      <c r="G236" s="115" t="s">
        <v>857</v>
      </c>
      <c r="H236" s="115">
        <v>0</v>
      </c>
      <c r="I236" s="54">
        <v>3408.59</v>
      </c>
      <c r="J236" s="115" t="s">
        <v>25</v>
      </c>
      <c r="K236" t="str">
        <f t="shared" si="22"/>
        <v>D</v>
      </c>
      <c r="L236" s="173">
        <f t="shared" si="23"/>
        <v>0</v>
      </c>
    </row>
    <row r="237" spans="1:12" x14ac:dyDescent="0.3">
      <c r="A237" t="s">
        <v>2814</v>
      </c>
      <c r="B237" t="s">
        <v>859</v>
      </c>
      <c r="C237">
        <f t="shared" si="24"/>
        <v>11</v>
      </c>
      <c r="D237" t="str">
        <f t="shared" si="25"/>
        <v>Norm</v>
      </c>
      <c r="E237">
        <f t="shared" si="26"/>
        <v>1</v>
      </c>
      <c r="F237" t="str">
        <f t="shared" si="27"/>
        <v>D</v>
      </c>
      <c r="G237" s="115" t="s">
        <v>861</v>
      </c>
      <c r="H237" s="115">
        <v>0</v>
      </c>
      <c r="I237" s="115">
        <v>0</v>
      </c>
      <c r="J237" s="115" t="s">
        <v>861</v>
      </c>
      <c r="K237" t="str">
        <f t="shared" si="22"/>
        <v>D</v>
      </c>
      <c r="L237" s="173">
        <f t="shared" si="23"/>
        <v>337165.95</v>
      </c>
    </row>
    <row r="238" spans="1:12" x14ac:dyDescent="0.3">
      <c r="A238" t="s">
        <v>2815</v>
      </c>
      <c r="B238" t="s">
        <v>863</v>
      </c>
      <c r="C238">
        <f t="shared" si="24"/>
        <v>16</v>
      </c>
      <c r="D238" t="str">
        <f t="shared" si="25"/>
        <v>Norm</v>
      </c>
      <c r="E238">
        <f t="shared" si="26"/>
        <v>1</v>
      </c>
      <c r="F238" t="str">
        <f t="shared" si="27"/>
        <v>D</v>
      </c>
      <c r="G238" s="115" t="s">
        <v>864</v>
      </c>
      <c r="H238" s="115">
        <v>0</v>
      </c>
      <c r="I238" s="115">
        <v>0</v>
      </c>
      <c r="J238" s="115" t="s">
        <v>864</v>
      </c>
      <c r="K238" t="str">
        <f t="shared" si="22"/>
        <v>D</v>
      </c>
      <c r="L238" s="173">
        <f t="shared" si="23"/>
        <v>5210.63</v>
      </c>
    </row>
    <row r="239" spans="1:12" x14ac:dyDescent="0.3">
      <c r="A239" t="s">
        <v>2816</v>
      </c>
      <c r="B239" t="s">
        <v>866</v>
      </c>
      <c r="C239">
        <f t="shared" si="24"/>
        <v>16</v>
      </c>
      <c r="D239" t="str">
        <f t="shared" si="25"/>
        <v>Norm</v>
      </c>
      <c r="E239">
        <f t="shared" si="26"/>
        <v>1</v>
      </c>
      <c r="F239" t="str">
        <f t="shared" si="27"/>
        <v>D</v>
      </c>
      <c r="G239" s="115" t="s">
        <v>867</v>
      </c>
      <c r="H239" s="115">
        <v>0</v>
      </c>
      <c r="I239" s="115">
        <v>0</v>
      </c>
      <c r="J239" s="115" t="s">
        <v>867</v>
      </c>
      <c r="K239" t="str">
        <f t="shared" si="22"/>
        <v>D</v>
      </c>
      <c r="L239" s="173">
        <f t="shared" si="23"/>
        <v>490</v>
      </c>
    </row>
    <row r="240" spans="1:12" x14ac:dyDescent="0.3">
      <c r="A240" t="s">
        <v>2817</v>
      </c>
      <c r="B240" t="s">
        <v>869</v>
      </c>
      <c r="C240">
        <f t="shared" si="24"/>
        <v>16</v>
      </c>
      <c r="D240" t="str">
        <f t="shared" si="25"/>
        <v>Norm</v>
      </c>
      <c r="E240">
        <f t="shared" si="26"/>
        <v>1</v>
      </c>
      <c r="F240" t="str">
        <f t="shared" si="27"/>
        <v>D</v>
      </c>
      <c r="G240" s="115" t="s">
        <v>870</v>
      </c>
      <c r="H240" s="115">
        <v>0</v>
      </c>
      <c r="I240" s="115">
        <v>0</v>
      </c>
      <c r="J240" s="115" t="s">
        <v>870</v>
      </c>
      <c r="K240" t="str">
        <f t="shared" si="22"/>
        <v>D</v>
      </c>
      <c r="L240" s="173">
        <f t="shared" si="23"/>
        <v>331465.32</v>
      </c>
    </row>
    <row r="241" spans="1:12" x14ac:dyDescent="0.3">
      <c r="A241" t="s">
        <v>2818</v>
      </c>
      <c r="B241" t="s">
        <v>872</v>
      </c>
      <c r="C241">
        <f t="shared" si="24"/>
        <v>11</v>
      </c>
      <c r="D241" t="str">
        <f t="shared" si="25"/>
        <v>Norm</v>
      </c>
      <c r="E241">
        <f t="shared" si="26"/>
        <v>1</v>
      </c>
      <c r="F241" t="str">
        <f t="shared" si="27"/>
        <v>D</v>
      </c>
      <c r="G241" s="115" t="s">
        <v>874</v>
      </c>
      <c r="H241" s="115">
        <v>0</v>
      </c>
      <c r="I241" s="115">
        <v>0</v>
      </c>
      <c r="J241" s="115" t="s">
        <v>874</v>
      </c>
      <c r="K241" t="str">
        <f t="shared" si="22"/>
        <v>D</v>
      </c>
      <c r="L241" s="173">
        <f t="shared" si="23"/>
        <v>4569.91</v>
      </c>
    </row>
    <row r="242" spans="1:12" x14ac:dyDescent="0.3">
      <c r="A242" t="s">
        <v>2819</v>
      </c>
      <c r="B242" t="s">
        <v>876</v>
      </c>
      <c r="C242">
        <f t="shared" si="24"/>
        <v>16</v>
      </c>
      <c r="D242" t="str">
        <f t="shared" si="25"/>
        <v>Norm</v>
      </c>
      <c r="E242">
        <f t="shared" si="26"/>
        <v>1</v>
      </c>
      <c r="F242" t="str">
        <f t="shared" si="27"/>
        <v>D</v>
      </c>
      <c r="G242" s="115" t="s">
        <v>874</v>
      </c>
      <c r="H242" s="115">
        <v>0</v>
      </c>
      <c r="I242" s="115">
        <v>0</v>
      </c>
      <c r="J242" s="115" t="s">
        <v>874</v>
      </c>
      <c r="K242" t="str">
        <f t="shared" si="22"/>
        <v>D</v>
      </c>
      <c r="L242" s="173">
        <f t="shared" si="23"/>
        <v>4569.91</v>
      </c>
    </row>
    <row r="243" spans="1:12" s="1" customFormat="1" x14ac:dyDescent="0.3">
      <c r="A243" s="1" t="s">
        <v>2820</v>
      </c>
      <c r="B243" s="1" t="s">
        <v>878</v>
      </c>
      <c r="C243" s="1">
        <f t="shared" si="24"/>
        <v>11</v>
      </c>
      <c r="D243" s="1" t="str">
        <f t="shared" si="25"/>
        <v>Norm</v>
      </c>
      <c r="E243" s="1">
        <f t="shared" si="26"/>
        <v>1</v>
      </c>
      <c r="F243" s="1" t="str">
        <f t="shared" si="27"/>
        <v>D</v>
      </c>
      <c r="G243" s="122" t="s">
        <v>880</v>
      </c>
      <c r="H243" s="59">
        <v>1242985.2</v>
      </c>
      <c r="I243" s="59">
        <v>10287529.4</v>
      </c>
      <c r="J243" s="122" t="s">
        <v>2209</v>
      </c>
      <c r="K243" s="1" t="str">
        <f t="shared" si="22"/>
        <v>C</v>
      </c>
      <c r="L243" s="184">
        <f t="shared" ref="L243:L251" si="28">-IF(J243=0,0,LEFT(J243,LEN(J243)-1)+0)</f>
        <v>-29441768.559999999</v>
      </c>
    </row>
    <row r="244" spans="1:12" x14ac:dyDescent="0.3">
      <c r="A244" t="s">
        <v>2821</v>
      </c>
      <c r="B244" t="s">
        <v>882</v>
      </c>
      <c r="C244">
        <f t="shared" si="24"/>
        <v>16</v>
      </c>
      <c r="D244" t="str">
        <f t="shared" si="25"/>
        <v>Norm</v>
      </c>
      <c r="E244">
        <f t="shared" si="26"/>
        <v>1</v>
      </c>
      <c r="F244" t="str">
        <f t="shared" si="27"/>
        <v>D</v>
      </c>
      <c r="G244" s="115" t="s">
        <v>884</v>
      </c>
      <c r="H244" s="115">
        <v>0</v>
      </c>
      <c r="I244" s="54">
        <v>6711170.5700000003</v>
      </c>
      <c r="J244" s="115" t="s">
        <v>2210</v>
      </c>
      <c r="K244" t="str">
        <f t="shared" si="22"/>
        <v>C</v>
      </c>
      <c r="L244" s="173">
        <f t="shared" si="28"/>
        <v>-6711170.5700000003</v>
      </c>
    </row>
    <row r="245" spans="1:12" x14ac:dyDescent="0.3">
      <c r="A245" t="s">
        <v>2822</v>
      </c>
      <c r="B245" t="s">
        <v>886</v>
      </c>
      <c r="C245">
        <f t="shared" si="24"/>
        <v>16</v>
      </c>
      <c r="D245" t="str">
        <f t="shared" si="25"/>
        <v>Norm</v>
      </c>
      <c r="E245">
        <f t="shared" si="26"/>
        <v>1</v>
      </c>
      <c r="F245" t="str">
        <f t="shared" si="27"/>
        <v>D</v>
      </c>
      <c r="G245" s="115" t="s">
        <v>888</v>
      </c>
      <c r="H245" s="54">
        <v>475494.47</v>
      </c>
      <c r="I245" s="115">
        <v>0</v>
      </c>
      <c r="J245" s="115" t="s">
        <v>2211</v>
      </c>
      <c r="K245" t="str">
        <f t="shared" si="22"/>
        <v>C</v>
      </c>
      <c r="L245" s="173">
        <f t="shared" si="28"/>
        <v>-17859322.640000001</v>
      </c>
    </row>
    <row r="246" spans="1:12" x14ac:dyDescent="0.3">
      <c r="A246" t="s">
        <v>2823</v>
      </c>
      <c r="B246" t="s">
        <v>890</v>
      </c>
      <c r="C246">
        <f t="shared" si="24"/>
        <v>16</v>
      </c>
      <c r="D246" t="str">
        <f t="shared" si="25"/>
        <v>Norm</v>
      </c>
      <c r="E246">
        <f t="shared" si="26"/>
        <v>1</v>
      </c>
      <c r="F246" t="str">
        <f t="shared" si="27"/>
        <v>D</v>
      </c>
      <c r="G246" s="115" t="s">
        <v>891</v>
      </c>
      <c r="H246" s="54">
        <v>365935.78</v>
      </c>
      <c r="I246" s="115">
        <v>0</v>
      </c>
      <c r="J246" s="115" t="s">
        <v>2212</v>
      </c>
      <c r="K246" t="str">
        <f t="shared" si="22"/>
        <v>C</v>
      </c>
      <c r="L246" s="173">
        <f t="shared" si="28"/>
        <v>-145360.85</v>
      </c>
    </row>
    <row r="247" spans="1:12" x14ac:dyDescent="0.3">
      <c r="A247" t="s">
        <v>2824</v>
      </c>
      <c r="B247" t="s">
        <v>893</v>
      </c>
      <c r="C247">
        <f t="shared" si="24"/>
        <v>16</v>
      </c>
      <c r="D247" t="str">
        <f t="shared" si="25"/>
        <v>Norm</v>
      </c>
      <c r="E247">
        <f t="shared" si="26"/>
        <v>1</v>
      </c>
      <c r="F247" t="str">
        <f t="shared" si="27"/>
        <v>D</v>
      </c>
      <c r="G247" s="115" t="s">
        <v>884</v>
      </c>
      <c r="H247" s="115">
        <v>0</v>
      </c>
      <c r="I247" s="54">
        <v>3202809.3</v>
      </c>
      <c r="J247" s="115" t="s">
        <v>2213</v>
      </c>
      <c r="K247" t="str">
        <f t="shared" si="22"/>
        <v>C</v>
      </c>
      <c r="L247" s="173">
        <f t="shared" si="28"/>
        <v>-3202809.3</v>
      </c>
    </row>
    <row r="248" spans="1:12" x14ac:dyDescent="0.3">
      <c r="A248" t="s">
        <v>2825</v>
      </c>
      <c r="B248" t="s">
        <v>896</v>
      </c>
      <c r="C248">
        <f t="shared" si="24"/>
        <v>16</v>
      </c>
      <c r="D248" t="str">
        <f t="shared" si="25"/>
        <v>Norm</v>
      </c>
      <c r="E248">
        <f t="shared" si="26"/>
        <v>1</v>
      </c>
      <c r="F248" t="str">
        <f t="shared" si="27"/>
        <v>D</v>
      </c>
      <c r="G248" s="115" t="s">
        <v>898</v>
      </c>
      <c r="H248" s="115">
        <v>0</v>
      </c>
      <c r="I248" s="54">
        <v>6651.93</v>
      </c>
      <c r="J248" s="115" t="s">
        <v>2214</v>
      </c>
      <c r="K248" t="str">
        <f t="shared" si="22"/>
        <v>C</v>
      </c>
      <c r="L248" s="173">
        <f t="shared" si="28"/>
        <v>-27900.2</v>
      </c>
    </row>
    <row r="249" spans="1:12" x14ac:dyDescent="0.3">
      <c r="A249" t="s">
        <v>2826</v>
      </c>
      <c r="B249" t="s">
        <v>900</v>
      </c>
      <c r="C249">
        <f t="shared" si="24"/>
        <v>16</v>
      </c>
      <c r="D249" t="str">
        <f t="shared" si="25"/>
        <v>Norm</v>
      </c>
      <c r="E249">
        <f t="shared" si="26"/>
        <v>1</v>
      </c>
      <c r="F249" t="str">
        <f t="shared" si="27"/>
        <v>D</v>
      </c>
      <c r="G249" s="115" t="s">
        <v>901</v>
      </c>
      <c r="H249" s="115">
        <v>0</v>
      </c>
      <c r="I249" s="115">
        <v>965</v>
      </c>
      <c r="J249" s="115" t="s">
        <v>2215</v>
      </c>
      <c r="K249" t="str">
        <f t="shared" si="22"/>
        <v>C</v>
      </c>
      <c r="L249" s="173">
        <f t="shared" si="28"/>
        <v>-789851.11</v>
      </c>
    </row>
    <row r="250" spans="1:12" x14ac:dyDescent="0.3">
      <c r="A250" t="s">
        <v>2827</v>
      </c>
      <c r="B250" t="s">
        <v>903</v>
      </c>
      <c r="C250">
        <f t="shared" si="24"/>
        <v>16</v>
      </c>
      <c r="D250" t="str">
        <f t="shared" si="25"/>
        <v>Norm</v>
      </c>
      <c r="E250">
        <f t="shared" si="26"/>
        <v>1</v>
      </c>
      <c r="F250" t="str">
        <f t="shared" si="27"/>
        <v>D</v>
      </c>
      <c r="G250" s="115" t="s">
        <v>904</v>
      </c>
      <c r="H250" s="54">
        <v>273122.37</v>
      </c>
      <c r="I250" s="115">
        <v>0</v>
      </c>
      <c r="J250" s="115" t="s">
        <v>2216</v>
      </c>
      <c r="K250" t="str">
        <f t="shared" si="22"/>
        <v>C</v>
      </c>
      <c r="L250" s="173">
        <f t="shared" si="28"/>
        <v>-368187.94</v>
      </c>
    </row>
    <row r="251" spans="1:12" x14ac:dyDescent="0.3">
      <c r="A251" t="s">
        <v>2828</v>
      </c>
      <c r="B251" t="s">
        <v>906</v>
      </c>
      <c r="C251">
        <f t="shared" si="24"/>
        <v>16</v>
      </c>
      <c r="D251" t="str">
        <f t="shared" si="25"/>
        <v>Norm</v>
      </c>
      <c r="E251">
        <f t="shared" si="26"/>
        <v>1</v>
      </c>
      <c r="F251" t="str">
        <f t="shared" si="27"/>
        <v>D</v>
      </c>
      <c r="G251" s="115" t="s">
        <v>907</v>
      </c>
      <c r="H251" s="115">
        <v>0</v>
      </c>
      <c r="I251" s="54">
        <v>237500.02</v>
      </c>
      <c r="J251" s="115" t="s">
        <v>2217</v>
      </c>
      <c r="K251" t="str">
        <f t="shared" si="22"/>
        <v>C</v>
      </c>
      <c r="L251" s="173">
        <f t="shared" si="28"/>
        <v>-337165.95</v>
      </c>
    </row>
    <row r="252" spans="1:12" x14ac:dyDescent="0.3">
      <c r="A252" t="s">
        <v>2829</v>
      </c>
      <c r="B252" t="s">
        <v>2218</v>
      </c>
      <c r="C252">
        <f t="shared" si="24"/>
        <v>16</v>
      </c>
      <c r="D252" t="str">
        <f t="shared" si="25"/>
        <v>Norm</v>
      </c>
      <c r="E252">
        <f t="shared" si="26"/>
        <v>1</v>
      </c>
      <c r="F252" t="str">
        <f t="shared" si="27"/>
        <v>D</v>
      </c>
      <c r="G252" s="115" t="s">
        <v>884</v>
      </c>
      <c r="H252" s="54">
        <v>73127.75</v>
      </c>
      <c r="I252" s="54">
        <v>73127.75</v>
      </c>
      <c r="J252" s="115" t="s">
        <v>884</v>
      </c>
      <c r="K252" t="str">
        <f t="shared" si="22"/>
        <v>C</v>
      </c>
      <c r="L252" s="173">
        <f t="shared" si="23"/>
        <v>0</v>
      </c>
    </row>
    <row r="253" spans="1:12" x14ac:dyDescent="0.3">
      <c r="A253" t="s">
        <v>2830</v>
      </c>
      <c r="B253" t="s">
        <v>2219</v>
      </c>
      <c r="C253">
        <f t="shared" si="24"/>
        <v>16</v>
      </c>
      <c r="D253" t="str">
        <f t="shared" si="25"/>
        <v>Norm</v>
      </c>
      <c r="E253">
        <f t="shared" si="26"/>
        <v>1</v>
      </c>
      <c r="F253" t="str">
        <f t="shared" si="27"/>
        <v>D</v>
      </c>
      <c r="G253" s="115" t="s">
        <v>884</v>
      </c>
      <c r="H253" s="54">
        <v>2273.9499999999998</v>
      </c>
      <c r="I253" s="54">
        <v>2273.9499999999998</v>
      </c>
      <c r="J253" s="115" t="s">
        <v>884</v>
      </c>
      <c r="K253" t="str">
        <f t="shared" si="22"/>
        <v>C</v>
      </c>
      <c r="L253" s="173">
        <f t="shared" si="23"/>
        <v>0</v>
      </c>
    </row>
    <row r="254" spans="1:12" x14ac:dyDescent="0.3">
      <c r="A254" t="s">
        <v>2831</v>
      </c>
      <c r="B254" t="s">
        <v>2220</v>
      </c>
      <c r="C254">
        <f t="shared" si="24"/>
        <v>16</v>
      </c>
      <c r="D254" t="str">
        <f t="shared" si="25"/>
        <v>Norm</v>
      </c>
      <c r="E254">
        <f t="shared" si="26"/>
        <v>1</v>
      </c>
      <c r="F254" t="str">
        <f t="shared" si="27"/>
        <v>D</v>
      </c>
      <c r="G254" s="115" t="s">
        <v>884</v>
      </c>
      <c r="H254" s="54">
        <v>9092.16</v>
      </c>
      <c r="I254" s="54">
        <v>9092.16</v>
      </c>
      <c r="J254" s="115" t="s">
        <v>884</v>
      </c>
      <c r="K254" t="str">
        <f t="shared" si="22"/>
        <v>C</v>
      </c>
      <c r="L254" s="173">
        <f t="shared" si="23"/>
        <v>0</v>
      </c>
    </row>
    <row r="255" spans="1:12" x14ac:dyDescent="0.3">
      <c r="A255" t="s">
        <v>2832</v>
      </c>
      <c r="B255" t="s">
        <v>2221</v>
      </c>
      <c r="C255">
        <f t="shared" si="24"/>
        <v>16</v>
      </c>
      <c r="D255" t="str">
        <f t="shared" si="25"/>
        <v>Norm</v>
      </c>
      <c r="E255">
        <f t="shared" si="26"/>
        <v>1</v>
      </c>
      <c r="F255" t="str">
        <f t="shared" si="27"/>
        <v>D</v>
      </c>
      <c r="G255" s="115" t="s">
        <v>884</v>
      </c>
      <c r="H255" s="54">
        <v>2982.06</v>
      </c>
      <c r="I255" s="54">
        <v>2982.06</v>
      </c>
      <c r="J255" s="115" t="s">
        <v>884</v>
      </c>
      <c r="K255" t="str">
        <f t="shared" si="22"/>
        <v>C</v>
      </c>
      <c r="L255" s="173">
        <f t="shared" si="23"/>
        <v>0</v>
      </c>
    </row>
    <row r="256" spans="1:12" x14ac:dyDescent="0.3">
      <c r="A256" t="s">
        <v>2833</v>
      </c>
      <c r="B256" t="s">
        <v>2222</v>
      </c>
      <c r="C256">
        <f t="shared" si="24"/>
        <v>16</v>
      </c>
      <c r="D256" t="str">
        <f t="shared" si="25"/>
        <v>Norm</v>
      </c>
      <c r="E256">
        <f t="shared" si="26"/>
        <v>1</v>
      </c>
      <c r="F256" t="str">
        <f t="shared" si="27"/>
        <v>D</v>
      </c>
      <c r="G256" s="115" t="s">
        <v>884</v>
      </c>
      <c r="H256" s="54">
        <v>3704.76</v>
      </c>
      <c r="I256" s="54">
        <v>3704.76</v>
      </c>
      <c r="J256" s="115" t="s">
        <v>884</v>
      </c>
      <c r="K256" t="str">
        <f t="shared" si="22"/>
        <v>C</v>
      </c>
      <c r="L256" s="173">
        <f t="shared" si="23"/>
        <v>0</v>
      </c>
    </row>
    <row r="257" spans="1:12" x14ac:dyDescent="0.3">
      <c r="A257" t="s">
        <v>2834</v>
      </c>
      <c r="B257" t="s">
        <v>2223</v>
      </c>
      <c r="C257">
        <f t="shared" si="24"/>
        <v>16</v>
      </c>
      <c r="D257" t="str">
        <f t="shared" si="25"/>
        <v>Norm</v>
      </c>
      <c r="E257">
        <f t="shared" si="26"/>
        <v>1</v>
      </c>
      <c r="F257" t="str">
        <f t="shared" si="27"/>
        <v>D</v>
      </c>
      <c r="G257" s="115" t="s">
        <v>884</v>
      </c>
      <c r="H257" s="54">
        <v>37251.9</v>
      </c>
      <c r="I257" s="54">
        <v>37251.9</v>
      </c>
      <c r="J257" s="115" t="s">
        <v>884</v>
      </c>
      <c r="K257" t="str">
        <f t="shared" si="22"/>
        <v>C</v>
      </c>
      <c r="L257" s="173">
        <f t="shared" si="23"/>
        <v>0</v>
      </c>
    </row>
    <row r="258" spans="1:12" x14ac:dyDescent="0.3">
      <c r="A258" t="s">
        <v>2835</v>
      </c>
      <c r="B258" t="s">
        <v>909</v>
      </c>
      <c r="C258">
        <f t="shared" si="24"/>
        <v>3</v>
      </c>
      <c r="D258" t="str">
        <f t="shared" si="25"/>
        <v>Norm</v>
      </c>
      <c r="E258">
        <f t="shared" si="26"/>
        <v>2</v>
      </c>
      <c r="F258" t="str">
        <f t="shared" si="27"/>
        <v>C</v>
      </c>
      <c r="G258" s="115" t="s">
        <v>2836</v>
      </c>
      <c r="H258" s="54">
        <v>168869443.87</v>
      </c>
      <c r="I258" s="54">
        <v>134551682.86000001</v>
      </c>
      <c r="J258" s="115" t="s">
        <v>2837</v>
      </c>
      <c r="K258" t="str">
        <f t="shared" si="22"/>
        <v>C</v>
      </c>
      <c r="L258" s="173">
        <f t="shared" si="23"/>
        <v>56773531.619999997</v>
      </c>
    </row>
    <row r="259" spans="1:12" x14ac:dyDescent="0.3">
      <c r="A259" t="s">
        <v>2838</v>
      </c>
      <c r="B259" t="s">
        <v>913</v>
      </c>
      <c r="C259">
        <f t="shared" si="24"/>
        <v>5</v>
      </c>
      <c r="D259" t="str">
        <f t="shared" si="25"/>
        <v>Norm</v>
      </c>
      <c r="E259">
        <f t="shared" si="26"/>
        <v>2</v>
      </c>
      <c r="F259" t="str">
        <f t="shared" si="27"/>
        <v>C</v>
      </c>
      <c r="G259" s="115" t="s">
        <v>915</v>
      </c>
      <c r="H259" s="54">
        <v>38608468.170000002</v>
      </c>
      <c r="I259" s="54">
        <v>41212821.130000003</v>
      </c>
      <c r="J259" s="115" t="s">
        <v>2839</v>
      </c>
      <c r="K259" t="str">
        <f t="shared" ref="K259:K322" si="29">RIGHT(J259,1)</f>
        <v>C</v>
      </c>
      <c r="L259" s="173">
        <f t="shared" ref="L259:L322" si="30">IF(J259=0,0,LEFT(J259,LEN(J259)-1)+0)</f>
        <v>36773124.049999997</v>
      </c>
    </row>
    <row r="260" spans="1:12" x14ac:dyDescent="0.3">
      <c r="A260" t="s">
        <v>2840</v>
      </c>
      <c r="B260" t="s">
        <v>917</v>
      </c>
      <c r="C260">
        <f t="shared" si="24"/>
        <v>8</v>
      </c>
      <c r="D260" t="str">
        <f t="shared" si="25"/>
        <v>Norm</v>
      </c>
      <c r="E260">
        <f t="shared" si="26"/>
        <v>2</v>
      </c>
      <c r="F260" t="str">
        <f t="shared" si="27"/>
        <v>C</v>
      </c>
      <c r="G260" s="115" t="s">
        <v>2841</v>
      </c>
      <c r="H260" s="54">
        <v>13290918.859999999</v>
      </c>
      <c r="I260" s="54">
        <v>13841361.08</v>
      </c>
      <c r="J260" s="115" t="s">
        <v>2842</v>
      </c>
      <c r="K260" t="str">
        <f t="shared" si="29"/>
        <v>C</v>
      </c>
      <c r="L260" s="173">
        <f t="shared" si="30"/>
        <v>22911739.98</v>
      </c>
    </row>
    <row r="261" spans="1:12" x14ac:dyDescent="0.3">
      <c r="A261" t="s">
        <v>2843</v>
      </c>
      <c r="B261" t="s">
        <v>920</v>
      </c>
      <c r="C261">
        <f t="shared" si="24"/>
        <v>11</v>
      </c>
      <c r="D261" t="str">
        <f t="shared" si="25"/>
        <v>Norm</v>
      </c>
      <c r="E261">
        <f t="shared" si="26"/>
        <v>2</v>
      </c>
      <c r="F261" t="str">
        <f t="shared" si="27"/>
        <v>C</v>
      </c>
      <c r="G261" s="115" t="s">
        <v>922</v>
      </c>
      <c r="H261" s="115">
        <v>0</v>
      </c>
      <c r="I261" s="115">
        <v>0</v>
      </c>
      <c r="J261" s="115" t="s">
        <v>922</v>
      </c>
      <c r="K261" t="str">
        <f t="shared" si="29"/>
        <v>C</v>
      </c>
      <c r="L261" s="173">
        <f t="shared" si="30"/>
        <v>288491.62</v>
      </c>
    </row>
    <row r="262" spans="1:12" x14ac:dyDescent="0.3">
      <c r="A262" t="s">
        <v>2844</v>
      </c>
      <c r="B262" t="s">
        <v>924</v>
      </c>
      <c r="C262">
        <f t="shared" si="24"/>
        <v>16</v>
      </c>
      <c r="D262" t="str">
        <f t="shared" si="25"/>
        <v>Norm</v>
      </c>
      <c r="E262">
        <f t="shared" si="26"/>
        <v>2</v>
      </c>
      <c r="F262" t="str">
        <f t="shared" si="27"/>
        <v>C</v>
      </c>
      <c r="G262" s="115" t="s">
        <v>925</v>
      </c>
      <c r="H262" s="115">
        <v>0</v>
      </c>
      <c r="I262" s="115">
        <v>0</v>
      </c>
      <c r="J262" s="115" t="s">
        <v>925</v>
      </c>
      <c r="K262" t="str">
        <f t="shared" si="29"/>
        <v>C</v>
      </c>
      <c r="L262" s="173">
        <f t="shared" si="30"/>
        <v>2428</v>
      </c>
    </row>
    <row r="263" spans="1:12" x14ac:dyDescent="0.3">
      <c r="A263" t="s">
        <v>2845</v>
      </c>
      <c r="B263" t="s">
        <v>927</v>
      </c>
      <c r="C263">
        <f t="shared" si="24"/>
        <v>16</v>
      </c>
      <c r="D263" t="str">
        <f t="shared" si="25"/>
        <v>Norm</v>
      </c>
      <c r="E263">
        <f t="shared" si="26"/>
        <v>2</v>
      </c>
      <c r="F263" t="str">
        <f t="shared" si="27"/>
        <v>C</v>
      </c>
      <c r="G263" s="115" t="s">
        <v>928</v>
      </c>
      <c r="H263" s="115">
        <v>0</v>
      </c>
      <c r="I263" s="115">
        <v>0</v>
      </c>
      <c r="J263" s="115" t="s">
        <v>928</v>
      </c>
      <c r="K263" t="str">
        <f t="shared" si="29"/>
        <v>C</v>
      </c>
      <c r="L263" s="173">
        <f t="shared" si="30"/>
        <v>118073.7</v>
      </c>
    </row>
    <row r="264" spans="1:12" x14ac:dyDescent="0.3">
      <c r="A264" t="s">
        <v>2846</v>
      </c>
      <c r="B264" t="s">
        <v>930</v>
      </c>
      <c r="C264">
        <f t="shared" si="24"/>
        <v>16</v>
      </c>
      <c r="D264" t="str">
        <f t="shared" si="25"/>
        <v>Norm</v>
      </c>
      <c r="E264">
        <f t="shared" si="26"/>
        <v>2</v>
      </c>
      <c r="F264" t="str">
        <f t="shared" si="27"/>
        <v>C</v>
      </c>
      <c r="G264" s="115" t="s">
        <v>931</v>
      </c>
      <c r="H264" s="115">
        <v>0</v>
      </c>
      <c r="I264" s="115">
        <v>0</v>
      </c>
      <c r="J264" s="115" t="s">
        <v>931</v>
      </c>
      <c r="K264" t="str">
        <f t="shared" si="29"/>
        <v>C</v>
      </c>
      <c r="L264" s="173">
        <f t="shared" si="30"/>
        <v>7300.9</v>
      </c>
    </row>
    <row r="265" spans="1:12" x14ac:dyDescent="0.3">
      <c r="A265" t="s">
        <v>2847</v>
      </c>
      <c r="B265" t="s">
        <v>933</v>
      </c>
      <c r="C265">
        <f t="shared" si="24"/>
        <v>16</v>
      </c>
      <c r="D265" t="str">
        <f t="shared" si="25"/>
        <v>Norm</v>
      </c>
      <c r="E265">
        <f t="shared" si="26"/>
        <v>2</v>
      </c>
      <c r="F265" t="str">
        <f t="shared" si="27"/>
        <v>C</v>
      </c>
      <c r="G265" s="115" t="s">
        <v>934</v>
      </c>
      <c r="H265" s="115">
        <v>0</v>
      </c>
      <c r="I265" s="115">
        <v>0</v>
      </c>
      <c r="J265" s="115" t="s">
        <v>934</v>
      </c>
      <c r="K265" t="str">
        <f t="shared" si="29"/>
        <v>C</v>
      </c>
      <c r="L265" s="173">
        <f t="shared" si="30"/>
        <v>30000</v>
      </c>
    </row>
    <row r="266" spans="1:12" x14ac:dyDescent="0.3">
      <c r="A266" t="s">
        <v>2848</v>
      </c>
      <c r="B266" t="s">
        <v>936</v>
      </c>
      <c r="C266">
        <f t="shared" si="24"/>
        <v>16</v>
      </c>
      <c r="D266" t="str">
        <f t="shared" si="25"/>
        <v>Norm</v>
      </c>
      <c r="E266">
        <f t="shared" si="26"/>
        <v>2</v>
      </c>
      <c r="F266" t="str">
        <f t="shared" si="27"/>
        <v>C</v>
      </c>
      <c r="G266" s="115" t="s">
        <v>937</v>
      </c>
      <c r="H266" s="115">
        <v>0</v>
      </c>
      <c r="I266" s="115">
        <v>0</v>
      </c>
      <c r="J266" s="115" t="s">
        <v>937</v>
      </c>
      <c r="K266" t="str">
        <f t="shared" si="29"/>
        <v>C</v>
      </c>
      <c r="L266" s="173">
        <f t="shared" si="30"/>
        <v>130689.02</v>
      </c>
    </row>
    <row r="267" spans="1:12" x14ac:dyDescent="0.3">
      <c r="A267" t="s">
        <v>2849</v>
      </c>
      <c r="B267" t="s">
        <v>939</v>
      </c>
      <c r="C267">
        <f t="shared" si="24"/>
        <v>11</v>
      </c>
      <c r="D267" t="str">
        <f t="shared" si="25"/>
        <v>Norm</v>
      </c>
      <c r="E267">
        <f t="shared" si="26"/>
        <v>2</v>
      </c>
      <c r="F267" t="str">
        <f t="shared" si="27"/>
        <v>C</v>
      </c>
      <c r="G267" s="115" t="s">
        <v>941</v>
      </c>
      <c r="H267" s="54">
        <v>123361.31</v>
      </c>
      <c r="I267" s="115">
        <v>0</v>
      </c>
      <c r="J267" s="115" t="s">
        <v>2850</v>
      </c>
      <c r="K267" t="str">
        <f t="shared" si="29"/>
        <v>C</v>
      </c>
      <c r="L267" s="173">
        <f t="shared" si="30"/>
        <v>29498.1</v>
      </c>
    </row>
    <row r="268" spans="1:12" x14ac:dyDescent="0.3">
      <c r="A268" t="s">
        <v>2851</v>
      </c>
      <c r="B268" t="s">
        <v>943</v>
      </c>
      <c r="C268">
        <f t="shared" si="24"/>
        <v>16</v>
      </c>
      <c r="D268" t="str">
        <f t="shared" si="25"/>
        <v>Norm</v>
      </c>
      <c r="E268">
        <f t="shared" si="26"/>
        <v>2</v>
      </c>
      <c r="F268" t="str">
        <f t="shared" si="27"/>
        <v>C</v>
      </c>
      <c r="G268" s="115" t="s">
        <v>944</v>
      </c>
      <c r="H268" s="54">
        <v>123361.31</v>
      </c>
      <c r="I268" s="115">
        <v>0</v>
      </c>
      <c r="J268" s="115" t="s">
        <v>884</v>
      </c>
      <c r="K268" t="str">
        <f t="shared" si="29"/>
        <v>C</v>
      </c>
      <c r="L268" s="173">
        <f t="shared" si="30"/>
        <v>0</v>
      </c>
    </row>
    <row r="269" spans="1:12" x14ac:dyDescent="0.3">
      <c r="A269" t="s">
        <v>2852</v>
      </c>
      <c r="B269" t="s">
        <v>949</v>
      </c>
      <c r="C269">
        <f t="shared" ref="C269:C332" si="31">LEN(B269)</f>
        <v>16</v>
      </c>
      <c r="D269" t="str">
        <f t="shared" ref="D269:D332" si="32">IF(LEFT(TRIM(A269),1)="(","Red.","Norm")</f>
        <v>Norm</v>
      </c>
      <c r="E269">
        <f t="shared" ref="E269:E332" si="33">LEFT(SUBSTITUTE(B269,"[","",1),1)+0</f>
        <v>2</v>
      </c>
      <c r="F269" t="str">
        <f t="shared" ref="F269:F332" si="34">IF(AND(OR(E269=1,E269=3,E269=5),D269="Norm"),"D",
IF(AND(OR(E269=1,E269=3,E269=5),D269="Red."),"C",
IF(AND(OR(E269=2,E269=4,E269=6),D269="Norm"),"C",
IF(AND(OR(E269=2,E269=4,E269=6),D269="Red."),"D"))))</f>
        <v>C</v>
      </c>
      <c r="G269" s="115" t="s">
        <v>950</v>
      </c>
      <c r="H269" s="115">
        <v>0</v>
      </c>
      <c r="I269" s="115">
        <v>0</v>
      </c>
      <c r="J269" s="115" t="s">
        <v>950</v>
      </c>
      <c r="K269" t="str">
        <f t="shared" si="29"/>
        <v>C</v>
      </c>
      <c r="L269" s="173">
        <f t="shared" si="30"/>
        <v>18626.23</v>
      </c>
    </row>
    <row r="270" spans="1:12" x14ac:dyDescent="0.3">
      <c r="A270" t="s">
        <v>2853</v>
      </c>
      <c r="B270" t="s">
        <v>952</v>
      </c>
      <c r="C270">
        <f t="shared" si="31"/>
        <v>16</v>
      </c>
      <c r="D270" t="str">
        <f t="shared" si="32"/>
        <v>Norm</v>
      </c>
      <c r="E270">
        <f t="shared" si="33"/>
        <v>2</v>
      </c>
      <c r="F270" t="str">
        <f t="shared" si="34"/>
        <v>C</v>
      </c>
      <c r="G270" s="115" t="s">
        <v>953</v>
      </c>
      <c r="H270" s="115">
        <v>0</v>
      </c>
      <c r="I270" s="115">
        <v>0</v>
      </c>
      <c r="J270" s="115" t="s">
        <v>953</v>
      </c>
      <c r="K270" t="str">
        <f t="shared" si="29"/>
        <v>C</v>
      </c>
      <c r="L270" s="173">
        <f t="shared" si="30"/>
        <v>10871.87</v>
      </c>
    </row>
    <row r="271" spans="1:12" x14ac:dyDescent="0.3">
      <c r="A271" t="s">
        <v>2854</v>
      </c>
      <c r="B271" t="s">
        <v>955</v>
      </c>
      <c r="C271">
        <f t="shared" si="31"/>
        <v>11</v>
      </c>
      <c r="D271" t="str">
        <f t="shared" si="32"/>
        <v>Norm</v>
      </c>
      <c r="E271">
        <f t="shared" si="33"/>
        <v>2</v>
      </c>
      <c r="F271" t="str">
        <f t="shared" si="34"/>
        <v>C</v>
      </c>
      <c r="G271" s="115" t="s">
        <v>957</v>
      </c>
      <c r="H271" s="54">
        <v>10188812.35</v>
      </c>
      <c r="I271" s="54">
        <v>11118171.09</v>
      </c>
      <c r="J271" s="115" t="s">
        <v>2224</v>
      </c>
      <c r="K271" t="str">
        <f t="shared" si="29"/>
        <v>C</v>
      </c>
      <c r="L271" s="173">
        <f t="shared" si="30"/>
        <v>20812607.010000002</v>
      </c>
    </row>
    <row r="272" spans="1:12" x14ac:dyDescent="0.3">
      <c r="A272" t="s">
        <v>2855</v>
      </c>
      <c r="B272" t="s">
        <v>959</v>
      </c>
      <c r="C272">
        <f t="shared" si="31"/>
        <v>16</v>
      </c>
      <c r="D272" t="str">
        <f t="shared" si="32"/>
        <v>Norm</v>
      </c>
      <c r="E272">
        <f t="shared" si="33"/>
        <v>2</v>
      </c>
      <c r="F272" t="str">
        <f t="shared" si="34"/>
        <v>C</v>
      </c>
      <c r="G272" s="115" t="s">
        <v>957</v>
      </c>
      <c r="H272" s="54">
        <v>10188812.35</v>
      </c>
      <c r="I272" s="54">
        <v>11118171.09</v>
      </c>
      <c r="J272" s="115" t="s">
        <v>2224</v>
      </c>
      <c r="K272" t="str">
        <f t="shared" si="29"/>
        <v>C</v>
      </c>
      <c r="L272" s="173">
        <f t="shared" si="30"/>
        <v>20812607.010000002</v>
      </c>
    </row>
    <row r="273" spans="1:12" x14ac:dyDescent="0.3">
      <c r="A273" t="s">
        <v>2856</v>
      </c>
      <c r="B273" t="s">
        <v>962</v>
      </c>
      <c r="C273">
        <f t="shared" si="31"/>
        <v>11</v>
      </c>
      <c r="D273" t="str">
        <f t="shared" si="32"/>
        <v>Norm</v>
      </c>
      <c r="E273">
        <f t="shared" si="33"/>
        <v>2</v>
      </c>
      <c r="F273" t="str">
        <f t="shared" si="34"/>
        <v>C</v>
      </c>
      <c r="G273" s="115" t="s">
        <v>964</v>
      </c>
      <c r="H273" s="54">
        <v>74601.210000000006</v>
      </c>
      <c r="I273" s="54">
        <v>55227.86</v>
      </c>
      <c r="J273" s="115" t="s">
        <v>2857</v>
      </c>
      <c r="K273" t="str">
        <f t="shared" si="29"/>
        <v>C</v>
      </c>
      <c r="L273" s="173">
        <f t="shared" si="30"/>
        <v>300841.14</v>
      </c>
    </row>
    <row r="274" spans="1:12" x14ac:dyDescent="0.3">
      <c r="A274" t="s">
        <v>2858</v>
      </c>
      <c r="B274" t="s">
        <v>966</v>
      </c>
      <c r="C274">
        <f t="shared" si="31"/>
        <v>16</v>
      </c>
      <c r="D274" t="str">
        <f t="shared" si="32"/>
        <v>Norm</v>
      </c>
      <c r="E274">
        <f t="shared" si="33"/>
        <v>2</v>
      </c>
      <c r="F274" t="str">
        <f t="shared" si="34"/>
        <v>C</v>
      </c>
      <c r="G274" s="115" t="s">
        <v>967</v>
      </c>
      <c r="H274" s="115">
        <v>0</v>
      </c>
      <c r="I274" s="115">
        <v>0</v>
      </c>
      <c r="J274" s="115" t="s">
        <v>967</v>
      </c>
      <c r="K274" t="str">
        <f t="shared" si="29"/>
        <v>C</v>
      </c>
      <c r="L274" s="173">
        <f t="shared" si="30"/>
        <v>1076.93</v>
      </c>
    </row>
    <row r="275" spans="1:12" x14ac:dyDescent="0.3">
      <c r="A275" t="s">
        <v>2859</v>
      </c>
      <c r="B275" t="s">
        <v>971</v>
      </c>
      <c r="C275">
        <f t="shared" si="31"/>
        <v>16</v>
      </c>
      <c r="D275" t="str">
        <f t="shared" si="32"/>
        <v>Norm</v>
      </c>
      <c r="E275">
        <f t="shared" si="33"/>
        <v>2</v>
      </c>
      <c r="F275" t="str">
        <f t="shared" si="34"/>
        <v>C</v>
      </c>
      <c r="G275" s="115" t="s">
        <v>972</v>
      </c>
      <c r="H275" s="115">
        <v>0</v>
      </c>
      <c r="I275" s="115">
        <v>0</v>
      </c>
      <c r="J275" s="115" t="s">
        <v>972</v>
      </c>
      <c r="K275" t="str">
        <f t="shared" si="29"/>
        <v>C</v>
      </c>
      <c r="L275" s="173">
        <f t="shared" si="30"/>
        <v>31783.88</v>
      </c>
    </row>
    <row r="276" spans="1:12" x14ac:dyDescent="0.3">
      <c r="A276" t="s">
        <v>2860</v>
      </c>
      <c r="B276" t="s">
        <v>974</v>
      </c>
      <c r="C276">
        <f t="shared" si="31"/>
        <v>16</v>
      </c>
      <c r="D276" t="str">
        <f t="shared" si="32"/>
        <v>Norm</v>
      </c>
      <c r="E276">
        <f t="shared" si="33"/>
        <v>2</v>
      </c>
      <c r="F276" t="str">
        <f t="shared" si="34"/>
        <v>C</v>
      </c>
      <c r="G276" s="115" t="s">
        <v>975</v>
      </c>
      <c r="H276" s="115">
        <v>0</v>
      </c>
      <c r="I276" s="115">
        <v>0</v>
      </c>
      <c r="J276" s="115" t="s">
        <v>975</v>
      </c>
      <c r="K276" t="str">
        <f t="shared" si="29"/>
        <v>C</v>
      </c>
      <c r="L276" s="173">
        <f t="shared" si="30"/>
        <v>8698.98</v>
      </c>
    </row>
    <row r="277" spans="1:12" x14ac:dyDescent="0.3">
      <c r="A277" t="s">
        <v>2861</v>
      </c>
      <c r="B277" t="s">
        <v>977</v>
      </c>
      <c r="C277">
        <f t="shared" si="31"/>
        <v>16</v>
      </c>
      <c r="D277" t="str">
        <f t="shared" si="32"/>
        <v>Norm</v>
      </c>
      <c r="E277">
        <f t="shared" si="33"/>
        <v>2</v>
      </c>
      <c r="F277" t="str">
        <f t="shared" si="34"/>
        <v>C</v>
      </c>
      <c r="G277" s="115" t="s">
        <v>978</v>
      </c>
      <c r="H277" s="115">
        <v>0</v>
      </c>
      <c r="I277" s="115">
        <v>0</v>
      </c>
      <c r="J277" s="115" t="s">
        <v>978</v>
      </c>
      <c r="K277" t="str">
        <f t="shared" si="29"/>
        <v>C</v>
      </c>
      <c r="L277" s="173">
        <f t="shared" si="30"/>
        <v>2907.7</v>
      </c>
    </row>
    <row r="278" spans="1:12" x14ac:dyDescent="0.3">
      <c r="A278" t="s">
        <v>2862</v>
      </c>
      <c r="B278" t="s">
        <v>2225</v>
      </c>
      <c r="C278">
        <f t="shared" si="31"/>
        <v>16</v>
      </c>
      <c r="D278" t="str">
        <f t="shared" si="32"/>
        <v>Norm</v>
      </c>
      <c r="E278">
        <f t="shared" si="33"/>
        <v>2</v>
      </c>
      <c r="F278" t="str">
        <f t="shared" si="34"/>
        <v>C</v>
      </c>
      <c r="G278" s="115" t="s">
        <v>884</v>
      </c>
      <c r="H278" s="54">
        <v>2180</v>
      </c>
      <c r="I278" s="54">
        <v>2180</v>
      </c>
      <c r="J278" s="115" t="s">
        <v>884</v>
      </c>
      <c r="K278" t="str">
        <f t="shared" si="29"/>
        <v>C</v>
      </c>
      <c r="L278" s="173">
        <f t="shared" si="30"/>
        <v>0</v>
      </c>
    </row>
    <row r="279" spans="1:12" x14ac:dyDescent="0.3">
      <c r="A279" t="s">
        <v>2863</v>
      </c>
      <c r="B279" t="s">
        <v>983</v>
      </c>
      <c r="C279">
        <f t="shared" si="31"/>
        <v>16</v>
      </c>
      <c r="D279" t="str">
        <f t="shared" si="32"/>
        <v>Norm</v>
      </c>
      <c r="E279">
        <f t="shared" si="33"/>
        <v>2</v>
      </c>
      <c r="F279" t="str">
        <f t="shared" si="34"/>
        <v>C</v>
      </c>
      <c r="G279" s="115" t="s">
        <v>984</v>
      </c>
      <c r="H279" s="115">
        <v>0</v>
      </c>
      <c r="I279" s="115">
        <v>0</v>
      </c>
      <c r="J279" s="115" t="s">
        <v>984</v>
      </c>
      <c r="K279" t="str">
        <f t="shared" si="29"/>
        <v>C</v>
      </c>
      <c r="L279" s="173">
        <f t="shared" si="30"/>
        <v>2145.7399999999998</v>
      </c>
    </row>
    <row r="280" spans="1:12" x14ac:dyDescent="0.3">
      <c r="A280" t="s">
        <v>2864</v>
      </c>
      <c r="B280" t="s">
        <v>986</v>
      </c>
      <c r="C280">
        <f t="shared" si="31"/>
        <v>16</v>
      </c>
      <c r="D280" t="str">
        <f t="shared" si="32"/>
        <v>Norm</v>
      </c>
      <c r="E280">
        <f t="shared" si="33"/>
        <v>2</v>
      </c>
      <c r="F280" t="str">
        <f t="shared" si="34"/>
        <v>C</v>
      </c>
      <c r="G280" s="115" t="s">
        <v>987</v>
      </c>
      <c r="H280" s="54">
        <v>31786.59</v>
      </c>
      <c r="I280" s="115">
        <v>0</v>
      </c>
      <c r="J280" s="115" t="s">
        <v>884</v>
      </c>
      <c r="K280" t="str">
        <f t="shared" si="29"/>
        <v>C</v>
      </c>
      <c r="L280" s="173">
        <f t="shared" si="30"/>
        <v>0</v>
      </c>
    </row>
    <row r="281" spans="1:12" x14ac:dyDescent="0.3">
      <c r="A281" t="s">
        <v>2865</v>
      </c>
      <c r="B281" t="s">
        <v>989</v>
      </c>
      <c r="C281">
        <f t="shared" si="31"/>
        <v>16</v>
      </c>
      <c r="D281" t="str">
        <f t="shared" si="32"/>
        <v>Norm</v>
      </c>
      <c r="E281">
        <f t="shared" si="33"/>
        <v>2</v>
      </c>
      <c r="F281" t="str">
        <f t="shared" si="34"/>
        <v>C</v>
      </c>
      <c r="G281" s="115" t="s">
        <v>990</v>
      </c>
      <c r="H281" s="115">
        <v>0</v>
      </c>
      <c r="I281" s="54">
        <v>2511.41</v>
      </c>
      <c r="J281" s="115" t="s">
        <v>2226</v>
      </c>
      <c r="K281" t="str">
        <f t="shared" si="29"/>
        <v>C</v>
      </c>
      <c r="L281" s="173">
        <f t="shared" si="30"/>
        <v>9595.44</v>
      </c>
    </row>
    <row r="282" spans="1:12" x14ac:dyDescent="0.3">
      <c r="A282" t="s">
        <v>2866</v>
      </c>
      <c r="B282" t="s">
        <v>992</v>
      </c>
      <c r="C282">
        <f t="shared" si="31"/>
        <v>16</v>
      </c>
      <c r="D282" t="str">
        <f t="shared" si="32"/>
        <v>Norm</v>
      </c>
      <c r="E282">
        <f t="shared" si="33"/>
        <v>2</v>
      </c>
      <c r="F282" t="str">
        <f t="shared" si="34"/>
        <v>C</v>
      </c>
      <c r="G282" s="115" t="s">
        <v>994</v>
      </c>
      <c r="H282" s="54">
        <v>1804.07</v>
      </c>
      <c r="I282" s="54">
        <v>14592.15</v>
      </c>
      <c r="J282" s="115" t="s">
        <v>2227</v>
      </c>
      <c r="K282" t="str">
        <f t="shared" si="29"/>
        <v>C</v>
      </c>
      <c r="L282" s="173">
        <f t="shared" si="30"/>
        <v>13263.59</v>
      </c>
    </row>
    <row r="283" spans="1:12" x14ac:dyDescent="0.3">
      <c r="A283" t="s">
        <v>2867</v>
      </c>
      <c r="B283" t="s">
        <v>996</v>
      </c>
      <c r="C283">
        <f t="shared" si="31"/>
        <v>16</v>
      </c>
      <c r="D283" t="str">
        <f t="shared" si="32"/>
        <v>Norm</v>
      </c>
      <c r="E283">
        <f t="shared" si="33"/>
        <v>2</v>
      </c>
      <c r="F283" t="str">
        <f t="shared" si="34"/>
        <v>C</v>
      </c>
      <c r="G283" s="115" t="s">
        <v>997</v>
      </c>
      <c r="H283" s="115">
        <v>0</v>
      </c>
      <c r="I283" s="115">
        <v>0</v>
      </c>
      <c r="J283" s="115" t="s">
        <v>997</v>
      </c>
      <c r="K283" t="str">
        <f t="shared" si="29"/>
        <v>C</v>
      </c>
      <c r="L283" s="173">
        <f t="shared" si="30"/>
        <v>6658.94</v>
      </c>
    </row>
    <row r="284" spans="1:12" x14ac:dyDescent="0.3">
      <c r="A284" t="s">
        <v>2868</v>
      </c>
      <c r="B284" t="s">
        <v>999</v>
      </c>
      <c r="C284">
        <f t="shared" si="31"/>
        <v>16</v>
      </c>
      <c r="D284" t="str">
        <f t="shared" si="32"/>
        <v>Norm</v>
      </c>
      <c r="E284">
        <f t="shared" si="33"/>
        <v>2</v>
      </c>
      <c r="F284" t="str">
        <f t="shared" si="34"/>
        <v>C</v>
      </c>
      <c r="G284" s="115" t="s">
        <v>1000</v>
      </c>
      <c r="H284" s="115">
        <v>0</v>
      </c>
      <c r="I284" s="115">
        <v>0</v>
      </c>
      <c r="J284" s="115" t="s">
        <v>1000</v>
      </c>
      <c r="K284" t="str">
        <f t="shared" si="29"/>
        <v>C</v>
      </c>
      <c r="L284" s="173">
        <f t="shared" si="30"/>
        <v>103676.82</v>
      </c>
    </row>
    <row r="285" spans="1:12" x14ac:dyDescent="0.3">
      <c r="A285" t="s">
        <v>2869</v>
      </c>
      <c r="B285" t="s">
        <v>1002</v>
      </c>
      <c r="C285">
        <f t="shared" si="31"/>
        <v>16</v>
      </c>
      <c r="D285" t="str">
        <f t="shared" si="32"/>
        <v>Norm</v>
      </c>
      <c r="E285">
        <f t="shared" si="33"/>
        <v>2</v>
      </c>
      <c r="F285" t="str">
        <f t="shared" si="34"/>
        <v>C</v>
      </c>
      <c r="G285" s="115" t="s">
        <v>1003</v>
      </c>
      <c r="H285" s="115">
        <v>0</v>
      </c>
      <c r="I285" s="115">
        <v>0</v>
      </c>
      <c r="J285" s="115" t="s">
        <v>1003</v>
      </c>
      <c r="K285" t="str">
        <f t="shared" si="29"/>
        <v>C</v>
      </c>
      <c r="L285" s="173">
        <f t="shared" si="30"/>
        <v>2777.3</v>
      </c>
    </row>
    <row r="286" spans="1:12" x14ac:dyDescent="0.3">
      <c r="A286" t="s">
        <v>2870</v>
      </c>
      <c r="B286" t="s">
        <v>1005</v>
      </c>
      <c r="C286">
        <f t="shared" si="31"/>
        <v>16</v>
      </c>
      <c r="D286" t="str">
        <f t="shared" si="32"/>
        <v>Norm</v>
      </c>
      <c r="E286">
        <f t="shared" si="33"/>
        <v>2</v>
      </c>
      <c r="F286" t="str">
        <f t="shared" si="34"/>
        <v>C</v>
      </c>
      <c r="G286" s="115" t="s">
        <v>1006</v>
      </c>
      <c r="H286" s="115">
        <v>0</v>
      </c>
      <c r="I286" s="115">
        <v>0</v>
      </c>
      <c r="J286" s="115" t="s">
        <v>1006</v>
      </c>
      <c r="K286" t="str">
        <f t="shared" si="29"/>
        <v>C</v>
      </c>
      <c r="L286" s="173">
        <f t="shared" si="30"/>
        <v>79099.899999999994</v>
      </c>
    </row>
    <row r="287" spans="1:12" x14ac:dyDescent="0.3">
      <c r="A287" t="s">
        <v>2871</v>
      </c>
      <c r="B287" t="s">
        <v>1008</v>
      </c>
      <c r="C287">
        <f t="shared" si="31"/>
        <v>16</v>
      </c>
      <c r="D287" t="str">
        <f t="shared" si="32"/>
        <v>Norm</v>
      </c>
      <c r="E287">
        <f t="shared" si="33"/>
        <v>2</v>
      </c>
      <c r="F287" t="str">
        <f t="shared" si="34"/>
        <v>C</v>
      </c>
      <c r="G287" s="115" t="s">
        <v>1009</v>
      </c>
      <c r="H287" s="115">
        <v>0</v>
      </c>
      <c r="I287" s="115">
        <v>0</v>
      </c>
      <c r="J287" s="115" t="s">
        <v>1009</v>
      </c>
      <c r="K287" t="str">
        <f t="shared" si="29"/>
        <v>C</v>
      </c>
      <c r="L287" s="173">
        <f t="shared" si="30"/>
        <v>7010.8</v>
      </c>
    </row>
    <row r="288" spans="1:12" x14ac:dyDescent="0.3">
      <c r="A288" t="s">
        <v>2872</v>
      </c>
      <c r="B288" t="s">
        <v>1011</v>
      </c>
      <c r="C288">
        <f t="shared" si="31"/>
        <v>16</v>
      </c>
      <c r="D288" t="str">
        <f t="shared" si="32"/>
        <v>Norm</v>
      </c>
      <c r="E288">
        <f t="shared" si="33"/>
        <v>2</v>
      </c>
      <c r="F288" t="str">
        <f t="shared" si="34"/>
        <v>C</v>
      </c>
      <c r="G288" s="115" t="s">
        <v>1012</v>
      </c>
      <c r="H288" s="115">
        <v>0</v>
      </c>
      <c r="I288" s="115">
        <v>0</v>
      </c>
      <c r="J288" s="115" t="s">
        <v>1012</v>
      </c>
      <c r="K288" t="str">
        <f t="shared" si="29"/>
        <v>C</v>
      </c>
      <c r="L288" s="173">
        <f t="shared" si="30"/>
        <v>3580</v>
      </c>
    </row>
    <row r="289" spans="1:12" x14ac:dyDescent="0.3">
      <c r="A289" t="s">
        <v>2873</v>
      </c>
      <c r="B289" t="s">
        <v>1014</v>
      </c>
      <c r="C289">
        <f t="shared" si="31"/>
        <v>16</v>
      </c>
      <c r="D289" t="str">
        <f t="shared" si="32"/>
        <v>Norm</v>
      </c>
      <c r="E289">
        <f t="shared" si="33"/>
        <v>2</v>
      </c>
      <c r="F289" t="str">
        <f t="shared" si="34"/>
        <v>C</v>
      </c>
      <c r="G289" s="115" t="s">
        <v>1015</v>
      </c>
      <c r="H289" s="115">
        <v>0</v>
      </c>
      <c r="I289" s="115">
        <v>0</v>
      </c>
      <c r="J289" s="115" t="s">
        <v>1015</v>
      </c>
      <c r="K289" t="str">
        <f t="shared" si="29"/>
        <v>C</v>
      </c>
      <c r="L289" s="173">
        <f t="shared" si="30"/>
        <v>2040</v>
      </c>
    </row>
    <row r="290" spans="1:12" x14ac:dyDescent="0.3">
      <c r="A290" t="s">
        <v>2874</v>
      </c>
      <c r="B290" t="s">
        <v>1017</v>
      </c>
      <c r="C290">
        <f t="shared" si="31"/>
        <v>16</v>
      </c>
      <c r="D290" t="str">
        <f t="shared" si="32"/>
        <v>Norm</v>
      </c>
      <c r="E290">
        <f t="shared" si="33"/>
        <v>2</v>
      </c>
      <c r="F290" t="str">
        <f t="shared" si="34"/>
        <v>C</v>
      </c>
      <c r="G290" s="115" t="s">
        <v>1018</v>
      </c>
      <c r="H290" s="115">
        <v>0</v>
      </c>
      <c r="I290" s="115">
        <v>0</v>
      </c>
      <c r="J290" s="115" t="s">
        <v>1018</v>
      </c>
      <c r="K290" t="str">
        <f t="shared" si="29"/>
        <v>C</v>
      </c>
      <c r="L290" s="173">
        <f t="shared" si="30"/>
        <v>7829</v>
      </c>
    </row>
    <row r="291" spans="1:12" x14ac:dyDescent="0.3">
      <c r="A291" t="s">
        <v>2875</v>
      </c>
      <c r="B291" t="s">
        <v>1020</v>
      </c>
      <c r="C291">
        <f t="shared" si="31"/>
        <v>16</v>
      </c>
      <c r="D291" t="str">
        <f t="shared" si="32"/>
        <v>Norm</v>
      </c>
      <c r="E291">
        <f t="shared" si="33"/>
        <v>2</v>
      </c>
      <c r="F291" t="str">
        <f t="shared" si="34"/>
        <v>C</v>
      </c>
      <c r="G291" s="115" t="s">
        <v>1021</v>
      </c>
      <c r="H291" s="115">
        <v>0</v>
      </c>
      <c r="I291" s="115">
        <v>0</v>
      </c>
      <c r="J291" s="115" t="s">
        <v>1021</v>
      </c>
      <c r="K291" t="str">
        <f t="shared" si="29"/>
        <v>C</v>
      </c>
      <c r="L291" s="173">
        <f t="shared" si="30"/>
        <v>8906.14</v>
      </c>
    </row>
    <row r="292" spans="1:12" x14ac:dyDescent="0.3">
      <c r="A292" t="s">
        <v>2876</v>
      </c>
      <c r="B292" t="s">
        <v>1023</v>
      </c>
      <c r="C292">
        <f t="shared" si="31"/>
        <v>16</v>
      </c>
      <c r="D292" t="str">
        <f t="shared" si="32"/>
        <v>Norm</v>
      </c>
      <c r="E292">
        <f t="shared" si="33"/>
        <v>2</v>
      </c>
      <c r="F292" t="str">
        <f t="shared" si="34"/>
        <v>C</v>
      </c>
      <c r="G292" s="115" t="s">
        <v>1024</v>
      </c>
      <c r="H292" s="115">
        <v>0</v>
      </c>
      <c r="I292" s="115">
        <v>0</v>
      </c>
      <c r="J292" s="115" t="s">
        <v>1024</v>
      </c>
      <c r="K292" t="str">
        <f t="shared" si="29"/>
        <v>C</v>
      </c>
      <c r="L292" s="173">
        <f t="shared" si="30"/>
        <v>9789.98</v>
      </c>
    </row>
    <row r="293" spans="1:12" x14ac:dyDescent="0.3">
      <c r="A293" t="s">
        <v>2877</v>
      </c>
      <c r="B293" t="s">
        <v>1026</v>
      </c>
      <c r="C293">
        <f t="shared" si="31"/>
        <v>16</v>
      </c>
      <c r="D293" t="str">
        <f t="shared" si="32"/>
        <v>Norm</v>
      </c>
      <c r="E293">
        <f t="shared" si="33"/>
        <v>2</v>
      </c>
      <c r="F293" t="str">
        <f t="shared" si="34"/>
        <v>C</v>
      </c>
      <c r="G293" s="115" t="s">
        <v>1027</v>
      </c>
      <c r="H293" s="54">
        <v>2886.25</v>
      </c>
      <c r="I293" s="115">
        <v>0</v>
      </c>
      <c r="J293" s="115">
        <v>0</v>
      </c>
      <c r="K293" t="str">
        <f t="shared" si="29"/>
        <v>0</v>
      </c>
      <c r="L293" s="173">
        <f t="shared" si="30"/>
        <v>0</v>
      </c>
    </row>
    <row r="294" spans="1:12" x14ac:dyDescent="0.3">
      <c r="A294" t="s">
        <v>2878</v>
      </c>
      <c r="B294" t="s">
        <v>2228</v>
      </c>
      <c r="C294">
        <f t="shared" si="31"/>
        <v>16</v>
      </c>
      <c r="D294" t="str">
        <f t="shared" si="32"/>
        <v>Norm</v>
      </c>
      <c r="E294">
        <f t="shared" si="33"/>
        <v>2</v>
      </c>
      <c r="F294" t="str">
        <f t="shared" si="34"/>
        <v>C</v>
      </c>
      <c r="G294" s="115" t="s">
        <v>884</v>
      </c>
      <c r="H294" s="54">
        <v>15669.5</v>
      </c>
      <c r="I294" s="54">
        <v>15669.5</v>
      </c>
      <c r="J294" s="115" t="s">
        <v>884</v>
      </c>
      <c r="K294" t="str">
        <f t="shared" si="29"/>
        <v>C</v>
      </c>
      <c r="L294" s="173">
        <f t="shared" si="30"/>
        <v>0</v>
      </c>
    </row>
    <row r="295" spans="1:12" x14ac:dyDescent="0.3">
      <c r="A295" t="s">
        <v>2879</v>
      </c>
      <c r="B295" t="s">
        <v>2229</v>
      </c>
      <c r="C295">
        <f t="shared" si="31"/>
        <v>16</v>
      </c>
      <c r="D295" t="str">
        <f t="shared" si="32"/>
        <v>Norm</v>
      </c>
      <c r="E295">
        <f t="shared" si="33"/>
        <v>2</v>
      </c>
      <c r="F295" t="str">
        <f t="shared" si="34"/>
        <v>C</v>
      </c>
      <c r="G295" s="115" t="s">
        <v>884</v>
      </c>
      <c r="H295" s="54">
        <v>2296.8000000000002</v>
      </c>
      <c r="I295" s="54">
        <v>2296.8000000000002</v>
      </c>
      <c r="J295" s="115" t="s">
        <v>884</v>
      </c>
      <c r="K295" t="str">
        <f t="shared" si="29"/>
        <v>C</v>
      </c>
      <c r="L295" s="173">
        <f t="shared" si="30"/>
        <v>0</v>
      </c>
    </row>
    <row r="296" spans="1:12" x14ac:dyDescent="0.3">
      <c r="A296" t="s">
        <v>2880</v>
      </c>
      <c r="B296" t="s">
        <v>2230</v>
      </c>
      <c r="C296">
        <f t="shared" si="31"/>
        <v>16</v>
      </c>
      <c r="D296" t="str">
        <f t="shared" si="32"/>
        <v>Norm</v>
      </c>
      <c r="E296">
        <f t="shared" si="33"/>
        <v>2</v>
      </c>
      <c r="F296" t="str">
        <f t="shared" si="34"/>
        <v>C</v>
      </c>
      <c r="G296" s="115" t="s">
        <v>884</v>
      </c>
      <c r="H296" s="54">
        <v>3780</v>
      </c>
      <c r="I296" s="54">
        <v>3780</v>
      </c>
      <c r="J296" s="115" t="s">
        <v>884</v>
      </c>
      <c r="K296" t="str">
        <f t="shared" si="29"/>
        <v>C</v>
      </c>
      <c r="L296" s="173">
        <f t="shared" si="30"/>
        <v>0</v>
      </c>
    </row>
    <row r="297" spans="1:12" x14ac:dyDescent="0.3">
      <c r="A297" t="s">
        <v>2881</v>
      </c>
      <c r="B297" t="s">
        <v>2231</v>
      </c>
      <c r="C297">
        <f t="shared" si="31"/>
        <v>16</v>
      </c>
      <c r="D297" t="str">
        <f t="shared" si="32"/>
        <v>Norm</v>
      </c>
      <c r="E297">
        <f t="shared" si="33"/>
        <v>2</v>
      </c>
      <c r="F297" t="str">
        <f t="shared" si="34"/>
        <v>C</v>
      </c>
      <c r="G297" s="115" t="s">
        <v>884</v>
      </c>
      <c r="H297" s="54">
        <v>3599</v>
      </c>
      <c r="I297" s="54">
        <v>3599</v>
      </c>
      <c r="J297" s="115" t="s">
        <v>884</v>
      </c>
      <c r="K297" t="str">
        <f t="shared" si="29"/>
        <v>C</v>
      </c>
      <c r="L297" s="173">
        <f t="shared" si="30"/>
        <v>0</v>
      </c>
    </row>
    <row r="298" spans="1:12" x14ac:dyDescent="0.3">
      <c r="A298" t="s">
        <v>2882</v>
      </c>
      <c r="B298" t="s">
        <v>2232</v>
      </c>
      <c r="C298">
        <f t="shared" si="31"/>
        <v>16</v>
      </c>
      <c r="D298" t="str">
        <f t="shared" si="32"/>
        <v>Norm</v>
      </c>
      <c r="E298">
        <f t="shared" si="33"/>
        <v>2</v>
      </c>
      <c r="F298" t="str">
        <f t="shared" si="34"/>
        <v>C</v>
      </c>
      <c r="G298" s="115" t="s">
        <v>884</v>
      </c>
      <c r="H298" s="54">
        <v>10599</v>
      </c>
      <c r="I298" s="54">
        <v>10599</v>
      </c>
      <c r="J298" s="115" t="s">
        <v>884</v>
      </c>
      <c r="K298" t="str">
        <f t="shared" si="29"/>
        <v>C</v>
      </c>
      <c r="L298" s="173">
        <f t="shared" si="30"/>
        <v>0</v>
      </c>
    </row>
    <row r="299" spans="1:12" x14ac:dyDescent="0.3">
      <c r="A299" t="s">
        <v>2883</v>
      </c>
      <c r="B299" t="s">
        <v>1037</v>
      </c>
      <c r="C299">
        <f t="shared" si="31"/>
        <v>11</v>
      </c>
      <c r="D299" t="str">
        <f t="shared" si="32"/>
        <v>Norm</v>
      </c>
      <c r="E299">
        <f t="shared" si="33"/>
        <v>2</v>
      </c>
      <c r="F299" t="str">
        <f t="shared" si="34"/>
        <v>C</v>
      </c>
      <c r="G299" s="115" t="s">
        <v>1039</v>
      </c>
      <c r="H299" s="54">
        <v>2895065.99</v>
      </c>
      <c r="I299" s="54">
        <v>2656904.13</v>
      </c>
      <c r="J299" s="115" t="s">
        <v>2884</v>
      </c>
      <c r="K299" t="str">
        <f t="shared" si="29"/>
        <v>C</v>
      </c>
      <c r="L299" s="173">
        <f t="shared" si="30"/>
        <v>1455350.16</v>
      </c>
    </row>
    <row r="300" spans="1:12" x14ac:dyDescent="0.3">
      <c r="A300" t="s">
        <v>2885</v>
      </c>
      <c r="B300" t="s">
        <v>1043</v>
      </c>
      <c r="C300">
        <f t="shared" si="31"/>
        <v>16</v>
      </c>
      <c r="D300" t="str">
        <f t="shared" si="32"/>
        <v>Norm</v>
      </c>
      <c r="E300">
        <f t="shared" si="33"/>
        <v>2</v>
      </c>
      <c r="F300" t="str">
        <f t="shared" si="34"/>
        <v>C</v>
      </c>
      <c r="G300" s="115" t="s">
        <v>884</v>
      </c>
      <c r="H300" s="54">
        <v>56026.09</v>
      </c>
      <c r="I300" s="54">
        <v>56026.09</v>
      </c>
      <c r="J300" s="115" t="s">
        <v>884</v>
      </c>
      <c r="K300" t="str">
        <f t="shared" si="29"/>
        <v>C</v>
      </c>
      <c r="L300" s="173">
        <f t="shared" si="30"/>
        <v>0</v>
      </c>
    </row>
    <row r="301" spans="1:12" x14ac:dyDescent="0.3">
      <c r="A301" t="s">
        <v>2886</v>
      </c>
      <c r="B301" t="s">
        <v>1046</v>
      </c>
      <c r="C301">
        <f t="shared" si="31"/>
        <v>16</v>
      </c>
      <c r="D301" t="str">
        <f t="shared" si="32"/>
        <v>Norm</v>
      </c>
      <c r="E301">
        <f t="shared" si="33"/>
        <v>2</v>
      </c>
      <c r="F301" t="str">
        <f t="shared" si="34"/>
        <v>C</v>
      </c>
      <c r="G301" s="115" t="s">
        <v>884</v>
      </c>
      <c r="H301" s="54">
        <v>106460.44</v>
      </c>
      <c r="I301" s="54">
        <v>106460.44</v>
      </c>
      <c r="J301" s="115" t="s">
        <v>884</v>
      </c>
      <c r="K301" t="str">
        <f t="shared" si="29"/>
        <v>C</v>
      </c>
      <c r="L301" s="173">
        <f t="shared" si="30"/>
        <v>0</v>
      </c>
    </row>
    <row r="302" spans="1:12" x14ac:dyDescent="0.3">
      <c r="A302" t="s">
        <v>2887</v>
      </c>
      <c r="B302" t="s">
        <v>1048</v>
      </c>
      <c r="C302">
        <f t="shared" si="31"/>
        <v>16</v>
      </c>
      <c r="D302" t="str">
        <f t="shared" si="32"/>
        <v>Norm</v>
      </c>
      <c r="E302">
        <f t="shared" si="33"/>
        <v>2</v>
      </c>
      <c r="F302" t="str">
        <f t="shared" si="34"/>
        <v>C</v>
      </c>
      <c r="G302" s="115" t="s">
        <v>884</v>
      </c>
      <c r="H302" s="54">
        <v>22096.6</v>
      </c>
      <c r="I302" s="54">
        <v>22096.6</v>
      </c>
      <c r="J302" s="115" t="s">
        <v>884</v>
      </c>
      <c r="K302" t="str">
        <f t="shared" si="29"/>
        <v>C</v>
      </c>
      <c r="L302" s="173">
        <f t="shared" si="30"/>
        <v>0</v>
      </c>
    </row>
    <row r="303" spans="1:12" x14ac:dyDescent="0.3">
      <c r="A303" t="s">
        <v>2888</v>
      </c>
      <c r="B303" t="s">
        <v>1052</v>
      </c>
      <c r="C303">
        <f t="shared" si="31"/>
        <v>16</v>
      </c>
      <c r="D303" t="str">
        <f t="shared" si="32"/>
        <v>Norm</v>
      </c>
      <c r="E303">
        <f t="shared" si="33"/>
        <v>2</v>
      </c>
      <c r="F303" t="str">
        <f t="shared" si="34"/>
        <v>C</v>
      </c>
      <c r="G303" s="115" t="s">
        <v>1053</v>
      </c>
      <c r="H303" s="115">
        <v>0</v>
      </c>
      <c r="I303" s="115">
        <v>0</v>
      </c>
      <c r="J303" s="115" t="s">
        <v>1053</v>
      </c>
      <c r="K303" t="str">
        <f t="shared" si="29"/>
        <v>C</v>
      </c>
      <c r="L303" s="173">
        <f t="shared" si="30"/>
        <v>22666.7</v>
      </c>
    </row>
    <row r="304" spans="1:12" x14ac:dyDescent="0.3">
      <c r="A304" t="s">
        <v>2889</v>
      </c>
      <c r="B304" t="s">
        <v>1055</v>
      </c>
      <c r="C304">
        <f t="shared" si="31"/>
        <v>16</v>
      </c>
      <c r="D304" t="str">
        <f t="shared" si="32"/>
        <v>Norm</v>
      </c>
      <c r="E304">
        <f t="shared" si="33"/>
        <v>2</v>
      </c>
      <c r="F304" t="str">
        <f t="shared" si="34"/>
        <v>C</v>
      </c>
      <c r="G304" s="115" t="s">
        <v>1056</v>
      </c>
      <c r="H304" s="115">
        <v>0</v>
      </c>
      <c r="I304" s="115">
        <v>700</v>
      </c>
      <c r="J304" s="115" t="s">
        <v>2233</v>
      </c>
      <c r="K304" t="str">
        <f t="shared" si="29"/>
        <v>C</v>
      </c>
      <c r="L304" s="173">
        <f t="shared" si="30"/>
        <v>29565.8</v>
      </c>
    </row>
    <row r="305" spans="1:12" x14ac:dyDescent="0.3">
      <c r="A305" t="s">
        <v>2890</v>
      </c>
      <c r="B305" t="s">
        <v>1058</v>
      </c>
      <c r="C305">
        <f t="shared" si="31"/>
        <v>16</v>
      </c>
      <c r="D305" t="str">
        <f t="shared" si="32"/>
        <v>Norm</v>
      </c>
      <c r="E305">
        <f t="shared" si="33"/>
        <v>2</v>
      </c>
      <c r="F305" t="str">
        <f t="shared" si="34"/>
        <v>C</v>
      </c>
      <c r="G305" s="115" t="s">
        <v>1059</v>
      </c>
      <c r="H305" s="115">
        <v>0</v>
      </c>
      <c r="I305" s="115">
        <v>0</v>
      </c>
      <c r="J305" s="115" t="s">
        <v>1059</v>
      </c>
      <c r="K305" t="str">
        <f t="shared" si="29"/>
        <v>C</v>
      </c>
      <c r="L305" s="173">
        <f t="shared" si="30"/>
        <v>14261.4</v>
      </c>
    </row>
    <row r="306" spans="1:12" x14ac:dyDescent="0.3">
      <c r="A306" t="s">
        <v>2891</v>
      </c>
      <c r="B306" t="s">
        <v>1061</v>
      </c>
      <c r="C306">
        <f t="shared" si="31"/>
        <v>16</v>
      </c>
      <c r="D306" t="str">
        <f t="shared" si="32"/>
        <v>Norm</v>
      </c>
      <c r="E306">
        <f t="shared" si="33"/>
        <v>2</v>
      </c>
      <c r="F306" t="str">
        <f t="shared" si="34"/>
        <v>C</v>
      </c>
      <c r="G306" s="115" t="s">
        <v>1062</v>
      </c>
      <c r="H306" s="115">
        <v>0</v>
      </c>
      <c r="I306" s="115">
        <v>0</v>
      </c>
      <c r="J306" s="115" t="s">
        <v>1062</v>
      </c>
      <c r="K306" t="str">
        <f t="shared" si="29"/>
        <v>C</v>
      </c>
      <c r="L306" s="173">
        <f t="shared" si="30"/>
        <v>12464</v>
      </c>
    </row>
    <row r="307" spans="1:12" x14ac:dyDescent="0.3">
      <c r="A307" t="s">
        <v>2892</v>
      </c>
      <c r="B307" t="s">
        <v>1064</v>
      </c>
      <c r="C307">
        <f t="shared" si="31"/>
        <v>16</v>
      </c>
      <c r="D307" t="str">
        <f t="shared" si="32"/>
        <v>Norm</v>
      </c>
      <c r="E307">
        <f t="shared" si="33"/>
        <v>2</v>
      </c>
      <c r="F307" t="str">
        <f t="shared" si="34"/>
        <v>C</v>
      </c>
      <c r="G307" s="115" t="s">
        <v>1065</v>
      </c>
      <c r="H307" s="54">
        <v>4306.55</v>
      </c>
      <c r="I307" s="54">
        <v>4738.71</v>
      </c>
      <c r="J307" s="115" t="s">
        <v>2234</v>
      </c>
      <c r="K307" t="str">
        <f t="shared" si="29"/>
        <v>C</v>
      </c>
      <c r="L307" s="173">
        <f t="shared" si="30"/>
        <v>722.42</v>
      </c>
    </row>
    <row r="308" spans="1:12" x14ac:dyDescent="0.3">
      <c r="A308" t="s">
        <v>2893</v>
      </c>
      <c r="B308" t="s">
        <v>1070</v>
      </c>
      <c r="C308">
        <f t="shared" si="31"/>
        <v>16</v>
      </c>
      <c r="D308" t="str">
        <f t="shared" si="32"/>
        <v>Norm</v>
      </c>
      <c r="E308">
        <f t="shared" si="33"/>
        <v>2</v>
      </c>
      <c r="F308" t="str">
        <f t="shared" si="34"/>
        <v>C</v>
      </c>
      <c r="G308" s="115" t="s">
        <v>884</v>
      </c>
      <c r="H308" s="54">
        <v>1767.39</v>
      </c>
      <c r="I308" s="54">
        <v>3969.22</v>
      </c>
      <c r="J308" s="115" t="s">
        <v>2235</v>
      </c>
      <c r="K308" t="str">
        <f t="shared" si="29"/>
        <v>C</v>
      </c>
      <c r="L308" s="173">
        <f t="shared" si="30"/>
        <v>2201.83</v>
      </c>
    </row>
    <row r="309" spans="1:12" x14ac:dyDescent="0.3">
      <c r="A309" t="s">
        <v>2894</v>
      </c>
      <c r="B309" t="s">
        <v>1072</v>
      </c>
      <c r="C309">
        <f t="shared" si="31"/>
        <v>16</v>
      </c>
      <c r="D309" t="str">
        <f t="shared" si="32"/>
        <v>Norm</v>
      </c>
      <c r="E309">
        <f t="shared" si="33"/>
        <v>2</v>
      </c>
      <c r="F309" t="str">
        <f t="shared" si="34"/>
        <v>C</v>
      </c>
      <c r="G309" s="115" t="s">
        <v>1073</v>
      </c>
      <c r="H309" s="54">
        <v>248527.31</v>
      </c>
      <c r="I309" s="54">
        <v>248036.81</v>
      </c>
      <c r="J309" s="115" t="s">
        <v>2236</v>
      </c>
      <c r="K309" t="str">
        <f t="shared" si="29"/>
        <v>C</v>
      </c>
      <c r="L309" s="173">
        <f t="shared" si="30"/>
        <v>492177.55</v>
      </c>
    </row>
    <row r="310" spans="1:12" x14ac:dyDescent="0.3">
      <c r="A310" t="s">
        <v>2895</v>
      </c>
      <c r="B310" t="s">
        <v>1075</v>
      </c>
      <c r="C310">
        <f t="shared" si="31"/>
        <v>16</v>
      </c>
      <c r="D310" t="str">
        <f t="shared" si="32"/>
        <v>Norm</v>
      </c>
      <c r="E310">
        <f t="shared" si="33"/>
        <v>2</v>
      </c>
      <c r="F310" t="str">
        <f t="shared" si="34"/>
        <v>C</v>
      </c>
      <c r="G310" s="115" t="s">
        <v>1076</v>
      </c>
      <c r="H310" s="115">
        <v>0</v>
      </c>
      <c r="I310" s="115">
        <v>0</v>
      </c>
      <c r="J310" s="115" t="s">
        <v>1076</v>
      </c>
      <c r="K310" t="str">
        <f t="shared" si="29"/>
        <v>C</v>
      </c>
      <c r="L310" s="173">
        <f t="shared" si="30"/>
        <v>25987.5</v>
      </c>
    </row>
    <row r="311" spans="1:12" x14ac:dyDescent="0.3">
      <c r="A311" t="s">
        <v>2896</v>
      </c>
      <c r="B311" t="s">
        <v>1078</v>
      </c>
      <c r="C311">
        <f t="shared" si="31"/>
        <v>16</v>
      </c>
      <c r="D311" t="str">
        <f t="shared" si="32"/>
        <v>Norm</v>
      </c>
      <c r="E311">
        <f t="shared" si="33"/>
        <v>2</v>
      </c>
      <c r="F311" t="str">
        <f t="shared" si="34"/>
        <v>C</v>
      </c>
      <c r="G311" s="115" t="s">
        <v>1079</v>
      </c>
      <c r="H311" s="115">
        <v>0</v>
      </c>
      <c r="I311" s="115">
        <v>0</v>
      </c>
      <c r="J311" s="115" t="s">
        <v>1079</v>
      </c>
      <c r="K311" t="str">
        <f t="shared" si="29"/>
        <v>C</v>
      </c>
      <c r="L311" s="173">
        <f t="shared" si="30"/>
        <v>1400</v>
      </c>
    </row>
    <row r="312" spans="1:12" x14ac:dyDescent="0.3">
      <c r="A312" t="s">
        <v>2897</v>
      </c>
      <c r="B312" t="s">
        <v>1081</v>
      </c>
      <c r="C312">
        <f t="shared" si="31"/>
        <v>16</v>
      </c>
      <c r="D312" t="str">
        <f t="shared" si="32"/>
        <v>Norm</v>
      </c>
      <c r="E312">
        <f t="shared" si="33"/>
        <v>2</v>
      </c>
      <c r="F312" t="str">
        <f t="shared" si="34"/>
        <v>C</v>
      </c>
      <c r="G312" s="115" t="s">
        <v>1082</v>
      </c>
      <c r="H312" s="115">
        <v>0</v>
      </c>
      <c r="I312" s="115">
        <v>0</v>
      </c>
      <c r="J312" s="115" t="s">
        <v>1082</v>
      </c>
      <c r="K312" t="str">
        <f t="shared" si="29"/>
        <v>C</v>
      </c>
      <c r="L312" s="173">
        <f t="shared" si="30"/>
        <v>62437.279999999999</v>
      </c>
    </row>
    <row r="313" spans="1:12" x14ac:dyDescent="0.3">
      <c r="A313" t="s">
        <v>2898</v>
      </c>
      <c r="B313" t="s">
        <v>1084</v>
      </c>
      <c r="C313">
        <f t="shared" si="31"/>
        <v>16</v>
      </c>
      <c r="D313" t="str">
        <f t="shared" si="32"/>
        <v>Norm</v>
      </c>
      <c r="E313">
        <f t="shared" si="33"/>
        <v>2</v>
      </c>
      <c r="F313" t="str">
        <f t="shared" si="34"/>
        <v>C</v>
      </c>
      <c r="G313" s="115" t="s">
        <v>1086</v>
      </c>
      <c r="H313" s="54">
        <v>26905.5</v>
      </c>
      <c r="I313" s="54">
        <v>24086.15</v>
      </c>
      <c r="J313" s="115" t="s">
        <v>884</v>
      </c>
      <c r="K313" t="str">
        <f t="shared" si="29"/>
        <v>C</v>
      </c>
      <c r="L313" s="173">
        <f t="shared" si="30"/>
        <v>0</v>
      </c>
    </row>
    <row r="314" spans="1:12" x14ac:dyDescent="0.3">
      <c r="A314" t="s">
        <v>2899</v>
      </c>
      <c r="B314" t="s">
        <v>2237</v>
      </c>
      <c r="C314">
        <f t="shared" si="31"/>
        <v>16</v>
      </c>
      <c r="D314" t="str">
        <f t="shared" si="32"/>
        <v>Norm</v>
      </c>
      <c r="E314">
        <f t="shared" si="33"/>
        <v>2</v>
      </c>
      <c r="F314" t="str">
        <f t="shared" si="34"/>
        <v>C</v>
      </c>
      <c r="G314" s="115" t="s">
        <v>884</v>
      </c>
      <c r="H314" s="54">
        <v>2915.52</v>
      </c>
      <c r="I314" s="54">
        <v>2915.52</v>
      </c>
      <c r="J314" s="115" t="s">
        <v>884</v>
      </c>
      <c r="K314" t="str">
        <f t="shared" si="29"/>
        <v>C</v>
      </c>
      <c r="L314" s="173">
        <f t="shared" si="30"/>
        <v>0</v>
      </c>
    </row>
    <row r="315" spans="1:12" x14ac:dyDescent="0.3">
      <c r="A315" t="s">
        <v>2900</v>
      </c>
      <c r="B315" t="s">
        <v>1088</v>
      </c>
      <c r="C315">
        <f t="shared" si="31"/>
        <v>16</v>
      </c>
      <c r="D315" t="str">
        <f t="shared" si="32"/>
        <v>Norm</v>
      </c>
      <c r="E315">
        <f t="shared" si="33"/>
        <v>2</v>
      </c>
      <c r="F315" t="str">
        <f t="shared" si="34"/>
        <v>C</v>
      </c>
      <c r="G315" s="115" t="s">
        <v>1089</v>
      </c>
      <c r="H315" s="115">
        <v>581.77</v>
      </c>
      <c r="I315" s="115">
        <v>0</v>
      </c>
      <c r="J315" s="115" t="s">
        <v>884</v>
      </c>
      <c r="K315" t="str">
        <f t="shared" si="29"/>
        <v>C</v>
      </c>
      <c r="L315" s="173">
        <f t="shared" si="30"/>
        <v>0</v>
      </c>
    </row>
    <row r="316" spans="1:12" x14ac:dyDescent="0.3">
      <c r="A316" t="s">
        <v>2901</v>
      </c>
      <c r="B316" t="s">
        <v>1091</v>
      </c>
      <c r="C316">
        <f t="shared" si="31"/>
        <v>16</v>
      </c>
      <c r="D316" t="str">
        <f t="shared" si="32"/>
        <v>Norm</v>
      </c>
      <c r="E316">
        <f t="shared" si="33"/>
        <v>2</v>
      </c>
      <c r="F316" t="str">
        <f t="shared" si="34"/>
        <v>C</v>
      </c>
      <c r="G316" s="115" t="s">
        <v>1092</v>
      </c>
      <c r="H316" s="115">
        <v>0</v>
      </c>
      <c r="I316" s="115">
        <v>0</v>
      </c>
      <c r="J316" s="115" t="s">
        <v>1092</v>
      </c>
      <c r="K316" t="str">
        <f t="shared" si="29"/>
        <v>C</v>
      </c>
      <c r="L316" s="173">
        <f t="shared" si="30"/>
        <v>4568.3999999999996</v>
      </c>
    </row>
    <row r="317" spans="1:12" x14ac:dyDescent="0.3">
      <c r="A317" t="s">
        <v>2902</v>
      </c>
      <c r="B317" t="s">
        <v>1094</v>
      </c>
      <c r="C317">
        <f t="shared" si="31"/>
        <v>16</v>
      </c>
      <c r="D317" t="str">
        <f t="shared" si="32"/>
        <v>Norm</v>
      </c>
      <c r="E317">
        <f t="shared" si="33"/>
        <v>2</v>
      </c>
      <c r="F317" t="str">
        <f t="shared" si="34"/>
        <v>C</v>
      </c>
      <c r="G317" s="115" t="s">
        <v>1095</v>
      </c>
      <c r="H317" s="54">
        <v>4333.68</v>
      </c>
      <c r="I317" s="54">
        <v>4025.88</v>
      </c>
      <c r="J317" s="115" t="s">
        <v>884</v>
      </c>
      <c r="K317" t="str">
        <f t="shared" si="29"/>
        <v>C</v>
      </c>
      <c r="L317" s="173">
        <f t="shared" si="30"/>
        <v>0</v>
      </c>
    </row>
    <row r="318" spans="1:12" x14ac:dyDescent="0.3">
      <c r="A318" t="s">
        <v>2903</v>
      </c>
      <c r="B318" t="s">
        <v>1097</v>
      </c>
      <c r="C318">
        <f t="shared" si="31"/>
        <v>16</v>
      </c>
      <c r="D318" t="str">
        <f t="shared" si="32"/>
        <v>Norm</v>
      </c>
      <c r="E318">
        <f t="shared" si="33"/>
        <v>2</v>
      </c>
      <c r="F318" t="str">
        <f t="shared" si="34"/>
        <v>C</v>
      </c>
      <c r="G318" s="115" t="s">
        <v>884</v>
      </c>
      <c r="H318" s="54">
        <v>8294.7800000000007</v>
      </c>
      <c r="I318" s="54">
        <v>8294.7800000000007</v>
      </c>
      <c r="J318" s="115" t="s">
        <v>884</v>
      </c>
      <c r="K318" t="str">
        <f t="shared" si="29"/>
        <v>C</v>
      </c>
      <c r="L318" s="173">
        <f t="shared" si="30"/>
        <v>0</v>
      </c>
    </row>
    <row r="319" spans="1:12" x14ac:dyDescent="0.3">
      <c r="A319" t="s">
        <v>2904</v>
      </c>
      <c r="B319" t="s">
        <v>1099</v>
      </c>
      <c r="C319">
        <f t="shared" si="31"/>
        <v>16</v>
      </c>
      <c r="D319" t="str">
        <f t="shared" si="32"/>
        <v>Norm</v>
      </c>
      <c r="E319">
        <f t="shared" si="33"/>
        <v>2</v>
      </c>
      <c r="F319" t="str">
        <f t="shared" si="34"/>
        <v>C</v>
      </c>
      <c r="G319" s="115" t="s">
        <v>1100</v>
      </c>
      <c r="H319" s="115">
        <v>0</v>
      </c>
      <c r="I319" s="115">
        <v>0</v>
      </c>
      <c r="J319" s="115" t="s">
        <v>1100</v>
      </c>
      <c r="K319" t="str">
        <f t="shared" si="29"/>
        <v>C</v>
      </c>
      <c r="L319" s="173">
        <f t="shared" si="30"/>
        <v>2162.7399999999998</v>
      </c>
    </row>
    <row r="320" spans="1:12" x14ac:dyDescent="0.3">
      <c r="A320" t="s">
        <v>2905</v>
      </c>
      <c r="B320" t="s">
        <v>2238</v>
      </c>
      <c r="C320">
        <f t="shared" si="31"/>
        <v>16</v>
      </c>
      <c r="D320" t="str">
        <f t="shared" si="32"/>
        <v>Norm</v>
      </c>
      <c r="E320">
        <f t="shared" si="33"/>
        <v>2</v>
      </c>
      <c r="F320" t="str">
        <f t="shared" si="34"/>
        <v>C</v>
      </c>
      <c r="G320" s="115">
        <v>0</v>
      </c>
      <c r="H320" s="115">
        <v>0</v>
      </c>
      <c r="I320" s="54">
        <v>137959.88</v>
      </c>
      <c r="J320" s="115" t="s">
        <v>2239</v>
      </c>
      <c r="K320" t="str">
        <f t="shared" si="29"/>
        <v>C</v>
      </c>
      <c r="L320" s="173">
        <f t="shared" si="30"/>
        <v>137959.88</v>
      </c>
    </row>
    <row r="321" spans="1:12" x14ac:dyDescent="0.3">
      <c r="A321" t="s">
        <v>2906</v>
      </c>
      <c r="B321" t="s">
        <v>1102</v>
      </c>
      <c r="C321">
        <f t="shared" si="31"/>
        <v>16</v>
      </c>
      <c r="D321" t="str">
        <f t="shared" si="32"/>
        <v>Norm</v>
      </c>
      <c r="E321">
        <f t="shared" si="33"/>
        <v>2</v>
      </c>
      <c r="F321" t="str">
        <f t="shared" si="34"/>
        <v>C</v>
      </c>
      <c r="G321" s="115" t="s">
        <v>1104</v>
      </c>
      <c r="H321" s="54">
        <v>478965.41</v>
      </c>
      <c r="I321" s="54">
        <v>479436.12</v>
      </c>
      <c r="J321" s="115" t="s">
        <v>2240</v>
      </c>
      <c r="K321" t="str">
        <f t="shared" si="29"/>
        <v>C</v>
      </c>
      <c r="L321" s="173">
        <f t="shared" si="30"/>
        <v>125789.68</v>
      </c>
    </row>
    <row r="322" spans="1:12" x14ac:dyDescent="0.3">
      <c r="A322" t="s">
        <v>2907</v>
      </c>
      <c r="B322" t="s">
        <v>1106</v>
      </c>
      <c r="C322">
        <f t="shared" si="31"/>
        <v>16</v>
      </c>
      <c r="D322" t="str">
        <f t="shared" si="32"/>
        <v>Norm</v>
      </c>
      <c r="E322">
        <f t="shared" si="33"/>
        <v>2</v>
      </c>
      <c r="F322" t="str">
        <f t="shared" si="34"/>
        <v>C</v>
      </c>
      <c r="G322" s="115" t="s">
        <v>1107</v>
      </c>
      <c r="H322" s="54">
        <v>12665.5</v>
      </c>
      <c r="I322" s="115">
        <v>0</v>
      </c>
      <c r="J322" s="115" t="s">
        <v>2241</v>
      </c>
      <c r="K322" t="str">
        <f t="shared" si="29"/>
        <v>C</v>
      </c>
      <c r="L322" s="173">
        <f t="shared" si="30"/>
        <v>13894.5</v>
      </c>
    </row>
    <row r="323" spans="1:12" x14ac:dyDescent="0.3">
      <c r="A323" t="s">
        <v>2908</v>
      </c>
      <c r="B323" t="s">
        <v>1109</v>
      </c>
      <c r="C323">
        <f t="shared" si="31"/>
        <v>16</v>
      </c>
      <c r="D323" t="str">
        <f t="shared" si="32"/>
        <v>Norm</v>
      </c>
      <c r="E323">
        <f t="shared" si="33"/>
        <v>2</v>
      </c>
      <c r="F323" t="str">
        <f t="shared" si="34"/>
        <v>C</v>
      </c>
      <c r="G323" s="115" t="s">
        <v>1110</v>
      </c>
      <c r="H323" s="115">
        <v>257.08</v>
      </c>
      <c r="I323" s="115">
        <v>0</v>
      </c>
      <c r="J323" s="115" t="s">
        <v>2242</v>
      </c>
      <c r="K323" t="str">
        <f t="shared" ref="K323:K386" si="35">RIGHT(J323,1)</f>
        <v>C</v>
      </c>
      <c r="L323" s="173">
        <f t="shared" ref="L323:L386" si="36">IF(J323=0,0,LEFT(J323,LEN(J323)-1)+0)</f>
        <v>93503.8</v>
      </c>
    </row>
    <row r="324" spans="1:12" x14ac:dyDescent="0.3">
      <c r="A324" t="s">
        <v>2909</v>
      </c>
      <c r="B324" t="s">
        <v>1112</v>
      </c>
      <c r="C324">
        <f t="shared" si="31"/>
        <v>16</v>
      </c>
      <c r="D324" t="str">
        <f t="shared" si="32"/>
        <v>Norm</v>
      </c>
      <c r="E324">
        <f t="shared" si="33"/>
        <v>2</v>
      </c>
      <c r="F324" t="str">
        <f t="shared" si="34"/>
        <v>C</v>
      </c>
      <c r="G324" s="115" t="s">
        <v>1114</v>
      </c>
      <c r="H324" s="54">
        <v>8392.76</v>
      </c>
      <c r="I324" s="115">
        <v>0</v>
      </c>
      <c r="J324" s="115" t="s">
        <v>2243</v>
      </c>
      <c r="K324" t="str">
        <f t="shared" si="35"/>
        <v>C</v>
      </c>
      <c r="L324" s="173">
        <f t="shared" si="36"/>
        <v>41935.82</v>
      </c>
    </row>
    <row r="325" spans="1:12" x14ac:dyDescent="0.3">
      <c r="A325" t="s">
        <v>2910</v>
      </c>
      <c r="B325" t="s">
        <v>1116</v>
      </c>
      <c r="C325">
        <f t="shared" si="31"/>
        <v>16</v>
      </c>
      <c r="D325" t="str">
        <f t="shared" si="32"/>
        <v>Norm</v>
      </c>
      <c r="E325">
        <f t="shared" si="33"/>
        <v>2</v>
      </c>
      <c r="F325" t="str">
        <f t="shared" si="34"/>
        <v>C</v>
      </c>
      <c r="G325" s="115" t="s">
        <v>1117</v>
      </c>
      <c r="H325" s="115">
        <v>0</v>
      </c>
      <c r="I325" s="115">
        <v>0</v>
      </c>
      <c r="J325" s="115" t="s">
        <v>1117</v>
      </c>
      <c r="K325" t="str">
        <f t="shared" si="35"/>
        <v>C</v>
      </c>
      <c r="L325" s="173">
        <f t="shared" si="36"/>
        <v>4377.46</v>
      </c>
    </row>
    <row r="326" spans="1:12" x14ac:dyDescent="0.3">
      <c r="A326" t="s">
        <v>2911</v>
      </c>
      <c r="B326" t="s">
        <v>1119</v>
      </c>
      <c r="C326">
        <f t="shared" si="31"/>
        <v>16</v>
      </c>
      <c r="D326" t="str">
        <f t="shared" si="32"/>
        <v>Norm</v>
      </c>
      <c r="E326">
        <f t="shared" si="33"/>
        <v>2</v>
      </c>
      <c r="F326" t="str">
        <f t="shared" si="34"/>
        <v>C</v>
      </c>
      <c r="G326" s="115" t="s">
        <v>1120</v>
      </c>
      <c r="H326" s="115">
        <v>0</v>
      </c>
      <c r="I326" s="115">
        <v>0</v>
      </c>
      <c r="J326" s="115" t="s">
        <v>1120</v>
      </c>
      <c r="K326" t="str">
        <f t="shared" si="35"/>
        <v>C</v>
      </c>
      <c r="L326" s="173">
        <f t="shared" si="36"/>
        <v>7498.61</v>
      </c>
    </row>
    <row r="327" spans="1:12" x14ac:dyDescent="0.3">
      <c r="A327" t="s">
        <v>2912</v>
      </c>
      <c r="B327" t="s">
        <v>1122</v>
      </c>
      <c r="C327">
        <f t="shared" si="31"/>
        <v>16</v>
      </c>
      <c r="D327" t="str">
        <f t="shared" si="32"/>
        <v>Norm</v>
      </c>
      <c r="E327">
        <f t="shared" si="33"/>
        <v>2</v>
      </c>
      <c r="F327" t="str">
        <f t="shared" si="34"/>
        <v>C</v>
      </c>
      <c r="G327" s="115" t="s">
        <v>1123</v>
      </c>
      <c r="H327" s="115">
        <v>0</v>
      </c>
      <c r="I327" s="115">
        <v>0</v>
      </c>
      <c r="J327" s="115" t="s">
        <v>1123</v>
      </c>
      <c r="K327" t="str">
        <f t="shared" si="35"/>
        <v>C</v>
      </c>
      <c r="L327" s="173">
        <f t="shared" si="36"/>
        <v>57733.22</v>
      </c>
    </row>
    <row r="328" spans="1:12" x14ac:dyDescent="0.3">
      <c r="A328" t="s">
        <v>2913</v>
      </c>
      <c r="B328" t="s">
        <v>1125</v>
      </c>
      <c r="C328">
        <f t="shared" si="31"/>
        <v>16</v>
      </c>
      <c r="D328" t="str">
        <f t="shared" si="32"/>
        <v>Norm</v>
      </c>
      <c r="E328">
        <f t="shared" si="33"/>
        <v>2</v>
      </c>
      <c r="F328" t="str">
        <f t="shared" si="34"/>
        <v>C</v>
      </c>
      <c r="G328" s="115" t="s">
        <v>1126</v>
      </c>
      <c r="H328" s="115">
        <v>0</v>
      </c>
      <c r="I328" s="115">
        <v>0</v>
      </c>
      <c r="J328" s="115" t="s">
        <v>1126</v>
      </c>
      <c r="K328" t="str">
        <f t="shared" si="35"/>
        <v>C</v>
      </c>
      <c r="L328" s="173">
        <f t="shared" si="36"/>
        <v>3140</v>
      </c>
    </row>
    <row r="329" spans="1:12" x14ac:dyDescent="0.3">
      <c r="A329" t="s">
        <v>2914</v>
      </c>
      <c r="B329" t="s">
        <v>1128</v>
      </c>
      <c r="C329">
        <f t="shared" si="31"/>
        <v>16</v>
      </c>
      <c r="D329" t="str">
        <f t="shared" si="32"/>
        <v>Norm</v>
      </c>
      <c r="E329">
        <f t="shared" si="33"/>
        <v>2</v>
      </c>
      <c r="F329" t="str">
        <f t="shared" si="34"/>
        <v>C</v>
      </c>
      <c r="G329" s="115" t="s">
        <v>1129</v>
      </c>
      <c r="H329" s="115">
        <v>0</v>
      </c>
      <c r="I329" s="115">
        <v>0</v>
      </c>
      <c r="J329" s="115" t="s">
        <v>1129</v>
      </c>
      <c r="K329" t="str">
        <f t="shared" si="35"/>
        <v>C</v>
      </c>
      <c r="L329" s="173">
        <f t="shared" si="36"/>
        <v>8101.4</v>
      </c>
    </row>
    <row r="330" spans="1:12" x14ac:dyDescent="0.3">
      <c r="A330" t="s">
        <v>2915</v>
      </c>
      <c r="B330" t="s">
        <v>1131</v>
      </c>
      <c r="C330">
        <f t="shared" si="31"/>
        <v>16</v>
      </c>
      <c r="D330" t="str">
        <f t="shared" si="32"/>
        <v>Norm</v>
      </c>
      <c r="E330">
        <f t="shared" si="33"/>
        <v>2</v>
      </c>
      <c r="F330" t="str">
        <f t="shared" si="34"/>
        <v>C</v>
      </c>
      <c r="G330" s="115" t="s">
        <v>1132</v>
      </c>
      <c r="H330" s="115">
        <v>0</v>
      </c>
      <c r="I330" s="115">
        <v>0</v>
      </c>
      <c r="J330" s="115" t="s">
        <v>1132</v>
      </c>
      <c r="K330" t="str">
        <f t="shared" si="35"/>
        <v>C</v>
      </c>
      <c r="L330" s="173">
        <f t="shared" si="36"/>
        <v>51272.75</v>
      </c>
    </row>
    <row r="331" spans="1:12" x14ac:dyDescent="0.3">
      <c r="A331" t="s">
        <v>2916</v>
      </c>
      <c r="B331" t="s">
        <v>1134</v>
      </c>
      <c r="C331">
        <f t="shared" si="31"/>
        <v>16</v>
      </c>
      <c r="D331" t="str">
        <f t="shared" si="32"/>
        <v>Norm</v>
      </c>
      <c r="E331">
        <f t="shared" si="33"/>
        <v>2</v>
      </c>
      <c r="F331" t="str">
        <f t="shared" si="34"/>
        <v>C</v>
      </c>
      <c r="G331" s="115" t="s">
        <v>1136</v>
      </c>
      <c r="H331" s="54">
        <v>4141</v>
      </c>
      <c r="I331" s="54">
        <v>4141</v>
      </c>
      <c r="J331" s="115" t="s">
        <v>1136</v>
      </c>
      <c r="K331" t="str">
        <f t="shared" si="35"/>
        <v>C</v>
      </c>
      <c r="L331" s="173">
        <f t="shared" si="36"/>
        <v>2979.95</v>
      </c>
    </row>
    <row r="332" spans="1:12" x14ac:dyDescent="0.3">
      <c r="A332" t="s">
        <v>2917</v>
      </c>
      <c r="B332" t="s">
        <v>1138</v>
      </c>
      <c r="C332">
        <f t="shared" si="31"/>
        <v>16</v>
      </c>
      <c r="D332" t="str">
        <f t="shared" si="32"/>
        <v>Norm</v>
      </c>
      <c r="E332">
        <f t="shared" si="33"/>
        <v>2</v>
      </c>
      <c r="F332" t="str">
        <f t="shared" si="34"/>
        <v>C</v>
      </c>
      <c r="G332" s="115" t="s">
        <v>1139</v>
      </c>
      <c r="H332" s="115">
        <v>0</v>
      </c>
      <c r="I332" s="115">
        <v>0</v>
      </c>
      <c r="J332" s="115" t="s">
        <v>1139</v>
      </c>
      <c r="K332" t="str">
        <f t="shared" si="35"/>
        <v>C</v>
      </c>
      <c r="L332" s="173">
        <f t="shared" si="36"/>
        <v>21663.5</v>
      </c>
    </row>
    <row r="333" spans="1:12" x14ac:dyDescent="0.3">
      <c r="A333" t="s">
        <v>2918</v>
      </c>
      <c r="B333" t="s">
        <v>1143</v>
      </c>
      <c r="C333">
        <f t="shared" ref="C333:C396" si="37">LEN(B333)</f>
        <v>16</v>
      </c>
      <c r="D333" t="str">
        <f t="shared" ref="D333:D396" si="38">IF(LEFT(TRIM(A333),1)="(","Red.","Norm")</f>
        <v>Norm</v>
      </c>
      <c r="E333">
        <f t="shared" ref="E333:E396" si="39">LEFT(SUBSTITUTE(B333,"[","",1),1)+0</f>
        <v>2</v>
      </c>
      <c r="F333" t="str">
        <f t="shared" ref="F333:F396" si="40">IF(AND(OR(E333=1,E333=3,E333=5),D333="Norm"),"D",
IF(AND(OR(E333=1,E333=3,E333=5),D333="Red."),"C",
IF(AND(OR(E333=2,E333=4,E333=6),D333="Norm"),"C",
IF(AND(OR(E333=2,E333=4,E333=6),D333="Red."),"D"))))</f>
        <v>C</v>
      </c>
      <c r="G333" s="115" t="s">
        <v>884</v>
      </c>
      <c r="H333" s="54">
        <v>11223.17</v>
      </c>
      <c r="I333" s="54">
        <v>11223.17</v>
      </c>
      <c r="J333" s="115" t="s">
        <v>884</v>
      </c>
      <c r="K333" t="str">
        <f t="shared" si="35"/>
        <v>C</v>
      </c>
      <c r="L333" s="173">
        <f t="shared" si="36"/>
        <v>0</v>
      </c>
    </row>
    <row r="334" spans="1:12" x14ac:dyDescent="0.3">
      <c r="A334" t="s">
        <v>2919</v>
      </c>
      <c r="B334" t="s">
        <v>1145</v>
      </c>
      <c r="C334">
        <f t="shared" si="37"/>
        <v>16</v>
      </c>
      <c r="D334" t="str">
        <f t="shared" si="38"/>
        <v>Norm</v>
      </c>
      <c r="E334">
        <f t="shared" si="39"/>
        <v>2</v>
      </c>
      <c r="F334" t="str">
        <f t="shared" si="40"/>
        <v>C</v>
      </c>
      <c r="G334" s="115" t="s">
        <v>1147</v>
      </c>
      <c r="H334" s="54">
        <v>24000</v>
      </c>
      <c r="I334" s="54">
        <v>18000</v>
      </c>
      <c r="J334" s="115" t="s">
        <v>884</v>
      </c>
      <c r="K334" t="str">
        <f t="shared" si="35"/>
        <v>C</v>
      </c>
      <c r="L334" s="173">
        <f t="shared" si="36"/>
        <v>0</v>
      </c>
    </row>
    <row r="335" spans="1:12" x14ac:dyDescent="0.3">
      <c r="A335" t="s">
        <v>2920</v>
      </c>
      <c r="B335" t="s">
        <v>1149</v>
      </c>
      <c r="C335">
        <f t="shared" si="37"/>
        <v>16</v>
      </c>
      <c r="D335" t="str">
        <f t="shared" si="38"/>
        <v>Norm</v>
      </c>
      <c r="E335">
        <f t="shared" si="39"/>
        <v>2</v>
      </c>
      <c r="F335" t="str">
        <f t="shared" si="40"/>
        <v>C</v>
      </c>
      <c r="G335" s="115" t="s">
        <v>1150</v>
      </c>
      <c r="H335" s="115">
        <v>0</v>
      </c>
      <c r="I335" s="115">
        <v>0</v>
      </c>
      <c r="J335" s="115" t="s">
        <v>1150</v>
      </c>
      <c r="K335" t="str">
        <f t="shared" si="35"/>
        <v>C</v>
      </c>
      <c r="L335" s="173">
        <f t="shared" si="36"/>
        <v>6860</v>
      </c>
    </row>
    <row r="336" spans="1:12" x14ac:dyDescent="0.3">
      <c r="A336" t="s">
        <v>2921</v>
      </c>
      <c r="B336" t="s">
        <v>1152</v>
      </c>
      <c r="C336">
        <f t="shared" si="37"/>
        <v>16</v>
      </c>
      <c r="D336" t="str">
        <f t="shared" si="38"/>
        <v>Norm</v>
      </c>
      <c r="E336">
        <f t="shared" si="39"/>
        <v>2</v>
      </c>
      <c r="F336" t="str">
        <f t="shared" si="40"/>
        <v>C</v>
      </c>
      <c r="G336" s="115" t="s">
        <v>1153</v>
      </c>
      <c r="H336" s="115">
        <v>0</v>
      </c>
      <c r="I336" s="115">
        <v>0</v>
      </c>
      <c r="J336" s="115" t="s">
        <v>1153</v>
      </c>
      <c r="K336" t="str">
        <f t="shared" si="35"/>
        <v>C</v>
      </c>
      <c r="L336" s="173">
        <f t="shared" si="36"/>
        <v>8126.96</v>
      </c>
    </row>
    <row r="337" spans="1:12" x14ac:dyDescent="0.3">
      <c r="A337" t="s">
        <v>2922</v>
      </c>
      <c r="B337" t="s">
        <v>1155</v>
      </c>
      <c r="C337">
        <f t="shared" si="37"/>
        <v>16</v>
      </c>
      <c r="D337" t="str">
        <f t="shared" si="38"/>
        <v>Norm</v>
      </c>
      <c r="E337">
        <f t="shared" si="39"/>
        <v>2</v>
      </c>
      <c r="F337" t="str">
        <f t="shared" si="40"/>
        <v>C</v>
      </c>
      <c r="G337" s="115" t="s">
        <v>1156</v>
      </c>
      <c r="H337" s="115">
        <v>0</v>
      </c>
      <c r="I337" s="115">
        <v>0</v>
      </c>
      <c r="J337" s="115" t="s">
        <v>1156</v>
      </c>
      <c r="K337" t="str">
        <f t="shared" si="35"/>
        <v>C</v>
      </c>
      <c r="L337" s="173">
        <f t="shared" si="36"/>
        <v>6400.35</v>
      </c>
    </row>
    <row r="338" spans="1:12" x14ac:dyDescent="0.3">
      <c r="A338" t="s">
        <v>2923</v>
      </c>
      <c r="B338" t="s">
        <v>1158</v>
      </c>
      <c r="C338">
        <f t="shared" si="37"/>
        <v>16</v>
      </c>
      <c r="D338" t="str">
        <f t="shared" si="38"/>
        <v>Norm</v>
      </c>
      <c r="E338">
        <f t="shared" si="39"/>
        <v>2</v>
      </c>
      <c r="F338" t="str">
        <f t="shared" si="40"/>
        <v>C</v>
      </c>
      <c r="G338" s="115" t="s">
        <v>1159</v>
      </c>
      <c r="H338" s="115">
        <v>0</v>
      </c>
      <c r="I338" s="115">
        <v>0</v>
      </c>
      <c r="J338" s="115" t="s">
        <v>1159</v>
      </c>
      <c r="K338" t="str">
        <f t="shared" si="35"/>
        <v>C</v>
      </c>
      <c r="L338" s="173">
        <f t="shared" si="36"/>
        <v>5880</v>
      </c>
    </row>
    <row r="339" spans="1:12" x14ac:dyDescent="0.3">
      <c r="A339" t="s">
        <v>2924</v>
      </c>
      <c r="B339" t="s">
        <v>1161</v>
      </c>
      <c r="C339">
        <f t="shared" si="37"/>
        <v>16</v>
      </c>
      <c r="D339" t="str">
        <f t="shared" si="38"/>
        <v>Norm</v>
      </c>
      <c r="E339">
        <f t="shared" si="39"/>
        <v>2</v>
      </c>
      <c r="F339" t="str">
        <f t="shared" si="40"/>
        <v>C</v>
      </c>
      <c r="G339" s="115" t="s">
        <v>1162</v>
      </c>
      <c r="H339" s="54">
        <v>1359.98</v>
      </c>
      <c r="I339" s="115">
        <v>0</v>
      </c>
      <c r="J339" s="115" t="s">
        <v>884</v>
      </c>
      <c r="K339" t="str">
        <f t="shared" si="35"/>
        <v>C</v>
      </c>
      <c r="L339" s="173">
        <f t="shared" si="36"/>
        <v>0</v>
      </c>
    </row>
    <row r="340" spans="1:12" x14ac:dyDescent="0.3">
      <c r="A340" t="s">
        <v>2925</v>
      </c>
      <c r="B340" t="s">
        <v>1164</v>
      </c>
      <c r="C340">
        <f t="shared" si="37"/>
        <v>16</v>
      </c>
      <c r="D340" t="str">
        <f t="shared" si="38"/>
        <v>Norm</v>
      </c>
      <c r="E340">
        <f t="shared" si="39"/>
        <v>2</v>
      </c>
      <c r="F340" t="str">
        <f t="shared" si="40"/>
        <v>C</v>
      </c>
      <c r="G340" s="115" t="s">
        <v>1165</v>
      </c>
      <c r="H340" s="115">
        <v>0</v>
      </c>
      <c r="I340" s="115">
        <v>0</v>
      </c>
      <c r="J340" s="115" t="s">
        <v>1165</v>
      </c>
      <c r="K340" t="str">
        <f t="shared" si="35"/>
        <v>C</v>
      </c>
      <c r="L340" s="173">
        <f t="shared" si="36"/>
        <v>16000</v>
      </c>
    </row>
    <row r="341" spans="1:12" x14ac:dyDescent="0.3">
      <c r="A341" t="s">
        <v>2926</v>
      </c>
      <c r="B341" t="s">
        <v>1167</v>
      </c>
      <c r="C341">
        <f t="shared" si="37"/>
        <v>16</v>
      </c>
      <c r="D341" t="str">
        <f t="shared" si="38"/>
        <v>Norm</v>
      </c>
      <c r="E341">
        <f t="shared" si="39"/>
        <v>2</v>
      </c>
      <c r="F341" t="str">
        <f t="shared" si="40"/>
        <v>C</v>
      </c>
      <c r="G341" s="115" t="s">
        <v>1168</v>
      </c>
      <c r="H341" s="115">
        <v>0</v>
      </c>
      <c r="I341" s="115">
        <v>0</v>
      </c>
      <c r="J341" s="115" t="s">
        <v>1168</v>
      </c>
      <c r="K341" t="str">
        <f t="shared" si="35"/>
        <v>C</v>
      </c>
      <c r="L341" s="173">
        <f t="shared" si="36"/>
        <v>20834.7</v>
      </c>
    </row>
    <row r="342" spans="1:12" x14ac:dyDescent="0.3">
      <c r="A342" t="s">
        <v>2927</v>
      </c>
      <c r="B342" t="s">
        <v>1170</v>
      </c>
      <c r="C342">
        <f t="shared" si="37"/>
        <v>16</v>
      </c>
      <c r="D342" t="str">
        <f t="shared" si="38"/>
        <v>Norm</v>
      </c>
      <c r="E342">
        <f t="shared" si="39"/>
        <v>2</v>
      </c>
      <c r="F342" t="str">
        <f t="shared" si="40"/>
        <v>C</v>
      </c>
      <c r="G342" s="115" t="s">
        <v>1171</v>
      </c>
      <c r="H342" s="115">
        <v>0</v>
      </c>
      <c r="I342" s="115">
        <v>0</v>
      </c>
      <c r="J342" s="115" t="s">
        <v>1171</v>
      </c>
      <c r="K342" t="str">
        <f t="shared" si="35"/>
        <v>C</v>
      </c>
      <c r="L342" s="173">
        <f t="shared" si="36"/>
        <v>8108.32</v>
      </c>
    </row>
    <row r="343" spans="1:12" x14ac:dyDescent="0.3">
      <c r="A343" t="s">
        <v>2928</v>
      </c>
      <c r="B343" t="s">
        <v>1173</v>
      </c>
      <c r="C343">
        <f t="shared" si="37"/>
        <v>16</v>
      </c>
      <c r="D343" t="str">
        <f t="shared" si="38"/>
        <v>Norm</v>
      </c>
      <c r="E343">
        <f t="shared" si="39"/>
        <v>2</v>
      </c>
      <c r="F343" t="str">
        <f t="shared" si="40"/>
        <v>C</v>
      </c>
      <c r="G343" s="115" t="s">
        <v>1175</v>
      </c>
      <c r="H343" s="54">
        <v>11730.05</v>
      </c>
      <c r="I343" s="54">
        <v>7478.75</v>
      </c>
      <c r="J343" s="115" t="s">
        <v>884</v>
      </c>
      <c r="K343" t="str">
        <f t="shared" si="35"/>
        <v>C</v>
      </c>
      <c r="L343" s="173">
        <f t="shared" si="36"/>
        <v>0</v>
      </c>
    </row>
    <row r="344" spans="1:12" x14ac:dyDescent="0.3">
      <c r="A344" t="s">
        <v>2929</v>
      </c>
      <c r="B344" t="s">
        <v>1177</v>
      </c>
      <c r="C344">
        <f t="shared" si="37"/>
        <v>16</v>
      </c>
      <c r="D344" t="str">
        <f t="shared" si="38"/>
        <v>Norm</v>
      </c>
      <c r="E344">
        <f t="shared" si="39"/>
        <v>2</v>
      </c>
      <c r="F344" t="str">
        <f t="shared" si="40"/>
        <v>C</v>
      </c>
      <c r="G344" s="115" t="s">
        <v>1178</v>
      </c>
      <c r="H344" s="115">
        <v>0</v>
      </c>
      <c r="I344" s="115">
        <v>0</v>
      </c>
      <c r="J344" s="115" t="s">
        <v>1178</v>
      </c>
      <c r="K344" t="str">
        <f t="shared" si="35"/>
        <v>C</v>
      </c>
      <c r="L344" s="173">
        <f t="shared" si="36"/>
        <v>4000</v>
      </c>
    </row>
    <row r="345" spans="1:12" x14ac:dyDescent="0.3">
      <c r="A345" t="s">
        <v>2930</v>
      </c>
      <c r="B345" t="s">
        <v>1180</v>
      </c>
      <c r="C345">
        <f t="shared" si="37"/>
        <v>16</v>
      </c>
      <c r="D345" t="str">
        <f t="shared" si="38"/>
        <v>Norm</v>
      </c>
      <c r="E345">
        <f t="shared" si="39"/>
        <v>2</v>
      </c>
      <c r="F345" t="str">
        <f t="shared" si="40"/>
        <v>C</v>
      </c>
      <c r="G345" s="115" t="s">
        <v>1181</v>
      </c>
      <c r="H345" s="54">
        <v>166767.41</v>
      </c>
      <c r="I345" s="54">
        <v>50305.27</v>
      </c>
      <c r="J345" s="115" t="s">
        <v>884</v>
      </c>
      <c r="K345" t="str">
        <f t="shared" si="35"/>
        <v>C</v>
      </c>
      <c r="L345" s="173">
        <f t="shared" si="36"/>
        <v>0</v>
      </c>
    </row>
    <row r="346" spans="1:12" x14ac:dyDescent="0.3">
      <c r="A346" t="s">
        <v>2931</v>
      </c>
      <c r="B346" t="s">
        <v>1183</v>
      </c>
      <c r="C346">
        <f t="shared" si="37"/>
        <v>16</v>
      </c>
      <c r="D346" t="str">
        <f t="shared" si="38"/>
        <v>Norm</v>
      </c>
      <c r="E346">
        <f t="shared" si="39"/>
        <v>2</v>
      </c>
      <c r="F346" t="str">
        <f t="shared" si="40"/>
        <v>C</v>
      </c>
      <c r="G346" s="115" t="s">
        <v>1184</v>
      </c>
      <c r="H346" s="115">
        <v>0</v>
      </c>
      <c r="I346" s="115">
        <v>0</v>
      </c>
      <c r="J346" s="115" t="s">
        <v>1184</v>
      </c>
      <c r="K346" t="str">
        <f t="shared" si="35"/>
        <v>C</v>
      </c>
      <c r="L346" s="173">
        <f t="shared" si="36"/>
        <v>11074.28</v>
      </c>
    </row>
    <row r="347" spans="1:12" x14ac:dyDescent="0.3">
      <c r="A347" t="s">
        <v>2932</v>
      </c>
      <c r="B347" t="s">
        <v>1186</v>
      </c>
      <c r="C347">
        <f t="shared" si="37"/>
        <v>16</v>
      </c>
      <c r="D347" t="str">
        <f t="shared" si="38"/>
        <v>Norm</v>
      </c>
      <c r="E347">
        <f t="shared" si="39"/>
        <v>2</v>
      </c>
      <c r="F347" t="str">
        <f t="shared" si="40"/>
        <v>C</v>
      </c>
      <c r="G347" s="115" t="s">
        <v>1188</v>
      </c>
      <c r="H347" s="115">
        <v>214.71</v>
      </c>
      <c r="I347" s="115">
        <v>198.24</v>
      </c>
      <c r="J347" s="115">
        <v>0</v>
      </c>
      <c r="K347" t="str">
        <f t="shared" si="35"/>
        <v>0</v>
      </c>
      <c r="L347" s="173">
        <f t="shared" si="36"/>
        <v>0</v>
      </c>
    </row>
    <row r="348" spans="1:12" x14ac:dyDescent="0.3">
      <c r="A348" t="s">
        <v>2933</v>
      </c>
      <c r="B348" t="s">
        <v>1190</v>
      </c>
      <c r="C348">
        <f t="shared" si="37"/>
        <v>15</v>
      </c>
      <c r="D348" t="str">
        <f t="shared" si="38"/>
        <v>Norm</v>
      </c>
      <c r="E348">
        <f t="shared" si="39"/>
        <v>2</v>
      </c>
      <c r="F348" t="str">
        <f t="shared" si="40"/>
        <v>C</v>
      </c>
      <c r="G348" s="115" t="s">
        <v>884</v>
      </c>
      <c r="H348" s="54">
        <v>29443.7</v>
      </c>
      <c r="I348" s="54">
        <v>29443.7</v>
      </c>
      <c r="J348" s="115" t="s">
        <v>884</v>
      </c>
      <c r="K348" t="str">
        <f t="shared" si="35"/>
        <v>C</v>
      </c>
      <c r="L348" s="173">
        <f t="shared" si="36"/>
        <v>0</v>
      </c>
    </row>
    <row r="349" spans="1:12" x14ac:dyDescent="0.3">
      <c r="A349" t="s">
        <v>2934</v>
      </c>
      <c r="B349" t="s">
        <v>1194</v>
      </c>
      <c r="C349">
        <f t="shared" si="37"/>
        <v>15</v>
      </c>
      <c r="D349" t="str">
        <f t="shared" si="38"/>
        <v>Norm</v>
      </c>
      <c r="E349">
        <f t="shared" si="39"/>
        <v>2</v>
      </c>
      <c r="F349" t="str">
        <f t="shared" si="40"/>
        <v>C</v>
      </c>
      <c r="G349" s="115" t="s">
        <v>1195</v>
      </c>
      <c r="H349" s="115">
        <v>0</v>
      </c>
      <c r="I349" s="115">
        <v>0</v>
      </c>
      <c r="J349" s="115" t="s">
        <v>1195</v>
      </c>
      <c r="K349" t="str">
        <f t="shared" si="35"/>
        <v>C</v>
      </c>
      <c r="L349" s="173">
        <f t="shared" si="36"/>
        <v>3251.01</v>
      </c>
    </row>
    <row r="350" spans="1:12" x14ac:dyDescent="0.3">
      <c r="A350" t="s">
        <v>2935</v>
      </c>
      <c r="B350" t="s">
        <v>1197</v>
      </c>
      <c r="C350">
        <f t="shared" si="37"/>
        <v>15</v>
      </c>
      <c r="D350" t="str">
        <f t="shared" si="38"/>
        <v>Norm</v>
      </c>
      <c r="E350">
        <f t="shared" si="39"/>
        <v>2</v>
      </c>
      <c r="F350" t="str">
        <f t="shared" si="40"/>
        <v>C</v>
      </c>
      <c r="G350" s="115" t="s">
        <v>1199</v>
      </c>
      <c r="H350" s="115">
        <v>115</v>
      </c>
      <c r="I350" s="115">
        <v>0</v>
      </c>
      <c r="J350" s="115" t="s">
        <v>2936</v>
      </c>
      <c r="K350" t="str">
        <f t="shared" si="35"/>
        <v>C</v>
      </c>
      <c r="L350" s="173">
        <f t="shared" si="36"/>
        <v>1549.6</v>
      </c>
    </row>
    <row r="351" spans="1:12" x14ac:dyDescent="0.3">
      <c r="A351" t="s">
        <v>2937</v>
      </c>
      <c r="B351" t="s">
        <v>1201</v>
      </c>
      <c r="C351">
        <f t="shared" si="37"/>
        <v>15</v>
      </c>
      <c r="D351" t="str">
        <f t="shared" si="38"/>
        <v>Norm</v>
      </c>
      <c r="E351">
        <f t="shared" si="39"/>
        <v>2</v>
      </c>
      <c r="F351" t="str">
        <f t="shared" si="40"/>
        <v>C</v>
      </c>
      <c r="G351" s="115" t="s">
        <v>1202</v>
      </c>
      <c r="H351" s="54">
        <v>28500</v>
      </c>
      <c r="I351" s="115">
        <v>0</v>
      </c>
      <c r="J351" s="115" t="s">
        <v>2244</v>
      </c>
      <c r="K351" t="str">
        <f t="shared" si="35"/>
        <v>C</v>
      </c>
      <c r="L351" s="173">
        <f t="shared" si="36"/>
        <v>13500</v>
      </c>
    </row>
    <row r="352" spans="1:12" x14ac:dyDescent="0.3">
      <c r="A352" t="s">
        <v>2938</v>
      </c>
      <c r="B352" t="s">
        <v>1204</v>
      </c>
      <c r="C352">
        <f t="shared" si="37"/>
        <v>15</v>
      </c>
      <c r="D352" t="str">
        <f t="shared" si="38"/>
        <v>Norm</v>
      </c>
      <c r="E352">
        <f t="shared" si="39"/>
        <v>2</v>
      </c>
      <c r="F352" t="str">
        <f t="shared" si="40"/>
        <v>C</v>
      </c>
      <c r="G352" s="115" t="s">
        <v>1205</v>
      </c>
      <c r="H352" s="54">
        <v>688883.83</v>
      </c>
      <c r="I352" s="54">
        <v>642844.22</v>
      </c>
      <c r="J352" s="115" t="s">
        <v>884</v>
      </c>
      <c r="K352" t="str">
        <f t="shared" si="35"/>
        <v>C</v>
      </c>
      <c r="L352" s="173">
        <f t="shared" si="36"/>
        <v>0</v>
      </c>
    </row>
    <row r="353" spans="1:12" x14ac:dyDescent="0.3">
      <c r="A353" t="s">
        <v>2939</v>
      </c>
      <c r="B353" t="s">
        <v>1207</v>
      </c>
      <c r="C353">
        <f t="shared" si="37"/>
        <v>15</v>
      </c>
      <c r="D353" t="str">
        <f t="shared" si="38"/>
        <v>Norm</v>
      </c>
      <c r="E353">
        <f t="shared" si="39"/>
        <v>2</v>
      </c>
      <c r="F353" t="str">
        <f t="shared" si="40"/>
        <v>C</v>
      </c>
      <c r="G353" s="115" t="s">
        <v>884</v>
      </c>
      <c r="H353" s="54">
        <v>30812.5</v>
      </c>
      <c r="I353" s="54">
        <v>30812.5</v>
      </c>
      <c r="J353" s="115" t="s">
        <v>884</v>
      </c>
      <c r="K353" t="str">
        <f t="shared" si="35"/>
        <v>C</v>
      </c>
      <c r="L353" s="173">
        <f t="shared" si="36"/>
        <v>0</v>
      </c>
    </row>
    <row r="354" spans="1:12" x14ac:dyDescent="0.3">
      <c r="A354" t="s">
        <v>2940</v>
      </c>
      <c r="B354" t="s">
        <v>1213</v>
      </c>
      <c r="C354">
        <f t="shared" si="37"/>
        <v>15</v>
      </c>
      <c r="D354" t="str">
        <f t="shared" si="38"/>
        <v>Norm</v>
      </c>
      <c r="E354">
        <f t="shared" si="39"/>
        <v>2</v>
      </c>
      <c r="F354" t="str">
        <f t="shared" si="40"/>
        <v>C</v>
      </c>
      <c r="G354" s="115" t="s">
        <v>884</v>
      </c>
      <c r="H354" s="54">
        <v>19069.45</v>
      </c>
      <c r="I354" s="54">
        <v>19069.45</v>
      </c>
      <c r="J354" s="115" t="s">
        <v>884</v>
      </c>
      <c r="K354" t="str">
        <f t="shared" si="35"/>
        <v>C</v>
      </c>
      <c r="L354" s="173">
        <f t="shared" si="36"/>
        <v>0</v>
      </c>
    </row>
    <row r="355" spans="1:12" x14ac:dyDescent="0.3">
      <c r="A355" t="s">
        <v>2941</v>
      </c>
      <c r="B355" t="s">
        <v>1220</v>
      </c>
      <c r="C355">
        <f t="shared" si="37"/>
        <v>15</v>
      </c>
      <c r="D355" t="str">
        <f t="shared" si="38"/>
        <v>Norm</v>
      </c>
      <c r="E355">
        <f t="shared" si="39"/>
        <v>2</v>
      </c>
      <c r="F355" t="str">
        <f t="shared" si="40"/>
        <v>C</v>
      </c>
      <c r="G355" s="115" t="s">
        <v>1221</v>
      </c>
      <c r="H355" s="54">
        <v>469671.24</v>
      </c>
      <c r="I355" s="54">
        <v>417905.31</v>
      </c>
      <c r="J355" s="115" t="s">
        <v>884</v>
      </c>
      <c r="K355" t="str">
        <f t="shared" si="35"/>
        <v>C</v>
      </c>
      <c r="L355" s="173">
        <f t="shared" si="36"/>
        <v>0</v>
      </c>
    </row>
    <row r="356" spans="1:12" x14ac:dyDescent="0.3">
      <c r="A356" t="s">
        <v>2942</v>
      </c>
      <c r="B356" t="s">
        <v>1227</v>
      </c>
      <c r="C356">
        <f t="shared" si="37"/>
        <v>15</v>
      </c>
      <c r="D356" t="str">
        <f t="shared" si="38"/>
        <v>Norm</v>
      </c>
      <c r="E356">
        <f t="shared" si="39"/>
        <v>2</v>
      </c>
      <c r="F356" t="str">
        <f t="shared" si="40"/>
        <v>C</v>
      </c>
      <c r="G356" s="115" t="s">
        <v>1228</v>
      </c>
      <c r="H356" s="54">
        <v>56125.35</v>
      </c>
      <c r="I356" s="54">
        <v>17925.349999999999</v>
      </c>
      <c r="J356" s="115" t="s">
        <v>884</v>
      </c>
      <c r="K356" t="str">
        <f t="shared" si="35"/>
        <v>C</v>
      </c>
      <c r="L356" s="173">
        <f t="shared" si="36"/>
        <v>0</v>
      </c>
    </row>
    <row r="357" spans="1:12" x14ac:dyDescent="0.3">
      <c r="A357" t="s">
        <v>2943</v>
      </c>
      <c r="B357" t="s">
        <v>1232</v>
      </c>
      <c r="C357">
        <f t="shared" si="37"/>
        <v>15</v>
      </c>
      <c r="D357" t="str">
        <f t="shared" si="38"/>
        <v>Norm</v>
      </c>
      <c r="E357">
        <f t="shared" si="39"/>
        <v>2</v>
      </c>
      <c r="F357" t="str">
        <f t="shared" si="40"/>
        <v>C</v>
      </c>
      <c r="G357" s="115" t="s">
        <v>884</v>
      </c>
      <c r="H357" s="54">
        <v>4914.68</v>
      </c>
      <c r="I357" s="54">
        <v>4914.68</v>
      </c>
      <c r="J357" s="115" t="s">
        <v>884</v>
      </c>
      <c r="K357" t="str">
        <f t="shared" si="35"/>
        <v>C</v>
      </c>
      <c r="L357" s="173">
        <f t="shared" si="36"/>
        <v>0</v>
      </c>
    </row>
    <row r="358" spans="1:12" x14ac:dyDescent="0.3">
      <c r="A358" t="s">
        <v>2944</v>
      </c>
      <c r="B358" t="s">
        <v>1234</v>
      </c>
      <c r="C358">
        <f t="shared" si="37"/>
        <v>15</v>
      </c>
      <c r="D358" t="str">
        <f t="shared" si="38"/>
        <v>Norm</v>
      </c>
      <c r="E358">
        <f t="shared" si="39"/>
        <v>2</v>
      </c>
      <c r="F358" t="str">
        <f t="shared" si="40"/>
        <v>C</v>
      </c>
      <c r="G358" s="115" t="s">
        <v>1235</v>
      </c>
      <c r="H358" s="54">
        <v>171000</v>
      </c>
      <c r="I358" s="115">
        <v>0</v>
      </c>
      <c r="J358" s="115" t="s">
        <v>884</v>
      </c>
      <c r="K358" t="str">
        <f t="shared" si="35"/>
        <v>C</v>
      </c>
      <c r="L358" s="173">
        <f t="shared" si="36"/>
        <v>0</v>
      </c>
    </row>
    <row r="359" spans="1:12" x14ac:dyDescent="0.3">
      <c r="A359" t="s">
        <v>2945</v>
      </c>
      <c r="B359" t="s">
        <v>2245</v>
      </c>
      <c r="C359">
        <f t="shared" si="37"/>
        <v>15</v>
      </c>
      <c r="D359" t="str">
        <f t="shared" si="38"/>
        <v>Norm</v>
      </c>
      <c r="E359">
        <f t="shared" si="39"/>
        <v>2</v>
      </c>
      <c r="F359" t="str">
        <f t="shared" si="40"/>
        <v>C</v>
      </c>
      <c r="G359" s="115" t="s">
        <v>884</v>
      </c>
      <c r="H359" s="54">
        <v>21160</v>
      </c>
      <c r="I359" s="54">
        <v>21160</v>
      </c>
      <c r="J359" s="115" t="s">
        <v>884</v>
      </c>
      <c r="K359" t="str">
        <f t="shared" si="35"/>
        <v>C</v>
      </c>
      <c r="L359" s="173">
        <f t="shared" si="36"/>
        <v>0</v>
      </c>
    </row>
    <row r="360" spans="1:12" x14ac:dyDescent="0.3">
      <c r="A360" t="s">
        <v>2946</v>
      </c>
      <c r="B360" t="s">
        <v>2246</v>
      </c>
      <c r="C360">
        <f t="shared" si="37"/>
        <v>15</v>
      </c>
      <c r="D360" t="str">
        <f t="shared" si="38"/>
        <v>Norm</v>
      </c>
      <c r="E360">
        <f t="shared" si="39"/>
        <v>2</v>
      </c>
      <c r="F360" t="str">
        <f t="shared" si="40"/>
        <v>C</v>
      </c>
      <c r="G360" s="115" t="s">
        <v>884</v>
      </c>
      <c r="H360" s="54">
        <v>1049</v>
      </c>
      <c r="I360" s="54">
        <v>1049</v>
      </c>
      <c r="J360" s="115" t="s">
        <v>884</v>
      </c>
      <c r="K360" t="str">
        <f t="shared" si="35"/>
        <v>C</v>
      </c>
      <c r="L360" s="173">
        <f t="shared" si="36"/>
        <v>0</v>
      </c>
    </row>
    <row r="361" spans="1:12" x14ac:dyDescent="0.3">
      <c r="A361" t="s">
        <v>2947</v>
      </c>
      <c r="B361" t="s">
        <v>2247</v>
      </c>
      <c r="C361">
        <f t="shared" si="37"/>
        <v>15</v>
      </c>
      <c r="D361" t="str">
        <f t="shared" si="38"/>
        <v>Norm</v>
      </c>
      <c r="E361">
        <f t="shared" si="39"/>
        <v>2</v>
      </c>
      <c r="F361" t="str">
        <f t="shared" si="40"/>
        <v>C</v>
      </c>
      <c r="G361" s="115" t="s">
        <v>884</v>
      </c>
      <c r="H361" s="115">
        <v>984.49</v>
      </c>
      <c r="I361" s="115">
        <v>984.49</v>
      </c>
      <c r="J361" s="115" t="s">
        <v>884</v>
      </c>
      <c r="K361" t="str">
        <f t="shared" si="35"/>
        <v>C</v>
      </c>
      <c r="L361" s="173">
        <f t="shared" si="36"/>
        <v>0</v>
      </c>
    </row>
    <row r="362" spans="1:12" x14ac:dyDescent="0.3">
      <c r="A362" t="s">
        <v>2948</v>
      </c>
      <c r="B362" t="s">
        <v>2248</v>
      </c>
      <c r="C362">
        <f t="shared" si="37"/>
        <v>15</v>
      </c>
      <c r="D362" t="str">
        <f t="shared" si="38"/>
        <v>Norm</v>
      </c>
      <c r="E362">
        <f t="shared" si="39"/>
        <v>2</v>
      </c>
      <c r="F362" t="str">
        <f t="shared" si="40"/>
        <v>C</v>
      </c>
      <c r="G362" s="115" t="s">
        <v>884</v>
      </c>
      <c r="H362" s="54">
        <v>1286.1300000000001</v>
      </c>
      <c r="I362" s="54">
        <v>1286.1300000000001</v>
      </c>
      <c r="J362" s="115" t="s">
        <v>884</v>
      </c>
      <c r="K362" t="str">
        <f t="shared" si="35"/>
        <v>C</v>
      </c>
      <c r="L362" s="173">
        <f t="shared" si="36"/>
        <v>0</v>
      </c>
    </row>
    <row r="363" spans="1:12" x14ac:dyDescent="0.3">
      <c r="A363" t="s">
        <v>2949</v>
      </c>
      <c r="B363" t="s">
        <v>2249</v>
      </c>
      <c r="C363">
        <f t="shared" si="37"/>
        <v>15</v>
      </c>
      <c r="D363" t="str">
        <f t="shared" si="38"/>
        <v>Norm</v>
      </c>
      <c r="E363">
        <f t="shared" si="39"/>
        <v>2</v>
      </c>
      <c r="F363" t="str">
        <f t="shared" si="40"/>
        <v>C</v>
      </c>
      <c r="G363" s="115" t="s">
        <v>884</v>
      </c>
      <c r="H363" s="54">
        <v>18166.650000000001</v>
      </c>
      <c r="I363" s="54">
        <v>18166.650000000001</v>
      </c>
      <c r="J363" s="115" t="s">
        <v>884</v>
      </c>
      <c r="K363" t="str">
        <f t="shared" si="35"/>
        <v>C</v>
      </c>
      <c r="L363" s="173">
        <f t="shared" si="36"/>
        <v>0</v>
      </c>
    </row>
    <row r="364" spans="1:12" x14ac:dyDescent="0.3">
      <c r="A364" t="s">
        <v>2950</v>
      </c>
      <c r="B364" t="s">
        <v>2250</v>
      </c>
      <c r="C364">
        <f t="shared" si="37"/>
        <v>15</v>
      </c>
      <c r="D364" t="str">
        <f t="shared" si="38"/>
        <v>Norm</v>
      </c>
      <c r="E364">
        <f t="shared" si="39"/>
        <v>2</v>
      </c>
      <c r="F364" t="str">
        <f t="shared" si="40"/>
        <v>C</v>
      </c>
      <c r="G364" s="115" t="s">
        <v>884</v>
      </c>
      <c r="H364" s="115">
        <v>392.07</v>
      </c>
      <c r="I364" s="115">
        <v>392.07</v>
      </c>
      <c r="J364" s="115" t="s">
        <v>884</v>
      </c>
      <c r="K364" t="str">
        <f t="shared" si="35"/>
        <v>C</v>
      </c>
      <c r="L364" s="173">
        <f t="shared" si="36"/>
        <v>0</v>
      </c>
    </row>
    <row r="365" spans="1:12" x14ac:dyDescent="0.3">
      <c r="A365" t="s">
        <v>2951</v>
      </c>
      <c r="B365" t="s">
        <v>2251</v>
      </c>
      <c r="C365">
        <f t="shared" si="37"/>
        <v>15</v>
      </c>
      <c r="D365" t="str">
        <f t="shared" si="38"/>
        <v>Norm</v>
      </c>
      <c r="E365">
        <f t="shared" si="39"/>
        <v>2</v>
      </c>
      <c r="F365" t="str">
        <f t="shared" si="40"/>
        <v>C</v>
      </c>
      <c r="G365" s="115" t="s">
        <v>884</v>
      </c>
      <c r="H365" s="115">
        <v>219.9</v>
      </c>
      <c r="I365" s="115">
        <v>219.9</v>
      </c>
      <c r="J365" s="115" t="s">
        <v>884</v>
      </c>
      <c r="K365" t="str">
        <f t="shared" si="35"/>
        <v>C</v>
      </c>
      <c r="L365" s="173">
        <f t="shared" si="36"/>
        <v>0</v>
      </c>
    </row>
    <row r="366" spans="1:12" x14ac:dyDescent="0.3">
      <c r="A366" t="s">
        <v>2952</v>
      </c>
      <c r="B366" t="s">
        <v>2252</v>
      </c>
      <c r="C366">
        <f t="shared" si="37"/>
        <v>15</v>
      </c>
      <c r="D366" t="str">
        <f t="shared" si="38"/>
        <v>Norm</v>
      </c>
      <c r="E366">
        <f t="shared" si="39"/>
        <v>2</v>
      </c>
      <c r="F366" t="str">
        <f t="shared" si="40"/>
        <v>C</v>
      </c>
      <c r="G366" s="115">
        <v>0</v>
      </c>
      <c r="H366" s="54">
        <v>49129.94</v>
      </c>
      <c r="I366" s="54">
        <v>158428.69</v>
      </c>
      <c r="J366" s="115" t="s">
        <v>2253</v>
      </c>
      <c r="K366" t="str">
        <f t="shared" si="35"/>
        <v>C</v>
      </c>
      <c r="L366" s="173">
        <f t="shared" si="36"/>
        <v>109298.75</v>
      </c>
    </row>
    <row r="367" spans="1:12" x14ac:dyDescent="0.3">
      <c r="A367" t="s">
        <v>2953</v>
      </c>
      <c r="B367" t="s">
        <v>2254</v>
      </c>
      <c r="C367">
        <f t="shared" si="37"/>
        <v>15</v>
      </c>
      <c r="D367" t="str">
        <f t="shared" si="38"/>
        <v>Norm</v>
      </c>
      <c r="E367">
        <f t="shared" si="39"/>
        <v>2</v>
      </c>
      <c r="F367" t="str">
        <f t="shared" si="40"/>
        <v>C</v>
      </c>
      <c r="G367" s="115">
        <v>0</v>
      </c>
      <c r="H367" s="54">
        <v>6568.5</v>
      </c>
      <c r="I367" s="54">
        <v>6568.5</v>
      </c>
      <c r="J367" s="115">
        <v>0</v>
      </c>
      <c r="K367" t="str">
        <f t="shared" si="35"/>
        <v>0</v>
      </c>
      <c r="L367" s="173">
        <f t="shared" si="36"/>
        <v>0</v>
      </c>
    </row>
    <row r="368" spans="1:12" x14ac:dyDescent="0.3">
      <c r="A368" t="s">
        <v>2954</v>
      </c>
      <c r="B368" t="s">
        <v>2255</v>
      </c>
      <c r="C368">
        <f t="shared" si="37"/>
        <v>15</v>
      </c>
      <c r="D368" t="str">
        <f t="shared" si="38"/>
        <v>Norm</v>
      </c>
      <c r="E368">
        <f t="shared" si="39"/>
        <v>2</v>
      </c>
      <c r="F368" t="str">
        <f t="shared" si="40"/>
        <v>C</v>
      </c>
      <c r="G368" s="115">
        <v>0</v>
      </c>
      <c r="H368" s="54">
        <v>95640.86</v>
      </c>
      <c r="I368" s="54">
        <v>95640.86</v>
      </c>
      <c r="J368" s="115">
        <v>0</v>
      </c>
      <c r="K368" t="str">
        <f t="shared" si="35"/>
        <v>0</v>
      </c>
      <c r="L368" s="173">
        <f t="shared" si="36"/>
        <v>0</v>
      </c>
    </row>
    <row r="369" spans="1:12" x14ac:dyDescent="0.3">
      <c r="A369" t="s">
        <v>2955</v>
      </c>
      <c r="B369" t="s">
        <v>1237</v>
      </c>
      <c r="C369">
        <f t="shared" si="37"/>
        <v>11</v>
      </c>
      <c r="D369" t="str">
        <f t="shared" si="38"/>
        <v>Norm</v>
      </c>
      <c r="E369">
        <f t="shared" si="39"/>
        <v>2</v>
      </c>
      <c r="F369" t="str">
        <f t="shared" si="40"/>
        <v>C</v>
      </c>
      <c r="G369" s="115" t="s">
        <v>1239</v>
      </c>
      <c r="H369" s="54">
        <v>9078</v>
      </c>
      <c r="I369" s="54">
        <v>11058</v>
      </c>
      <c r="J369" s="115" t="s">
        <v>2956</v>
      </c>
      <c r="K369" t="str">
        <f t="shared" si="35"/>
        <v>C</v>
      </c>
      <c r="L369" s="173">
        <f t="shared" si="36"/>
        <v>24951.95</v>
      </c>
    </row>
    <row r="370" spans="1:12" x14ac:dyDescent="0.3">
      <c r="A370" t="s">
        <v>2957</v>
      </c>
      <c r="B370" t="s">
        <v>1241</v>
      </c>
      <c r="C370">
        <f t="shared" si="37"/>
        <v>16</v>
      </c>
      <c r="D370" t="str">
        <f t="shared" si="38"/>
        <v>Norm</v>
      </c>
      <c r="E370">
        <f t="shared" si="39"/>
        <v>2</v>
      </c>
      <c r="F370" t="str">
        <f t="shared" si="40"/>
        <v>C</v>
      </c>
      <c r="G370" s="115" t="s">
        <v>1242</v>
      </c>
      <c r="H370" s="115">
        <v>0</v>
      </c>
      <c r="I370" s="115">
        <v>0</v>
      </c>
      <c r="J370" s="115" t="s">
        <v>1242</v>
      </c>
      <c r="K370" t="str">
        <f t="shared" si="35"/>
        <v>C</v>
      </c>
      <c r="L370" s="173">
        <f t="shared" si="36"/>
        <v>2206.9499999999998</v>
      </c>
    </row>
    <row r="371" spans="1:12" x14ac:dyDescent="0.3">
      <c r="A371" t="s">
        <v>2958</v>
      </c>
      <c r="B371" t="s">
        <v>1244</v>
      </c>
      <c r="C371">
        <f t="shared" si="37"/>
        <v>16</v>
      </c>
      <c r="D371" t="str">
        <f t="shared" si="38"/>
        <v>Norm</v>
      </c>
      <c r="E371">
        <f t="shared" si="39"/>
        <v>2</v>
      </c>
      <c r="F371" t="str">
        <f t="shared" si="40"/>
        <v>C</v>
      </c>
      <c r="G371" s="115" t="s">
        <v>1245</v>
      </c>
      <c r="H371" s="115">
        <v>0</v>
      </c>
      <c r="I371" s="115">
        <v>0</v>
      </c>
      <c r="J371" s="115" t="s">
        <v>1245</v>
      </c>
      <c r="K371" t="str">
        <f t="shared" si="35"/>
        <v>C</v>
      </c>
      <c r="L371" s="173">
        <f t="shared" si="36"/>
        <v>20765</v>
      </c>
    </row>
    <row r="372" spans="1:12" x14ac:dyDescent="0.3">
      <c r="A372" t="s">
        <v>2959</v>
      </c>
      <c r="B372" t="s">
        <v>2256</v>
      </c>
      <c r="C372">
        <f t="shared" si="37"/>
        <v>16</v>
      </c>
      <c r="D372" t="str">
        <f t="shared" si="38"/>
        <v>Norm</v>
      </c>
      <c r="E372">
        <f t="shared" si="39"/>
        <v>2</v>
      </c>
      <c r="F372" t="str">
        <f t="shared" si="40"/>
        <v>C</v>
      </c>
      <c r="G372" s="115">
        <v>0</v>
      </c>
      <c r="H372" s="54">
        <v>9078</v>
      </c>
      <c r="I372" s="54">
        <v>9078</v>
      </c>
      <c r="J372" s="115">
        <v>0</v>
      </c>
      <c r="K372" t="str">
        <f t="shared" si="35"/>
        <v>0</v>
      </c>
      <c r="L372" s="173">
        <f t="shared" si="36"/>
        <v>0</v>
      </c>
    </row>
    <row r="373" spans="1:12" x14ac:dyDescent="0.3">
      <c r="A373" t="s">
        <v>2960</v>
      </c>
      <c r="B373" t="s">
        <v>2257</v>
      </c>
      <c r="C373">
        <f t="shared" si="37"/>
        <v>16</v>
      </c>
      <c r="D373" t="str">
        <f t="shared" si="38"/>
        <v>Norm</v>
      </c>
      <c r="E373">
        <f t="shared" si="39"/>
        <v>2</v>
      </c>
      <c r="F373" t="str">
        <f t="shared" si="40"/>
        <v>C</v>
      </c>
      <c r="G373" s="115">
        <v>0</v>
      </c>
      <c r="H373" s="115">
        <v>0</v>
      </c>
      <c r="I373" s="54">
        <v>1980</v>
      </c>
      <c r="J373" s="115" t="s">
        <v>2258</v>
      </c>
      <c r="K373" t="str">
        <f t="shared" si="35"/>
        <v>C</v>
      </c>
      <c r="L373" s="173">
        <f t="shared" si="36"/>
        <v>1980</v>
      </c>
    </row>
    <row r="374" spans="1:12" x14ac:dyDescent="0.3">
      <c r="A374" t="s">
        <v>2961</v>
      </c>
      <c r="B374" t="s">
        <v>1247</v>
      </c>
      <c r="C374">
        <f t="shared" si="37"/>
        <v>8</v>
      </c>
      <c r="D374" t="str">
        <f t="shared" si="38"/>
        <v>Norm</v>
      </c>
      <c r="E374">
        <f t="shared" si="39"/>
        <v>2</v>
      </c>
      <c r="F374" t="str">
        <f t="shared" si="40"/>
        <v>C</v>
      </c>
      <c r="G374" s="115" t="s">
        <v>2962</v>
      </c>
      <c r="H374" s="54">
        <v>9835388.4399999995</v>
      </c>
      <c r="I374" s="54">
        <v>9760825.1699999999</v>
      </c>
      <c r="J374" s="115" t="s">
        <v>2963</v>
      </c>
      <c r="K374" t="str">
        <f t="shared" si="35"/>
        <v>C</v>
      </c>
      <c r="L374" s="173">
        <f t="shared" si="36"/>
        <v>85063.1</v>
      </c>
    </row>
    <row r="375" spans="1:12" x14ac:dyDescent="0.3">
      <c r="A375" t="s">
        <v>2964</v>
      </c>
      <c r="B375" t="s">
        <v>1250</v>
      </c>
      <c r="C375">
        <f t="shared" si="37"/>
        <v>11</v>
      </c>
      <c r="D375" t="str">
        <f t="shared" si="38"/>
        <v>Norm</v>
      </c>
      <c r="E375">
        <f t="shared" si="39"/>
        <v>2</v>
      </c>
      <c r="F375" t="str">
        <f t="shared" si="40"/>
        <v>C</v>
      </c>
      <c r="G375" s="115" t="s">
        <v>1252</v>
      </c>
      <c r="H375" s="54">
        <v>9746194.1999999993</v>
      </c>
      <c r="I375" s="54">
        <v>9670837.3300000001</v>
      </c>
      <c r="J375" s="115" t="s">
        <v>2965</v>
      </c>
      <c r="K375" t="str">
        <f t="shared" si="35"/>
        <v>C</v>
      </c>
      <c r="L375" s="173">
        <f t="shared" si="36"/>
        <v>4705.8999999999996</v>
      </c>
    </row>
    <row r="376" spans="1:12" x14ac:dyDescent="0.3">
      <c r="A376" t="s">
        <v>2966</v>
      </c>
      <c r="B376" t="s">
        <v>1254</v>
      </c>
      <c r="C376">
        <f t="shared" si="37"/>
        <v>16</v>
      </c>
      <c r="D376" t="str">
        <f t="shared" si="38"/>
        <v>Norm</v>
      </c>
      <c r="E376">
        <f t="shared" si="39"/>
        <v>2</v>
      </c>
      <c r="F376" t="str">
        <f t="shared" si="40"/>
        <v>C</v>
      </c>
      <c r="G376" s="115" t="s">
        <v>884</v>
      </c>
      <c r="H376" s="54">
        <v>458246.33</v>
      </c>
      <c r="I376" s="54">
        <v>458246.33</v>
      </c>
      <c r="J376" s="115" t="s">
        <v>884</v>
      </c>
      <c r="K376" t="str">
        <f t="shared" si="35"/>
        <v>C</v>
      </c>
      <c r="L376" s="173">
        <f t="shared" si="36"/>
        <v>0</v>
      </c>
    </row>
    <row r="377" spans="1:12" x14ac:dyDescent="0.3">
      <c r="A377" t="s">
        <v>2967</v>
      </c>
      <c r="B377" t="s">
        <v>1256</v>
      </c>
      <c r="C377">
        <f t="shared" si="37"/>
        <v>16</v>
      </c>
      <c r="D377" t="str">
        <f t="shared" si="38"/>
        <v>Norm</v>
      </c>
      <c r="E377">
        <f t="shared" si="39"/>
        <v>2</v>
      </c>
      <c r="F377" t="str">
        <f t="shared" si="40"/>
        <v>C</v>
      </c>
      <c r="G377" s="115" t="s">
        <v>884</v>
      </c>
      <c r="H377" s="54">
        <v>415444.22</v>
      </c>
      <c r="I377" s="54">
        <v>415444.22</v>
      </c>
      <c r="J377" s="115" t="s">
        <v>884</v>
      </c>
      <c r="K377" t="str">
        <f t="shared" si="35"/>
        <v>C</v>
      </c>
      <c r="L377" s="173">
        <f t="shared" si="36"/>
        <v>0</v>
      </c>
    </row>
    <row r="378" spans="1:12" x14ac:dyDescent="0.3">
      <c r="A378" t="s">
        <v>2968</v>
      </c>
      <c r="B378" t="s">
        <v>1258</v>
      </c>
      <c r="C378">
        <f t="shared" si="37"/>
        <v>16</v>
      </c>
      <c r="D378" t="str">
        <f t="shared" si="38"/>
        <v>Norm</v>
      </c>
      <c r="E378">
        <f t="shared" si="39"/>
        <v>2</v>
      </c>
      <c r="F378" t="str">
        <f t="shared" si="40"/>
        <v>C</v>
      </c>
      <c r="G378" s="115" t="s">
        <v>1259</v>
      </c>
      <c r="H378" s="54">
        <v>5041174.05</v>
      </c>
      <c r="I378" s="54">
        <v>4984871.54</v>
      </c>
      <c r="J378" s="115" t="s">
        <v>884</v>
      </c>
      <c r="K378" t="str">
        <f t="shared" si="35"/>
        <v>C</v>
      </c>
      <c r="L378" s="173">
        <f t="shared" si="36"/>
        <v>0</v>
      </c>
    </row>
    <row r="379" spans="1:12" x14ac:dyDescent="0.3">
      <c r="A379" t="s">
        <v>2969</v>
      </c>
      <c r="B379" t="s">
        <v>1261</v>
      </c>
      <c r="C379">
        <f t="shared" si="37"/>
        <v>16</v>
      </c>
      <c r="D379" t="str">
        <f t="shared" si="38"/>
        <v>Norm</v>
      </c>
      <c r="E379">
        <f t="shared" si="39"/>
        <v>2</v>
      </c>
      <c r="F379" t="str">
        <f t="shared" si="40"/>
        <v>C</v>
      </c>
      <c r="G379" s="115" t="s">
        <v>1263</v>
      </c>
      <c r="H379" s="54">
        <v>1962874.66</v>
      </c>
      <c r="I379" s="54">
        <v>1947642.8799999999</v>
      </c>
      <c r="J379" s="115" t="s">
        <v>884</v>
      </c>
      <c r="K379" t="str">
        <f t="shared" si="35"/>
        <v>C</v>
      </c>
      <c r="L379" s="173">
        <f t="shared" si="36"/>
        <v>0</v>
      </c>
    </row>
    <row r="380" spans="1:12" x14ac:dyDescent="0.3">
      <c r="A380" t="s">
        <v>2970</v>
      </c>
      <c r="B380" t="s">
        <v>1265</v>
      </c>
      <c r="C380">
        <f t="shared" si="37"/>
        <v>16</v>
      </c>
      <c r="D380" t="str">
        <f t="shared" si="38"/>
        <v>Norm</v>
      </c>
      <c r="E380">
        <f t="shared" si="39"/>
        <v>2</v>
      </c>
      <c r="F380" t="str">
        <f t="shared" si="40"/>
        <v>C</v>
      </c>
      <c r="G380" s="115" t="s">
        <v>884</v>
      </c>
      <c r="H380" s="54">
        <v>187735.02</v>
      </c>
      <c r="I380" s="54">
        <v>187735.02</v>
      </c>
      <c r="J380" s="115" t="s">
        <v>884</v>
      </c>
      <c r="K380" t="str">
        <f t="shared" si="35"/>
        <v>C</v>
      </c>
      <c r="L380" s="173">
        <f t="shared" si="36"/>
        <v>0</v>
      </c>
    </row>
    <row r="381" spans="1:12" x14ac:dyDescent="0.3">
      <c r="A381" t="s">
        <v>2971</v>
      </c>
      <c r="B381" t="s">
        <v>1268</v>
      </c>
      <c r="C381">
        <f t="shared" si="37"/>
        <v>16</v>
      </c>
      <c r="D381" t="str">
        <f t="shared" si="38"/>
        <v>Norm</v>
      </c>
      <c r="E381">
        <f t="shared" si="39"/>
        <v>2</v>
      </c>
      <c r="F381" t="str">
        <f t="shared" si="40"/>
        <v>C</v>
      </c>
      <c r="G381" s="115" t="s">
        <v>1269</v>
      </c>
      <c r="H381" s="54">
        <v>51718.15</v>
      </c>
      <c r="I381" s="54">
        <v>53009.66</v>
      </c>
      <c r="J381" s="115" t="s">
        <v>2259</v>
      </c>
      <c r="K381" t="str">
        <f t="shared" si="35"/>
        <v>C</v>
      </c>
      <c r="L381" s="173">
        <f t="shared" si="36"/>
        <v>4700.8999999999996</v>
      </c>
    </row>
    <row r="382" spans="1:12" x14ac:dyDescent="0.3">
      <c r="A382" t="s">
        <v>2972</v>
      </c>
      <c r="B382" t="s">
        <v>1271</v>
      </c>
      <c r="C382">
        <f t="shared" si="37"/>
        <v>16</v>
      </c>
      <c r="D382" t="str">
        <f t="shared" si="38"/>
        <v>Norm</v>
      </c>
      <c r="E382">
        <f t="shared" si="39"/>
        <v>2</v>
      </c>
      <c r="F382" t="str">
        <f t="shared" si="40"/>
        <v>C</v>
      </c>
      <c r="G382" s="115" t="s">
        <v>1272</v>
      </c>
      <c r="H382" s="54">
        <v>84628.62</v>
      </c>
      <c r="I382" s="54">
        <v>79514.53</v>
      </c>
      <c r="J382" s="115" t="s">
        <v>884</v>
      </c>
      <c r="K382" t="str">
        <f t="shared" si="35"/>
        <v>C</v>
      </c>
      <c r="L382" s="173">
        <f t="shared" si="36"/>
        <v>0</v>
      </c>
    </row>
    <row r="383" spans="1:12" x14ac:dyDescent="0.3">
      <c r="A383" t="s">
        <v>2973</v>
      </c>
      <c r="B383" t="s">
        <v>1274</v>
      </c>
      <c r="C383">
        <f t="shared" si="37"/>
        <v>16</v>
      </c>
      <c r="D383" t="str">
        <f t="shared" si="38"/>
        <v>Norm</v>
      </c>
      <c r="E383">
        <f t="shared" si="39"/>
        <v>2</v>
      </c>
      <c r="F383" t="str">
        <f t="shared" si="40"/>
        <v>C</v>
      </c>
      <c r="G383" s="115" t="s">
        <v>884</v>
      </c>
      <c r="H383" s="54">
        <v>389200.29</v>
      </c>
      <c r="I383" s="54">
        <v>389200.29</v>
      </c>
      <c r="J383" s="115" t="s">
        <v>884</v>
      </c>
      <c r="K383" t="str">
        <f t="shared" si="35"/>
        <v>C</v>
      </c>
      <c r="L383" s="173">
        <f t="shared" si="36"/>
        <v>0</v>
      </c>
    </row>
    <row r="384" spans="1:12" x14ac:dyDescent="0.3">
      <c r="A384" t="s">
        <v>2974</v>
      </c>
      <c r="B384" t="s">
        <v>1276</v>
      </c>
      <c r="C384">
        <f t="shared" si="37"/>
        <v>16</v>
      </c>
      <c r="D384" t="str">
        <f t="shared" si="38"/>
        <v>Norm</v>
      </c>
      <c r="E384">
        <f t="shared" si="39"/>
        <v>2</v>
      </c>
      <c r="F384" t="str">
        <f t="shared" si="40"/>
        <v>C</v>
      </c>
      <c r="G384" s="115" t="s">
        <v>1278</v>
      </c>
      <c r="H384" s="54">
        <v>1103247.67</v>
      </c>
      <c r="I384" s="54">
        <v>1103247.67</v>
      </c>
      <c r="J384" s="115" t="s">
        <v>1278</v>
      </c>
      <c r="K384" t="str">
        <f t="shared" si="35"/>
        <v>C</v>
      </c>
      <c r="L384" s="173">
        <f t="shared" si="36"/>
        <v>5</v>
      </c>
    </row>
    <row r="385" spans="1:12" x14ac:dyDescent="0.3">
      <c r="A385" t="s">
        <v>2975</v>
      </c>
      <c r="B385" t="s">
        <v>2260</v>
      </c>
      <c r="C385">
        <f t="shared" si="37"/>
        <v>16</v>
      </c>
      <c r="D385" t="str">
        <f t="shared" si="38"/>
        <v>Norm</v>
      </c>
      <c r="E385">
        <f t="shared" si="39"/>
        <v>2</v>
      </c>
      <c r="F385" t="str">
        <f t="shared" si="40"/>
        <v>C</v>
      </c>
      <c r="G385" s="115" t="s">
        <v>884</v>
      </c>
      <c r="H385" s="54">
        <v>51925.19</v>
      </c>
      <c r="I385" s="54">
        <v>51925.19</v>
      </c>
      <c r="J385" s="115" t="s">
        <v>884</v>
      </c>
      <c r="K385" t="str">
        <f t="shared" si="35"/>
        <v>C</v>
      </c>
      <c r="L385" s="173">
        <f t="shared" si="36"/>
        <v>0</v>
      </c>
    </row>
    <row r="386" spans="1:12" x14ac:dyDescent="0.3">
      <c r="A386" t="s">
        <v>2976</v>
      </c>
      <c r="B386" t="s">
        <v>1280</v>
      </c>
      <c r="C386">
        <f t="shared" si="37"/>
        <v>11</v>
      </c>
      <c r="D386" t="str">
        <f t="shared" si="38"/>
        <v>Norm</v>
      </c>
      <c r="E386">
        <f t="shared" si="39"/>
        <v>2</v>
      </c>
      <c r="F386" t="str">
        <f t="shared" si="40"/>
        <v>C</v>
      </c>
      <c r="G386" s="115" t="s">
        <v>1282</v>
      </c>
      <c r="H386" s="54">
        <v>45581.56</v>
      </c>
      <c r="I386" s="54">
        <v>46178.9</v>
      </c>
      <c r="J386" s="115" t="s">
        <v>2977</v>
      </c>
      <c r="K386" t="str">
        <f t="shared" si="35"/>
        <v>C</v>
      </c>
      <c r="L386" s="173">
        <f t="shared" si="36"/>
        <v>29676.94</v>
      </c>
    </row>
    <row r="387" spans="1:12" x14ac:dyDescent="0.3">
      <c r="A387" t="s">
        <v>2978</v>
      </c>
      <c r="B387" t="s">
        <v>1284</v>
      </c>
      <c r="C387">
        <f t="shared" si="37"/>
        <v>16</v>
      </c>
      <c r="D387" t="str">
        <f t="shared" si="38"/>
        <v>Norm</v>
      </c>
      <c r="E387">
        <f t="shared" si="39"/>
        <v>2</v>
      </c>
      <c r="F387" t="str">
        <f t="shared" si="40"/>
        <v>C</v>
      </c>
      <c r="G387" s="115" t="s">
        <v>1286</v>
      </c>
      <c r="H387" s="54">
        <v>1870.34</v>
      </c>
      <c r="I387" s="54">
        <v>1870.34</v>
      </c>
      <c r="J387" s="115" t="s">
        <v>1286</v>
      </c>
      <c r="K387" t="str">
        <f t="shared" ref="K387:K450" si="41">RIGHT(J387,1)</f>
        <v>C</v>
      </c>
      <c r="L387" s="173">
        <f t="shared" ref="L387:L450" si="42">IF(J387=0,0,LEFT(J387,LEN(J387)-1)+0)</f>
        <v>2894.66</v>
      </c>
    </row>
    <row r="388" spans="1:12" x14ac:dyDescent="0.3">
      <c r="A388" t="s">
        <v>2979</v>
      </c>
      <c r="B388" t="s">
        <v>1291</v>
      </c>
      <c r="C388">
        <f t="shared" si="37"/>
        <v>16</v>
      </c>
      <c r="D388" t="str">
        <f t="shared" si="38"/>
        <v>Norm</v>
      </c>
      <c r="E388">
        <f t="shared" si="39"/>
        <v>2</v>
      </c>
      <c r="F388" t="str">
        <f t="shared" si="40"/>
        <v>C</v>
      </c>
      <c r="G388" s="115" t="s">
        <v>1292</v>
      </c>
      <c r="H388" s="115">
        <v>210.14</v>
      </c>
      <c r="I388" s="115">
        <v>210.14</v>
      </c>
      <c r="J388" s="115" t="s">
        <v>1292</v>
      </c>
      <c r="K388" t="str">
        <f t="shared" si="41"/>
        <v>C</v>
      </c>
      <c r="L388" s="173">
        <f t="shared" si="42"/>
        <v>6982.89</v>
      </c>
    </row>
    <row r="389" spans="1:12" x14ac:dyDescent="0.3">
      <c r="A389" t="s">
        <v>2980</v>
      </c>
      <c r="B389" t="s">
        <v>1294</v>
      </c>
      <c r="C389">
        <f t="shared" si="37"/>
        <v>16</v>
      </c>
      <c r="D389" t="str">
        <f t="shared" si="38"/>
        <v>Norm</v>
      </c>
      <c r="E389">
        <f t="shared" si="39"/>
        <v>2</v>
      </c>
      <c r="F389" t="str">
        <f t="shared" si="40"/>
        <v>C</v>
      </c>
      <c r="G389" s="115" t="s">
        <v>1296</v>
      </c>
      <c r="H389" s="54">
        <v>41598.800000000003</v>
      </c>
      <c r="I389" s="54">
        <v>41316.82</v>
      </c>
      <c r="J389" s="115" t="s">
        <v>2261</v>
      </c>
      <c r="K389" t="str">
        <f t="shared" si="41"/>
        <v>C</v>
      </c>
      <c r="L389" s="173">
        <f t="shared" si="42"/>
        <v>18920.07</v>
      </c>
    </row>
    <row r="390" spans="1:12" x14ac:dyDescent="0.3">
      <c r="A390" t="s">
        <v>2981</v>
      </c>
      <c r="B390" t="s">
        <v>2262</v>
      </c>
      <c r="C390">
        <f t="shared" si="37"/>
        <v>16</v>
      </c>
      <c r="D390" t="str">
        <f t="shared" si="38"/>
        <v>Norm</v>
      </c>
      <c r="E390">
        <f t="shared" si="39"/>
        <v>2</v>
      </c>
      <c r="F390" t="str">
        <f t="shared" si="40"/>
        <v>C</v>
      </c>
      <c r="G390" s="115" t="s">
        <v>884</v>
      </c>
      <c r="H390" s="54">
        <v>1902.28</v>
      </c>
      <c r="I390" s="54">
        <v>2781.6</v>
      </c>
      <c r="J390" s="115" t="s">
        <v>2263</v>
      </c>
      <c r="K390" t="str">
        <f t="shared" si="41"/>
        <v>C</v>
      </c>
      <c r="L390" s="173">
        <f t="shared" si="42"/>
        <v>879.32</v>
      </c>
    </row>
    <row r="391" spans="1:12" x14ac:dyDescent="0.3">
      <c r="A391" t="s">
        <v>2982</v>
      </c>
      <c r="B391" t="s">
        <v>1298</v>
      </c>
      <c r="C391">
        <f t="shared" si="37"/>
        <v>11</v>
      </c>
      <c r="D391" t="str">
        <f t="shared" si="38"/>
        <v>Norm</v>
      </c>
      <c r="E391">
        <f t="shared" si="39"/>
        <v>2</v>
      </c>
      <c r="F391" t="str">
        <f t="shared" si="40"/>
        <v>C</v>
      </c>
      <c r="G391" s="115" t="s">
        <v>1300</v>
      </c>
      <c r="H391" s="54">
        <v>43612.68</v>
      </c>
      <c r="I391" s="54">
        <v>43808.94</v>
      </c>
      <c r="J391" s="115" t="s">
        <v>2264</v>
      </c>
      <c r="K391" t="str">
        <f t="shared" si="41"/>
        <v>C</v>
      </c>
      <c r="L391" s="173">
        <f t="shared" si="42"/>
        <v>50680.26</v>
      </c>
    </row>
    <row r="392" spans="1:12" x14ac:dyDescent="0.3">
      <c r="A392" t="s">
        <v>2983</v>
      </c>
      <c r="B392" t="s">
        <v>1302</v>
      </c>
      <c r="C392">
        <f t="shared" si="37"/>
        <v>16</v>
      </c>
      <c r="D392" t="str">
        <f t="shared" si="38"/>
        <v>Norm</v>
      </c>
      <c r="E392">
        <f t="shared" si="39"/>
        <v>2</v>
      </c>
      <c r="F392" t="str">
        <f t="shared" si="40"/>
        <v>C</v>
      </c>
      <c r="G392" s="115" t="s">
        <v>1300</v>
      </c>
      <c r="H392" s="54">
        <v>43612.68</v>
      </c>
      <c r="I392" s="54">
        <v>43808.94</v>
      </c>
      <c r="J392" s="115" t="s">
        <v>2264</v>
      </c>
      <c r="K392" t="str">
        <f t="shared" si="41"/>
        <v>C</v>
      </c>
      <c r="L392" s="173">
        <f t="shared" si="42"/>
        <v>50680.26</v>
      </c>
    </row>
    <row r="393" spans="1:12" x14ac:dyDescent="0.3">
      <c r="A393" t="s">
        <v>2984</v>
      </c>
      <c r="B393" t="s">
        <v>1305</v>
      </c>
      <c r="C393">
        <f t="shared" si="37"/>
        <v>8</v>
      </c>
      <c r="D393" t="str">
        <f t="shared" si="38"/>
        <v>Norm</v>
      </c>
      <c r="E393">
        <f t="shared" si="39"/>
        <v>2</v>
      </c>
      <c r="F393" t="str">
        <f t="shared" si="40"/>
        <v>C</v>
      </c>
      <c r="G393" s="115" t="s">
        <v>2985</v>
      </c>
      <c r="H393" s="54">
        <v>3706037.52</v>
      </c>
      <c r="I393" s="54">
        <v>3949987.48</v>
      </c>
      <c r="J393" s="115" t="s">
        <v>2986</v>
      </c>
      <c r="K393" t="str">
        <f t="shared" si="41"/>
        <v>C</v>
      </c>
      <c r="L393" s="173">
        <f t="shared" si="42"/>
        <v>1157885.8500000001</v>
      </c>
    </row>
    <row r="394" spans="1:12" x14ac:dyDescent="0.3">
      <c r="A394" t="s">
        <v>2987</v>
      </c>
      <c r="B394" t="s">
        <v>1308</v>
      </c>
      <c r="C394">
        <f t="shared" si="37"/>
        <v>11</v>
      </c>
      <c r="D394" t="str">
        <f t="shared" si="38"/>
        <v>Norm</v>
      </c>
      <c r="E394">
        <f t="shared" si="39"/>
        <v>2</v>
      </c>
      <c r="F394" t="str">
        <f t="shared" si="40"/>
        <v>C</v>
      </c>
      <c r="G394" s="115" t="s">
        <v>1310</v>
      </c>
      <c r="H394" s="54">
        <v>1168955.1499999999</v>
      </c>
      <c r="I394" s="54">
        <v>1166076.03</v>
      </c>
      <c r="J394" s="115" t="s">
        <v>2988</v>
      </c>
      <c r="K394" t="str">
        <f t="shared" si="41"/>
        <v>C</v>
      </c>
      <c r="L394" s="173">
        <f t="shared" si="42"/>
        <v>50889.32</v>
      </c>
    </row>
    <row r="395" spans="1:12" x14ac:dyDescent="0.3">
      <c r="A395" t="s">
        <v>2989</v>
      </c>
      <c r="B395" t="s">
        <v>1312</v>
      </c>
      <c r="C395">
        <f t="shared" si="37"/>
        <v>16</v>
      </c>
      <c r="D395" t="str">
        <f t="shared" si="38"/>
        <v>Norm</v>
      </c>
      <c r="E395">
        <f t="shared" si="39"/>
        <v>2</v>
      </c>
      <c r="F395" t="str">
        <f t="shared" si="40"/>
        <v>C</v>
      </c>
      <c r="G395" s="115" t="s">
        <v>1314</v>
      </c>
      <c r="H395" s="54">
        <v>605935.03</v>
      </c>
      <c r="I395" s="54">
        <v>605935.03</v>
      </c>
      <c r="J395" s="115" t="s">
        <v>1314</v>
      </c>
      <c r="K395" t="str">
        <f t="shared" si="41"/>
        <v>C</v>
      </c>
      <c r="L395" s="173">
        <f t="shared" si="42"/>
        <v>20964.53</v>
      </c>
    </row>
    <row r="396" spans="1:12" x14ac:dyDescent="0.3">
      <c r="A396" t="s">
        <v>2990</v>
      </c>
      <c r="B396" t="s">
        <v>1319</v>
      </c>
      <c r="C396">
        <f t="shared" si="37"/>
        <v>16</v>
      </c>
      <c r="D396" t="str">
        <f t="shared" si="38"/>
        <v>Norm</v>
      </c>
      <c r="E396">
        <f t="shared" si="39"/>
        <v>2</v>
      </c>
      <c r="F396" t="str">
        <f t="shared" si="40"/>
        <v>C</v>
      </c>
      <c r="G396" s="115" t="s">
        <v>1321</v>
      </c>
      <c r="H396" s="54">
        <v>7267.89</v>
      </c>
      <c r="I396" s="54">
        <v>9256.25</v>
      </c>
      <c r="J396" s="115" t="s">
        <v>2265</v>
      </c>
      <c r="K396" t="str">
        <f t="shared" si="41"/>
        <v>C</v>
      </c>
      <c r="L396" s="173">
        <f t="shared" si="42"/>
        <v>4035.88</v>
      </c>
    </row>
    <row r="397" spans="1:12" x14ac:dyDescent="0.3">
      <c r="A397" t="s">
        <v>2991</v>
      </c>
      <c r="B397" t="s">
        <v>1326</v>
      </c>
      <c r="C397">
        <f t="shared" ref="C397:C460" si="43">LEN(B397)</f>
        <v>16</v>
      </c>
      <c r="D397" t="str">
        <f t="shared" ref="D397:D460" si="44">IF(LEFT(TRIM(A397),1)="(","Red.","Norm")</f>
        <v>Norm</v>
      </c>
      <c r="E397">
        <f t="shared" ref="E397:E460" si="45">LEFT(SUBSTITUTE(B397,"[","",1),1)+0</f>
        <v>2</v>
      </c>
      <c r="F397" t="str">
        <f t="shared" ref="F397:F460" si="46">IF(AND(OR(E397=1,E397=3,E397=5),D397="Norm"),"D",
IF(AND(OR(E397=1,E397=3,E397=5),D397="Red."),"C",
IF(AND(OR(E397=2,E397=4,E397=6),D397="Norm"),"C",
IF(AND(OR(E397=2,E397=4,E397=6),D397="Red."),"D"))))</f>
        <v>C</v>
      </c>
      <c r="G397" s="115" t="s">
        <v>884</v>
      </c>
      <c r="H397" s="54">
        <v>131551.67000000001</v>
      </c>
      <c r="I397" s="54">
        <v>131551.67000000001</v>
      </c>
      <c r="J397" s="115" t="s">
        <v>884</v>
      </c>
      <c r="K397" t="str">
        <f t="shared" si="41"/>
        <v>C</v>
      </c>
      <c r="L397" s="173">
        <f t="shared" si="42"/>
        <v>0</v>
      </c>
    </row>
    <row r="398" spans="1:12" x14ac:dyDescent="0.3">
      <c r="A398" t="s">
        <v>2992</v>
      </c>
      <c r="B398" t="s">
        <v>1328</v>
      </c>
      <c r="C398">
        <f t="shared" si="43"/>
        <v>16</v>
      </c>
      <c r="D398" t="str">
        <f t="shared" si="44"/>
        <v>Norm</v>
      </c>
      <c r="E398">
        <f t="shared" si="45"/>
        <v>2</v>
      </c>
      <c r="F398" t="str">
        <f t="shared" si="46"/>
        <v>C</v>
      </c>
      <c r="G398" s="115" t="s">
        <v>1330</v>
      </c>
      <c r="H398" s="54">
        <v>39162.17</v>
      </c>
      <c r="I398" s="54">
        <v>38660.44</v>
      </c>
      <c r="J398" s="115" t="s">
        <v>884</v>
      </c>
      <c r="K398" t="str">
        <f t="shared" si="41"/>
        <v>C</v>
      </c>
      <c r="L398" s="173">
        <f t="shared" si="42"/>
        <v>0</v>
      </c>
    </row>
    <row r="399" spans="1:12" x14ac:dyDescent="0.3">
      <c r="A399" t="s">
        <v>2993</v>
      </c>
      <c r="B399" t="s">
        <v>1332</v>
      </c>
      <c r="C399">
        <f t="shared" si="43"/>
        <v>16</v>
      </c>
      <c r="D399" t="str">
        <f t="shared" si="44"/>
        <v>Norm</v>
      </c>
      <c r="E399">
        <f t="shared" si="45"/>
        <v>2</v>
      </c>
      <c r="F399" t="str">
        <f t="shared" si="46"/>
        <v>C</v>
      </c>
      <c r="G399" s="115" t="s">
        <v>1334</v>
      </c>
      <c r="H399" s="54">
        <v>81682.960000000006</v>
      </c>
      <c r="I399" s="54">
        <v>82832.66</v>
      </c>
      <c r="J399" s="115" t="s">
        <v>2266</v>
      </c>
      <c r="K399" t="str">
        <f t="shared" si="41"/>
        <v>C</v>
      </c>
      <c r="L399" s="173">
        <f t="shared" si="42"/>
        <v>13137.42</v>
      </c>
    </row>
    <row r="400" spans="1:12" x14ac:dyDescent="0.3">
      <c r="A400" t="s">
        <v>2994</v>
      </c>
      <c r="B400" t="s">
        <v>1336</v>
      </c>
      <c r="C400">
        <f t="shared" si="43"/>
        <v>16</v>
      </c>
      <c r="D400" t="str">
        <f t="shared" si="44"/>
        <v>Norm</v>
      </c>
      <c r="E400">
        <f t="shared" si="45"/>
        <v>2</v>
      </c>
      <c r="F400" t="str">
        <f t="shared" si="46"/>
        <v>C</v>
      </c>
      <c r="G400" s="115" t="s">
        <v>884</v>
      </c>
      <c r="H400" s="54">
        <v>259589.88</v>
      </c>
      <c r="I400" s="54">
        <v>259589.88</v>
      </c>
      <c r="J400" s="115" t="s">
        <v>884</v>
      </c>
      <c r="K400" t="str">
        <f t="shared" si="41"/>
        <v>C</v>
      </c>
      <c r="L400" s="173">
        <f t="shared" si="42"/>
        <v>0</v>
      </c>
    </row>
    <row r="401" spans="1:12" x14ac:dyDescent="0.3">
      <c r="A401" t="s">
        <v>2995</v>
      </c>
      <c r="B401" t="s">
        <v>1338</v>
      </c>
      <c r="C401">
        <f t="shared" si="43"/>
        <v>16</v>
      </c>
      <c r="D401" t="str">
        <f t="shared" si="44"/>
        <v>Norm</v>
      </c>
      <c r="E401">
        <f t="shared" si="45"/>
        <v>2</v>
      </c>
      <c r="F401" t="str">
        <f t="shared" si="46"/>
        <v>C</v>
      </c>
      <c r="G401" s="115" t="s">
        <v>1340</v>
      </c>
      <c r="H401" s="54">
        <v>43765.55</v>
      </c>
      <c r="I401" s="54">
        <v>38250.1</v>
      </c>
      <c r="J401" s="115" t="s">
        <v>2267</v>
      </c>
      <c r="K401" t="str">
        <f t="shared" si="41"/>
        <v>C</v>
      </c>
      <c r="L401" s="173">
        <f t="shared" si="42"/>
        <v>12751.49</v>
      </c>
    </row>
    <row r="402" spans="1:12" x14ac:dyDescent="0.3">
      <c r="A402" t="s">
        <v>2996</v>
      </c>
      <c r="B402" t="s">
        <v>1342</v>
      </c>
      <c r="C402">
        <f t="shared" si="43"/>
        <v>11</v>
      </c>
      <c r="D402" t="str">
        <f t="shared" si="44"/>
        <v>Norm</v>
      </c>
      <c r="E402">
        <f t="shared" si="45"/>
        <v>2</v>
      </c>
      <c r="F402" t="str">
        <f t="shared" si="46"/>
        <v>C</v>
      </c>
      <c r="G402" s="115" t="s">
        <v>1344</v>
      </c>
      <c r="H402" s="54">
        <v>2537082.37</v>
      </c>
      <c r="I402" s="54">
        <v>2783911.45</v>
      </c>
      <c r="J402" s="115" t="s">
        <v>2997</v>
      </c>
      <c r="K402" t="str">
        <f t="shared" si="41"/>
        <v>C</v>
      </c>
      <c r="L402" s="173">
        <f t="shared" si="42"/>
        <v>1106996.53</v>
      </c>
    </row>
    <row r="403" spans="1:12" x14ac:dyDescent="0.3">
      <c r="A403" t="s">
        <v>2998</v>
      </c>
      <c r="B403" t="s">
        <v>1346</v>
      </c>
      <c r="C403">
        <f t="shared" si="43"/>
        <v>16</v>
      </c>
      <c r="D403" t="str">
        <f t="shared" si="44"/>
        <v>Norm</v>
      </c>
      <c r="E403">
        <f t="shared" si="45"/>
        <v>2</v>
      </c>
      <c r="F403" t="str">
        <f t="shared" si="46"/>
        <v>C</v>
      </c>
      <c r="G403" s="115" t="s">
        <v>1348</v>
      </c>
      <c r="H403" s="54">
        <v>215408.7</v>
      </c>
      <c r="I403" s="54">
        <v>179490.65</v>
      </c>
      <c r="J403" s="115" t="s">
        <v>2268</v>
      </c>
      <c r="K403" t="str">
        <f t="shared" si="41"/>
        <v>C</v>
      </c>
      <c r="L403" s="173">
        <f t="shared" si="42"/>
        <v>169107.74</v>
      </c>
    </row>
    <row r="404" spans="1:12" x14ac:dyDescent="0.3">
      <c r="A404" t="s">
        <v>2999</v>
      </c>
      <c r="B404" t="s">
        <v>1350</v>
      </c>
      <c r="C404">
        <f t="shared" si="43"/>
        <v>16</v>
      </c>
      <c r="D404" t="str">
        <f t="shared" si="44"/>
        <v>Norm</v>
      </c>
      <c r="E404">
        <f t="shared" si="45"/>
        <v>2</v>
      </c>
      <c r="F404" t="str">
        <f t="shared" si="46"/>
        <v>C</v>
      </c>
      <c r="G404" s="115" t="s">
        <v>1352</v>
      </c>
      <c r="H404" s="54">
        <v>95375.52</v>
      </c>
      <c r="I404" s="54">
        <v>79472.070000000007</v>
      </c>
      <c r="J404" s="115" t="s">
        <v>2269</v>
      </c>
      <c r="K404" t="str">
        <f t="shared" si="41"/>
        <v>C</v>
      </c>
      <c r="L404" s="173">
        <f t="shared" si="42"/>
        <v>74874.75</v>
      </c>
    </row>
    <row r="405" spans="1:12" x14ac:dyDescent="0.3">
      <c r="A405" t="s">
        <v>3000</v>
      </c>
      <c r="B405" t="s">
        <v>1354</v>
      </c>
      <c r="C405">
        <f t="shared" si="43"/>
        <v>16</v>
      </c>
      <c r="D405" t="str">
        <f t="shared" si="44"/>
        <v>Norm</v>
      </c>
      <c r="E405">
        <f t="shared" si="45"/>
        <v>2</v>
      </c>
      <c r="F405" t="str">
        <f t="shared" si="46"/>
        <v>C</v>
      </c>
      <c r="G405" s="115" t="s">
        <v>1356</v>
      </c>
      <c r="H405" s="54">
        <v>157925.41</v>
      </c>
      <c r="I405" s="54">
        <v>131592.9</v>
      </c>
      <c r="J405" s="115" t="s">
        <v>2270</v>
      </c>
      <c r="K405" t="str">
        <f t="shared" si="41"/>
        <v>C</v>
      </c>
      <c r="L405" s="173">
        <f t="shared" si="42"/>
        <v>123981.29</v>
      </c>
    </row>
    <row r="406" spans="1:12" x14ac:dyDescent="0.3">
      <c r="A406" t="s">
        <v>3001</v>
      </c>
      <c r="B406" t="s">
        <v>1358</v>
      </c>
      <c r="C406">
        <f t="shared" si="43"/>
        <v>16</v>
      </c>
      <c r="D406" t="str">
        <f t="shared" si="44"/>
        <v>Norm</v>
      </c>
      <c r="E406">
        <f t="shared" si="45"/>
        <v>2</v>
      </c>
      <c r="F406" t="str">
        <f t="shared" si="46"/>
        <v>C</v>
      </c>
      <c r="G406" s="115" t="s">
        <v>1360</v>
      </c>
      <c r="H406" s="54">
        <v>65146.15</v>
      </c>
      <c r="I406" s="54">
        <v>71362.7</v>
      </c>
      <c r="J406" s="115" t="s">
        <v>2271</v>
      </c>
      <c r="K406" t="str">
        <f t="shared" si="41"/>
        <v>C</v>
      </c>
      <c r="L406" s="173">
        <f t="shared" si="42"/>
        <v>68307.31</v>
      </c>
    </row>
    <row r="407" spans="1:12" x14ac:dyDescent="0.3">
      <c r="A407" t="s">
        <v>3002</v>
      </c>
      <c r="B407" t="s">
        <v>1362</v>
      </c>
      <c r="C407">
        <f t="shared" si="43"/>
        <v>16</v>
      </c>
      <c r="D407" t="str">
        <f t="shared" si="44"/>
        <v>Norm</v>
      </c>
      <c r="E407">
        <f t="shared" si="45"/>
        <v>2</v>
      </c>
      <c r="F407" t="str">
        <f t="shared" si="46"/>
        <v>C</v>
      </c>
      <c r="G407" s="115" t="s">
        <v>1363</v>
      </c>
      <c r="H407" s="54">
        <v>653308.51</v>
      </c>
      <c r="I407" s="54">
        <v>688696.43</v>
      </c>
      <c r="J407" s="115" t="s">
        <v>2272</v>
      </c>
      <c r="K407" t="str">
        <f t="shared" si="41"/>
        <v>C</v>
      </c>
      <c r="L407" s="173">
        <f t="shared" si="42"/>
        <v>357607</v>
      </c>
    </row>
    <row r="408" spans="1:12" x14ac:dyDescent="0.3">
      <c r="A408" t="s">
        <v>3003</v>
      </c>
      <c r="B408" t="s">
        <v>1365</v>
      </c>
      <c r="C408">
        <f t="shared" si="43"/>
        <v>16</v>
      </c>
      <c r="D408" t="str">
        <f t="shared" si="44"/>
        <v>Norm</v>
      </c>
      <c r="E408">
        <f t="shared" si="45"/>
        <v>2</v>
      </c>
      <c r="F408" t="str">
        <f t="shared" si="46"/>
        <v>C</v>
      </c>
      <c r="G408" s="115" t="s">
        <v>1366</v>
      </c>
      <c r="H408" s="54">
        <v>33073.440000000002</v>
      </c>
      <c r="I408" s="54">
        <v>35147.06</v>
      </c>
      <c r="J408" s="115" t="s">
        <v>2273</v>
      </c>
      <c r="K408" t="str">
        <f t="shared" si="41"/>
        <v>C</v>
      </c>
      <c r="L408" s="173">
        <f t="shared" si="42"/>
        <v>31813.439999999999</v>
      </c>
    </row>
    <row r="409" spans="1:12" x14ac:dyDescent="0.3">
      <c r="A409" t="s">
        <v>3004</v>
      </c>
      <c r="B409" t="s">
        <v>2274</v>
      </c>
      <c r="C409">
        <f t="shared" si="43"/>
        <v>16</v>
      </c>
      <c r="D409" t="str">
        <f t="shared" si="44"/>
        <v>Norm</v>
      </c>
      <c r="E409">
        <f t="shared" si="45"/>
        <v>2</v>
      </c>
      <c r="F409" t="str">
        <f t="shared" si="46"/>
        <v>C</v>
      </c>
      <c r="G409" s="115" t="s">
        <v>884</v>
      </c>
      <c r="H409" s="54">
        <v>1316844.6399999999</v>
      </c>
      <c r="I409" s="54">
        <v>1598149.64</v>
      </c>
      <c r="J409" s="115" t="s">
        <v>2275</v>
      </c>
      <c r="K409" t="str">
        <f t="shared" si="41"/>
        <v>C</v>
      </c>
      <c r="L409" s="173">
        <f t="shared" si="42"/>
        <v>281305</v>
      </c>
    </row>
    <row r="410" spans="1:12" x14ac:dyDescent="0.3">
      <c r="A410" t="s">
        <v>3005</v>
      </c>
      <c r="B410" t="s">
        <v>1368</v>
      </c>
      <c r="C410">
        <f t="shared" si="43"/>
        <v>8</v>
      </c>
      <c r="D410" t="str">
        <f t="shared" si="44"/>
        <v>Norm</v>
      </c>
      <c r="E410">
        <f t="shared" si="45"/>
        <v>2</v>
      </c>
      <c r="F410" t="str">
        <f t="shared" si="46"/>
        <v>C</v>
      </c>
      <c r="G410" s="115" t="s">
        <v>1370</v>
      </c>
      <c r="H410" s="54">
        <v>8862250.3499999996</v>
      </c>
      <c r="I410" s="54">
        <v>11657548.98</v>
      </c>
      <c r="J410" s="115" t="s">
        <v>3006</v>
      </c>
      <c r="K410" t="str">
        <f t="shared" si="41"/>
        <v>C</v>
      </c>
      <c r="L410" s="173">
        <f t="shared" si="42"/>
        <v>8829616.7599999998</v>
      </c>
    </row>
    <row r="411" spans="1:12" x14ac:dyDescent="0.3">
      <c r="A411" t="s">
        <v>3007</v>
      </c>
      <c r="B411" t="s">
        <v>1372</v>
      </c>
      <c r="C411">
        <f t="shared" si="43"/>
        <v>11</v>
      </c>
      <c r="D411" t="str">
        <f t="shared" si="44"/>
        <v>Norm</v>
      </c>
      <c r="E411">
        <f t="shared" si="45"/>
        <v>2</v>
      </c>
      <c r="F411" t="str">
        <f t="shared" si="46"/>
        <v>C</v>
      </c>
      <c r="G411" s="115" t="s">
        <v>3008</v>
      </c>
      <c r="H411" s="54">
        <v>5293979.25</v>
      </c>
      <c r="I411" s="54">
        <v>8089277.8799999999</v>
      </c>
      <c r="J411" s="115" t="s">
        <v>3009</v>
      </c>
      <c r="K411" t="str">
        <f t="shared" si="41"/>
        <v>C</v>
      </c>
      <c r="L411" s="173">
        <f t="shared" si="42"/>
        <v>8816189.5700000003</v>
      </c>
    </row>
    <row r="412" spans="1:12" x14ac:dyDescent="0.3">
      <c r="A412" t="s">
        <v>3010</v>
      </c>
      <c r="B412" t="s">
        <v>1375</v>
      </c>
      <c r="C412">
        <f t="shared" si="43"/>
        <v>16</v>
      </c>
      <c r="D412" t="str">
        <f t="shared" si="44"/>
        <v>Norm</v>
      </c>
      <c r="E412">
        <f t="shared" si="45"/>
        <v>2</v>
      </c>
      <c r="F412" t="str">
        <f t="shared" si="46"/>
        <v>C</v>
      </c>
      <c r="G412" s="115" t="s">
        <v>1376</v>
      </c>
      <c r="H412" s="115">
        <v>0</v>
      </c>
      <c r="I412" s="54">
        <v>2795183.63</v>
      </c>
      <c r="J412" s="115" t="s">
        <v>2276</v>
      </c>
      <c r="K412" t="str">
        <f t="shared" si="41"/>
        <v>C</v>
      </c>
      <c r="L412" s="173">
        <f t="shared" si="42"/>
        <v>5896347.0700000003</v>
      </c>
    </row>
    <row r="413" spans="1:12" x14ac:dyDescent="0.3">
      <c r="A413" t="s">
        <v>3011</v>
      </c>
      <c r="B413" t="s">
        <v>1381</v>
      </c>
      <c r="C413">
        <f t="shared" si="43"/>
        <v>16</v>
      </c>
      <c r="D413" t="str">
        <f t="shared" si="44"/>
        <v>Norm</v>
      </c>
      <c r="E413">
        <f t="shared" si="45"/>
        <v>2</v>
      </c>
      <c r="F413" t="str">
        <f t="shared" si="46"/>
        <v>C</v>
      </c>
      <c r="G413" s="115" t="s">
        <v>1382</v>
      </c>
      <c r="H413" s="115">
        <v>0</v>
      </c>
      <c r="I413" s="115">
        <v>0</v>
      </c>
      <c r="J413" s="115" t="s">
        <v>1382</v>
      </c>
      <c r="K413" t="str">
        <f t="shared" si="41"/>
        <v>C</v>
      </c>
      <c r="L413" s="173">
        <f t="shared" si="42"/>
        <v>2808928.22</v>
      </c>
    </row>
    <row r="414" spans="1:12" x14ac:dyDescent="0.3">
      <c r="A414" t="s">
        <v>3012</v>
      </c>
      <c r="B414" t="s">
        <v>1384</v>
      </c>
      <c r="C414">
        <f t="shared" si="43"/>
        <v>16</v>
      </c>
      <c r="D414" t="str">
        <f t="shared" si="44"/>
        <v>Norm</v>
      </c>
      <c r="E414">
        <f t="shared" si="45"/>
        <v>2</v>
      </c>
      <c r="F414" t="str">
        <f t="shared" si="46"/>
        <v>C</v>
      </c>
      <c r="G414" s="115">
        <v>0</v>
      </c>
      <c r="H414" s="54">
        <v>5293979.25</v>
      </c>
      <c r="I414" s="54">
        <v>5294094.25</v>
      </c>
      <c r="J414" s="115" t="s">
        <v>3013</v>
      </c>
      <c r="K414" t="str">
        <f t="shared" si="41"/>
        <v>C</v>
      </c>
      <c r="L414" s="173">
        <f t="shared" si="42"/>
        <v>115</v>
      </c>
    </row>
    <row r="415" spans="1:12" x14ac:dyDescent="0.3">
      <c r="A415" t="s">
        <v>3014</v>
      </c>
      <c r="B415" t="s">
        <v>1386</v>
      </c>
      <c r="C415">
        <f t="shared" si="43"/>
        <v>16</v>
      </c>
      <c r="D415" t="str">
        <f t="shared" si="44"/>
        <v>Norm</v>
      </c>
      <c r="E415">
        <f t="shared" si="45"/>
        <v>2</v>
      </c>
      <c r="F415" t="str">
        <f t="shared" si="46"/>
        <v>C</v>
      </c>
      <c r="G415" s="115" t="s">
        <v>1387</v>
      </c>
      <c r="H415" s="115">
        <v>0</v>
      </c>
      <c r="I415" s="115">
        <v>0</v>
      </c>
      <c r="J415" s="115" t="s">
        <v>1387</v>
      </c>
      <c r="K415" t="str">
        <f t="shared" si="41"/>
        <v>C</v>
      </c>
      <c r="L415" s="173">
        <f t="shared" si="42"/>
        <v>110799.28</v>
      </c>
    </row>
    <row r="416" spans="1:12" x14ac:dyDescent="0.3">
      <c r="A416" t="s">
        <v>3015</v>
      </c>
      <c r="B416" t="s">
        <v>1389</v>
      </c>
      <c r="C416">
        <f t="shared" si="43"/>
        <v>11</v>
      </c>
      <c r="D416" t="str">
        <f t="shared" si="44"/>
        <v>Norm</v>
      </c>
      <c r="E416">
        <f t="shared" si="45"/>
        <v>2</v>
      </c>
      <c r="F416" t="str">
        <f t="shared" si="46"/>
        <v>C</v>
      </c>
      <c r="G416" s="115" t="s">
        <v>1394</v>
      </c>
      <c r="H416" s="115">
        <v>0</v>
      </c>
      <c r="I416" s="115">
        <v>0</v>
      </c>
      <c r="J416" s="115" t="s">
        <v>1394</v>
      </c>
      <c r="K416" t="str">
        <f t="shared" si="41"/>
        <v>C</v>
      </c>
      <c r="L416" s="173">
        <f t="shared" si="42"/>
        <v>13427.19</v>
      </c>
    </row>
    <row r="417" spans="1:12" x14ac:dyDescent="0.3">
      <c r="A417" t="s">
        <v>3016</v>
      </c>
      <c r="B417" t="s">
        <v>1392</v>
      </c>
      <c r="C417">
        <f t="shared" si="43"/>
        <v>16</v>
      </c>
      <c r="D417" t="str">
        <f t="shared" si="44"/>
        <v>Norm</v>
      </c>
      <c r="E417">
        <f t="shared" si="45"/>
        <v>2</v>
      </c>
      <c r="F417" t="str">
        <f t="shared" si="46"/>
        <v>C</v>
      </c>
      <c r="G417" s="115" t="s">
        <v>1394</v>
      </c>
      <c r="H417" s="115">
        <v>0</v>
      </c>
      <c r="I417" s="115">
        <v>0</v>
      </c>
      <c r="J417" s="115" t="s">
        <v>1394</v>
      </c>
      <c r="K417" t="str">
        <f t="shared" si="41"/>
        <v>C</v>
      </c>
      <c r="L417" s="173">
        <f t="shared" si="42"/>
        <v>13427.19</v>
      </c>
    </row>
    <row r="418" spans="1:12" x14ac:dyDescent="0.3">
      <c r="A418" t="s">
        <v>3017</v>
      </c>
      <c r="B418" t="s">
        <v>1396</v>
      </c>
      <c r="C418">
        <f t="shared" si="43"/>
        <v>11</v>
      </c>
      <c r="D418" t="str">
        <f t="shared" si="44"/>
        <v>Norm</v>
      </c>
      <c r="E418">
        <f t="shared" si="45"/>
        <v>2</v>
      </c>
      <c r="F418" t="str">
        <f t="shared" si="46"/>
        <v>C</v>
      </c>
      <c r="G418" s="115">
        <v>0</v>
      </c>
      <c r="H418" s="54">
        <v>3568271.1</v>
      </c>
      <c r="I418" s="54">
        <v>3568271.1</v>
      </c>
      <c r="J418" s="115">
        <v>0</v>
      </c>
      <c r="K418" t="str">
        <f t="shared" si="41"/>
        <v>0</v>
      </c>
      <c r="L418" s="173">
        <f t="shared" si="42"/>
        <v>0</v>
      </c>
    </row>
    <row r="419" spans="1:12" x14ac:dyDescent="0.3">
      <c r="A419" t="s">
        <v>3018</v>
      </c>
      <c r="B419" t="s">
        <v>1398</v>
      </c>
      <c r="C419">
        <f t="shared" si="43"/>
        <v>16</v>
      </c>
      <c r="D419" t="str">
        <f t="shared" si="44"/>
        <v>Norm</v>
      </c>
      <c r="E419">
        <f t="shared" si="45"/>
        <v>2</v>
      </c>
      <c r="F419" t="str">
        <f t="shared" si="46"/>
        <v>C</v>
      </c>
      <c r="G419" s="115">
        <v>0</v>
      </c>
      <c r="H419" s="54">
        <v>3568271.1</v>
      </c>
      <c r="I419" s="54">
        <v>3568271.1</v>
      </c>
      <c r="J419" s="115">
        <v>0</v>
      </c>
      <c r="K419" t="str">
        <f t="shared" si="41"/>
        <v>0</v>
      </c>
      <c r="L419" s="173">
        <f t="shared" si="42"/>
        <v>0</v>
      </c>
    </row>
    <row r="420" spans="1:12" x14ac:dyDescent="0.3">
      <c r="A420" t="s">
        <v>3019</v>
      </c>
      <c r="B420" t="s">
        <v>1400</v>
      </c>
      <c r="C420">
        <f t="shared" si="43"/>
        <v>8</v>
      </c>
      <c r="D420" t="str">
        <f t="shared" si="44"/>
        <v>Norm</v>
      </c>
      <c r="E420">
        <f t="shared" si="45"/>
        <v>2</v>
      </c>
      <c r="F420" t="str">
        <f t="shared" si="46"/>
        <v>C</v>
      </c>
      <c r="G420" s="115" t="s">
        <v>1404</v>
      </c>
      <c r="H420" s="54">
        <v>608605.5</v>
      </c>
      <c r="I420" s="54">
        <v>269677.15000000002</v>
      </c>
      <c r="J420" s="115" t="s">
        <v>3020</v>
      </c>
      <c r="K420" t="str">
        <f t="shared" si="41"/>
        <v>C</v>
      </c>
      <c r="L420" s="173">
        <f t="shared" si="42"/>
        <v>188783.22</v>
      </c>
    </row>
    <row r="421" spans="1:12" x14ac:dyDescent="0.3">
      <c r="A421" t="s">
        <v>3021</v>
      </c>
      <c r="B421" t="s">
        <v>1403</v>
      </c>
      <c r="C421">
        <f t="shared" si="43"/>
        <v>11</v>
      </c>
      <c r="D421" t="str">
        <f t="shared" si="44"/>
        <v>Norm</v>
      </c>
      <c r="E421">
        <f t="shared" si="45"/>
        <v>2</v>
      </c>
      <c r="F421" t="str">
        <f t="shared" si="46"/>
        <v>C</v>
      </c>
      <c r="G421" s="115" t="s">
        <v>1404</v>
      </c>
      <c r="H421" s="54">
        <v>608605.5</v>
      </c>
      <c r="I421" s="54">
        <v>269677.15000000002</v>
      </c>
      <c r="J421" s="115" t="s">
        <v>3020</v>
      </c>
      <c r="K421" t="str">
        <f t="shared" si="41"/>
        <v>C</v>
      </c>
      <c r="L421" s="173">
        <f t="shared" si="42"/>
        <v>188783.22</v>
      </c>
    </row>
    <row r="422" spans="1:12" x14ac:dyDescent="0.3">
      <c r="A422" t="s">
        <v>3022</v>
      </c>
      <c r="B422" t="s">
        <v>1406</v>
      </c>
      <c r="C422">
        <f t="shared" si="43"/>
        <v>16</v>
      </c>
      <c r="D422" t="str">
        <f t="shared" si="44"/>
        <v>Norm</v>
      </c>
      <c r="E422">
        <f t="shared" si="45"/>
        <v>2</v>
      </c>
      <c r="F422" t="str">
        <f t="shared" si="46"/>
        <v>C</v>
      </c>
      <c r="G422" s="115" t="s">
        <v>1408</v>
      </c>
      <c r="H422" s="54">
        <v>70518.3</v>
      </c>
      <c r="I422" s="115">
        <v>0</v>
      </c>
      <c r="J422" s="115" t="s">
        <v>884</v>
      </c>
      <c r="K422" t="str">
        <f t="shared" si="41"/>
        <v>C</v>
      </c>
      <c r="L422" s="173">
        <f t="shared" si="42"/>
        <v>0</v>
      </c>
    </row>
    <row r="423" spans="1:12" x14ac:dyDescent="0.3">
      <c r="A423" t="s">
        <v>3023</v>
      </c>
      <c r="B423" t="s">
        <v>1410</v>
      </c>
      <c r="C423">
        <f t="shared" si="43"/>
        <v>16</v>
      </c>
      <c r="D423" t="str">
        <f t="shared" si="44"/>
        <v>Norm</v>
      </c>
      <c r="E423">
        <f t="shared" si="45"/>
        <v>2</v>
      </c>
      <c r="F423" t="str">
        <f t="shared" si="46"/>
        <v>C</v>
      </c>
      <c r="G423" s="115" t="s">
        <v>1411</v>
      </c>
      <c r="H423" s="115">
        <v>0</v>
      </c>
      <c r="I423" s="115">
        <v>0</v>
      </c>
      <c r="J423" s="115" t="s">
        <v>1411</v>
      </c>
      <c r="K423" t="str">
        <f t="shared" si="41"/>
        <v>C</v>
      </c>
      <c r="L423" s="173">
        <f t="shared" si="42"/>
        <v>797.56</v>
      </c>
    </row>
    <row r="424" spans="1:12" x14ac:dyDescent="0.3">
      <c r="A424" t="s">
        <v>3024</v>
      </c>
      <c r="B424" t="s">
        <v>1413</v>
      </c>
      <c r="C424">
        <f t="shared" si="43"/>
        <v>16</v>
      </c>
      <c r="D424" t="str">
        <f t="shared" si="44"/>
        <v>Norm</v>
      </c>
      <c r="E424">
        <f t="shared" si="45"/>
        <v>2</v>
      </c>
      <c r="F424" t="str">
        <f t="shared" si="46"/>
        <v>C</v>
      </c>
      <c r="G424" s="115" t="s">
        <v>1414</v>
      </c>
      <c r="H424" s="54">
        <v>176847.83</v>
      </c>
      <c r="I424" s="54">
        <v>201411.13</v>
      </c>
      <c r="J424" s="115" t="s">
        <v>2277</v>
      </c>
      <c r="K424" t="str">
        <f t="shared" si="41"/>
        <v>C</v>
      </c>
      <c r="L424" s="173">
        <f t="shared" si="42"/>
        <v>187985.66</v>
      </c>
    </row>
    <row r="425" spans="1:12" x14ac:dyDescent="0.3">
      <c r="A425" t="s">
        <v>3025</v>
      </c>
      <c r="B425" t="s">
        <v>1416</v>
      </c>
      <c r="C425">
        <f t="shared" si="43"/>
        <v>16</v>
      </c>
      <c r="D425" t="str">
        <f t="shared" si="44"/>
        <v>Norm</v>
      </c>
      <c r="E425">
        <f t="shared" si="45"/>
        <v>2</v>
      </c>
      <c r="F425" t="str">
        <f t="shared" si="46"/>
        <v>C</v>
      </c>
      <c r="G425" s="115" t="s">
        <v>1417</v>
      </c>
      <c r="H425" s="54">
        <v>361239.37</v>
      </c>
      <c r="I425" s="54">
        <v>68266.02</v>
      </c>
      <c r="J425" s="115">
        <v>0</v>
      </c>
      <c r="K425" t="str">
        <f t="shared" si="41"/>
        <v>0</v>
      </c>
      <c r="L425" s="173">
        <f t="shared" si="42"/>
        <v>0</v>
      </c>
    </row>
    <row r="426" spans="1:12" x14ac:dyDescent="0.3">
      <c r="A426" t="s">
        <v>3026</v>
      </c>
      <c r="B426" t="s">
        <v>1419</v>
      </c>
      <c r="C426">
        <f t="shared" si="43"/>
        <v>8</v>
      </c>
      <c r="D426" t="str">
        <f t="shared" si="44"/>
        <v>Norm</v>
      </c>
      <c r="E426">
        <f t="shared" si="45"/>
        <v>2</v>
      </c>
      <c r="F426" t="str">
        <f t="shared" si="46"/>
        <v>C</v>
      </c>
      <c r="G426" s="115" t="s">
        <v>1423</v>
      </c>
      <c r="H426" s="54">
        <v>1602116.2</v>
      </c>
      <c r="I426" s="54">
        <v>1733421.27</v>
      </c>
      <c r="J426" s="115" t="s">
        <v>3027</v>
      </c>
      <c r="K426" t="str">
        <f t="shared" si="41"/>
        <v>C</v>
      </c>
      <c r="L426" s="173">
        <f t="shared" si="42"/>
        <v>1003895.78</v>
      </c>
    </row>
    <row r="427" spans="1:12" x14ac:dyDescent="0.3">
      <c r="A427" t="s">
        <v>3028</v>
      </c>
      <c r="B427" t="s">
        <v>1422</v>
      </c>
      <c r="C427">
        <f t="shared" si="43"/>
        <v>11</v>
      </c>
      <c r="D427" t="str">
        <f t="shared" si="44"/>
        <v>Norm</v>
      </c>
      <c r="E427">
        <f t="shared" si="45"/>
        <v>2</v>
      </c>
      <c r="F427" t="str">
        <f t="shared" si="46"/>
        <v>C</v>
      </c>
      <c r="G427" s="115" t="s">
        <v>1423</v>
      </c>
      <c r="H427" s="54">
        <v>1602116.2</v>
      </c>
      <c r="I427" s="54">
        <v>1733421.27</v>
      </c>
      <c r="J427" s="115" t="s">
        <v>3027</v>
      </c>
      <c r="K427" t="str">
        <f t="shared" si="41"/>
        <v>C</v>
      </c>
      <c r="L427" s="173">
        <f t="shared" si="42"/>
        <v>1003895.78</v>
      </c>
    </row>
    <row r="428" spans="1:12" x14ac:dyDescent="0.3">
      <c r="A428" t="s">
        <v>3029</v>
      </c>
      <c r="B428" t="s">
        <v>1425</v>
      </c>
      <c r="C428">
        <f t="shared" si="43"/>
        <v>16</v>
      </c>
      <c r="D428" t="str">
        <f t="shared" si="44"/>
        <v>Norm</v>
      </c>
      <c r="E428">
        <f t="shared" si="45"/>
        <v>2</v>
      </c>
      <c r="F428" t="str">
        <f t="shared" si="46"/>
        <v>C</v>
      </c>
      <c r="G428" s="115" t="s">
        <v>1427</v>
      </c>
      <c r="H428" s="54">
        <v>753097</v>
      </c>
      <c r="I428" s="54">
        <v>849663.51</v>
      </c>
      <c r="J428" s="115" t="s">
        <v>2278</v>
      </c>
      <c r="K428" t="str">
        <f t="shared" si="41"/>
        <v>C</v>
      </c>
      <c r="L428" s="173">
        <f t="shared" si="42"/>
        <v>774582.94</v>
      </c>
    </row>
    <row r="429" spans="1:12" x14ac:dyDescent="0.3">
      <c r="A429" t="s">
        <v>3030</v>
      </c>
      <c r="B429" t="s">
        <v>1429</v>
      </c>
      <c r="C429">
        <f t="shared" si="43"/>
        <v>16</v>
      </c>
      <c r="D429" t="str">
        <f t="shared" si="44"/>
        <v>Norm</v>
      </c>
      <c r="E429">
        <f t="shared" si="45"/>
        <v>2</v>
      </c>
      <c r="F429" t="str">
        <f t="shared" si="46"/>
        <v>C</v>
      </c>
      <c r="G429" s="115" t="s">
        <v>1431</v>
      </c>
      <c r="H429" s="54">
        <v>44005.01</v>
      </c>
      <c r="I429" s="54">
        <v>78743.570000000007</v>
      </c>
      <c r="J429" s="115" t="s">
        <v>2279</v>
      </c>
      <c r="K429" t="str">
        <f t="shared" si="41"/>
        <v>C</v>
      </c>
      <c r="L429" s="173">
        <f t="shared" si="42"/>
        <v>229312.84</v>
      </c>
    </row>
    <row r="430" spans="1:12" x14ac:dyDescent="0.3">
      <c r="A430" t="s">
        <v>3031</v>
      </c>
      <c r="B430" t="s">
        <v>1433</v>
      </c>
      <c r="C430">
        <f t="shared" si="43"/>
        <v>16</v>
      </c>
      <c r="D430" t="str">
        <f t="shared" si="44"/>
        <v>Norm</v>
      </c>
      <c r="E430">
        <f t="shared" si="45"/>
        <v>2</v>
      </c>
      <c r="F430" t="str">
        <f t="shared" si="46"/>
        <v>C</v>
      </c>
      <c r="G430" s="115" t="s">
        <v>884</v>
      </c>
      <c r="H430" s="54">
        <v>535943.18999999994</v>
      </c>
      <c r="I430" s="54">
        <v>535943.18999999994</v>
      </c>
      <c r="J430" s="115" t="s">
        <v>884</v>
      </c>
      <c r="K430" t="str">
        <f t="shared" si="41"/>
        <v>C</v>
      </c>
      <c r="L430" s="173">
        <f t="shared" si="42"/>
        <v>0</v>
      </c>
    </row>
    <row r="431" spans="1:12" x14ac:dyDescent="0.3">
      <c r="A431" t="s">
        <v>3032</v>
      </c>
      <c r="B431" t="s">
        <v>1435</v>
      </c>
      <c r="C431">
        <f t="shared" si="43"/>
        <v>16</v>
      </c>
      <c r="D431" t="str">
        <f t="shared" si="44"/>
        <v>Norm</v>
      </c>
      <c r="E431">
        <f t="shared" si="45"/>
        <v>2</v>
      </c>
      <c r="F431" t="str">
        <f t="shared" si="46"/>
        <v>C</v>
      </c>
      <c r="G431" s="115" t="s">
        <v>884</v>
      </c>
      <c r="H431" s="54">
        <v>269071</v>
      </c>
      <c r="I431" s="54">
        <v>269071</v>
      </c>
      <c r="J431" s="115" t="s">
        <v>884</v>
      </c>
      <c r="K431" t="str">
        <f t="shared" si="41"/>
        <v>C</v>
      </c>
      <c r="L431" s="173">
        <f t="shared" si="42"/>
        <v>0</v>
      </c>
    </row>
    <row r="432" spans="1:12" x14ac:dyDescent="0.3">
      <c r="A432" t="s">
        <v>3033</v>
      </c>
      <c r="B432" t="s">
        <v>1438</v>
      </c>
      <c r="C432">
        <f t="shared" si="43"/>
        <v>8</v>
      </c>
      <c r="D432" t="str">
        <f t="shared" si="44"/>
        <v>Norm</v>
      </c>
      <c r="E432">
        <f t="shared" si="45"/>
        <v>2</v>
      </c>
      <c r="F432" t="str">
        <f t="shared" si="46"/>
        <v>C</v>
      </c>
      <c r="G432" s="115" t="s">
        <v>1442</v>
      </c>
      <c r="H432" s="54">
        <v>703151.3</v>
      </c>
      <c r="I432" s="115">
        <v>0</v>
      </c>
      <c r="J432" s="115" t="s">
        <v>3034</v>
      </c>
      <c r="K432" t="str">
        <f t="shared" si="41"/>
        <v>C</v>
      </c>
      <c r="L432" s="173">
        <f t="shared" si="42"/>
        <v>2596139.36</v>
      </c>
    </row>
    <row r="433" spans="1:12" x14ac:dyDescent="0.3">
      <c r="A433" t="s">
        <v>3035</v>
      </c>
      <c r="B433" t="s">
        <v>1441</v>
      </c>
      <c r="C433">
        <f t="shared" si="43"/>
        <v>11</v>
      </c>
      <c r="D433" t="str">
        <f t="shared" si="44"/>
        <v>Norm</v>
      </c>
      <c r="E433">
        <f t="shared" si="45"/>
        <v>2</v>
      </c>
      <c r="F433" t="str">
        <f t="shared" si="46"/>
        <v>C</v>
      </c>
      <c r="G433" s="115" t="s">
        <v>1442</v>
      </c>
      <c r="H433" s="54">
        <v>703151.3</v>
      </c>
      <c r="I433" s="115">
        <v>0</v>
      </c>
      <c r="J433" s="115" t="s">
        <v>3034</v>
      </c>
      <c r="K433" t="str">
        <f t="shared" si="41"/>
        <v>C</v>
      </c>
      <c r="L433" s="173">
        <f t="shared" si="42"/>
        <v>2596139.36</v>
      </c>
    </row>
    <row r="434" spans="1:12" x14ac:dyDescent="0.3">
      <c r="A434" t="s">
        <v>3036</v>
      </c>
      <c r="B434" t="s">
        <v>1444</v>
      </c>
      <c r="C434">
        <f t="shared" si="43"/>
        <v>16</v>
      </c>
      <c r="D434" t="str">
        <f t="shared" si="44"/>
        <v>Norm</v>
      </c>
      <c r="E434">
        <f t="shared" si="45"/>
        <v>2</v>
      </c>
      <c r="F434" t="str">
        <f t="shared" si="46"/>
        <v>C</v>
      </c>
      <c r="G434" s="115" t="s">
        <v>1445</v>
      </c>
      <c r="H434" s="115">
        <v>0</v>
      </c>
      <c r="I434" s="115">
        <v>0</v>
      </c>
      <c r="J434" s="115" t="s">
        <v>1445</v>
      </c>
      <c r="K434" t="str">
        <f t="shared" si="41"/>
        <v>C</v>
      </c>
      <c r="L434" s="173">
        <f t="shared" si="42"/>
        <v>13247.77</v>
      </c>
    </row>
    <row r="435" spans="1:12" x14ac:dyDescent="0.3">
      <c r="A435" t="s">
        <v>3037</v>
      </c>
      <c r="B435" t="s">
        <v>1447</v>
      </c>
      <c r="C435">
        <f t="shared" si="43"/>
        <v>16</v>
      </c>
      <c r="D435" t="str">
        <f t="shared" si="44"/>
        <v>Norm</v>
      </c>
      <c r="E435">
        <f t="shared" si="45"/>
        <v>2</v>
      </c>
      <c r="F435" t="str">
        <f t="shared" si="46"/>
        <v>C</v>
      </c>
      <c r="G435" s="115" t="s">
        <v>1449</v>
      </c>
      <c r="H435" s="54">
        <v>703151.3</v>
      </c>
      <c r="I435" s="115">
        <v>0</v>
      </c>
      <c r="J435" s="115" t="s">
        <v>2280</v>
      </c>
      <c r="K435" t="str">
        <f t="shared" si="41"/>
        <v>C</v>
      </c>
      <c r="L435" s="173">
        <f t="shared" si="42"/>
        <v>2582891.59</v>
      </c>
    </row>
    <row r="436" spans="1:12" x14ac:dyDescent="0.3">
      <c r="A436" t="s">
        <v>3038</v>
      </c>
      <c r="B436" t="s">
        <v>1453</v>
      </c>
      <c r="C436">
        <f t="shared" si="43"/>
        <v>5</v>
      </c>
      <c r="D436" t="str">
        <f t="shared" si="44"/>
        <v>Norm</v>
      </c>
      <c r="E436">
        <f t="shared" si="45"/>
        <v>2</v>
      </c>
      <c r="F436" t="str">
        <f t="shared" si="46"/>
        <v>C</v>
      </c>
      <c r="G436" s="115" t="s">
        <v>1455</v>
      </c>
      <c r="H436" s="54">
        <v>14563838.84</v>
      </c>
      <c r="I436" s="54">
        <v>8218807.3300000001</v>
      </c>
      <c r="J436" s="115" t="s">
        <v>3039</v>
      </c>
      <c r="K436" t="str">
        <f t="shared" si="41"/>
        <v>C</v>
      </c>
      <c r="L436" s="173">
        <f t="shared" si="42"/>
        <v>48715220.960000001</v>
      </c>
    </row>
    <row r="437" spans="1:12" x14ac:dyDescent="0.3">
      <c r="A437" t="s">
        <v>3040</v>
      </c>
      <c r="B437" t="s">
        <v>1457</v>
      </c>
      <c r="C437">
        <f t="shared" si="43"/>
        <v>8</v>
      </c>
      <c r="D437" t="str">
        <f t="shared" si="44"/>
        <v>Norm</v>
      </c>
      <c r="E437">
        <f t="shared" si="45"/>
        <v>2</v>
      </c>
      <c r="F437" t="str">
        <f t="shared" si="46"/>
        <v>C</v>
      </c>
      <c r="G437" s="115" t="s">
        <v>1459</v>
      </c>
      <c r="H437" s="54">
        <v>1098162.78</v>
      </c>
      <c r="I437" s="54">
        <v>1135736.26</v>
      </c>
      <c r="J437" s="115" t="s">
        <v>3041</v>
      </c>
      <c r="K437" t="str">
        <f t="shared" si="41"/>
        <v>C</v>
      </c>
      <c r="L437" s="173">
        <f t="shared" si="42"/>
        <v>3901355.39</v>
      </c>
    </row>
    <row r="438" spans="1:12" x14ac:dyDescent="0.3">
      <c r="A438" t="s">
        <v>3042</v>
      </c>
      <c r="B438" t="s">
        <v>1461</v>
      </c>
      <c r="C438">
        <f t="shared" si="43"/>
        <v>11</v>
      </c>
      <c r="D438" t="str">
        <f t="shared" si="44"/>
        <v>Norm</v>
      </c>
      <c r="E438">
        <f t="shared" si="45"/>
        <v>2</v>
      </c>
      <c r="F438" t="str">
        <f t="shared" si="46"/>
        <v>C</v>
      </c>
      <c r="G438" s="115" t="s">
        <v>1467</v>
      </c>
      <c r="H438" s="54">
        <v>200939.7</v>
      </c>
      <c r="I438" s="115">
        <v>0</v>
      </c>
      <c r="J438" s="115" t="s">
        <v>2281</v>
      </c>
      <c r="K438" t="str">
        <f t="shared" si="41"/>
        <v>C</v>
      </c>
      <c r="L438" s="173">
        <f t="shared" si="42"/>
        <v>439113.51</v>
      </c>
    </row>
    <row r="439" spans="1:12" x14ac:dyDescent="0.3">
      <c r="A439" t="s">
        <v>3043</v>
      </c>
      <c r="B439" t="s">
        <v>1466</v>
      </c>
      <c r="C439">
        <f t="shared" si="43"/>
        <v>16</v>
      </c>
      <c r="D439" t="str">
        <f t="shared" si="44"/>
        <v>Norm</v>
      </c>
      <c r="E439">
        <f t="shared" si="45"/>
        <v>2</v>
      </c>
      <c r="F439" t="str">
        <f t="shared" si="46"/>
        <v>C</v>
      </c>
      <c r="G439" s="115" t="s">
        <v>1467</v>
      </c>
      <c r="H439" s="54">
        <v>200939.7</v>
      </c>
      <c r="I439" s="115">
        <v>0</v>
      </c>
      <c r="J439" s="115" t="s">
        <v>2281</v>
      </c>
      <c r="K439" t="str">
        <f t="shared" si="41"/>
        <v>C</v>
      </c>
      <c r="L439" s="173">
        <f t="shared" si="42"/>
        <v>439113.51</v>
      </c>
    </row>
    <row r="440" spans="1:12" x14ac:dyDescent="0.3">
      <c r="A440" t="s">
        <v>3044</v>
      </c>
      <c r="B440" t="s">
        <v>1469</v>
      </c>
      <c r="C440">
        <f t="shared" si="43"/>
        <v>11</v>
      </c>
      <c r="D440" t="str">
        <f t="shared" si="44"/>
        <v>Norm</v>
      </c>
      <c r="E440">
        <f t="shared" si="45"/>
        <v>2</v>
      </c>
      <c r="F440" t="str">
        <f t="shared" si="46"/>
        <v>C</v>
      </c>
      <c r="G440" s="115" t="s">
        <v>3045</v>
      </c>
      <c r="H440" s="54">
        <v>897223.08</v>
      </c>
      <c r="I440" s="54">
        <v>1135736.26</v>
      </c>
      <c r="J440" s="115" t="s">
        <v>3046</v>
      </c>
      <c r="K440" t="str">
        <f t="shared" si="41"/>
        <v>C</v>
      </c>
      <c r="L440" s="173">
        <f t="shared" si="42"/>
        <v>2094201.41</v>
      </c>
    </row>
    <row r="441" spans="1:12" x14ac:dyDescent="0.3">
      <c r="A441" t="s">
        <v>3047</v>
      </c>
      <c r="B441" t="s">
        <v>1472</v>
      </c>
      <c r="C441">
        <f t="shared" si="43"/>
        <v>16</v>
      </c>
      <c r="D441" t="str">
        <f t="shared" si="44"/>
        <v>Norm</v>
      </c>
      <c r="E441">
        <f t="shared" si="45"/>
        <v>2</v>
      </c>
      <c r="F441" t="str">
        <f t="shared" si="46"/>
        <v>C</v>
      </c>
      <c r="G441" s="115" t="s">
        <v>1474</v>
      </c>
      <c r="H441" s="54">
        <v>37534.51</v>
      </c>
      <c r="I441" s="115">
        <v>0</v>
      </c>
      <c r="J441" s="115" t="s">
        <v>2282</v>
      </c>
      <c r="K441" t="str">
        <f t="shared" si="41"/>
        <v>C</v>
      </c>
      <c r="L441" s="173">
        <f t="shared" si="42"/>
        <v>138252.07</v>
      </c>
    </row>
    <row r="442" spans="1:12" x14ac:dyDescent="0.3">
      <c r="A442" t="s">
        <v>3048</v>
      </c>
      <c r="B442" t="s">
        <v>1476</v>
      </c>
      <c r="C442">
        <f t="shared" si="43"/>
        <v>16</v>
      </c>
      <c r="D442" t="str">
        <f t="shared" si="44"/>
        <v>Norm</v>
      </c>
      <c r="E442">
        <f t="shared" si="45"/>
        <v>2</v>
      </c>
      <c r="F442" t="str">
        <f t="shared" si="46"/>
        <v>C</v>
      </c>
      <c r="G442" s="115" t="s">
        <v>1478</v>
      </c>
      <c r="H442" s="54">
        <v>153769.32</v>
      </c>
      <c r="I442" s="115">
        <v>0</v>
      </c>
      <c r="J442" s="115">
        <v>0</v>
      </c>
      <c r="K442" t="str">
        <f t="shared" si="41"/>
        <v>0</v>
      </c>
      <c r="L442" s="173">
        <f t="shared" si="42"/>
        <v>0</v>
      </c>
    </row>
    <row r="443" spans="1:12" x14ac:dyDescent="0.3">
      <c r="A443" t="s">
        <v>3049</v>
      </c>
      <c r="B443" t="s">
        <v>1480</v>
      </c>
      <c r="C443">
        <f t="shared" si="43"/>
        <v>16</v>
      </c>
      <c r="D443" t="str">
        <f t="shared" si="44"/>
        <v>Norm</v>
      </c>
      <c r="E443">
        <f t="shared" si="45"/>
        <v>2</v>
      </c>
      <c r="F443" t="str">
        <f t="shared" si="46"/>
        <v>C</v>
      </c>
      <c r="G443" s="115" t="s">
        <v>1482</v>
      </c>
      <c r="H443" s="54">
        <v>68083.66</v>
      </c>
      <c r="I443" s="115">
        <v>0</v>
      </c>
      <c r="J443" s="115">
        <v>0</v>
      </c>
      <c r="K443" t="str">
        <f t="shared" si="41"/>
        <v>0</v>
      </c>
      <c r="L443" s="173">
        <f t="shared" si="42"/>
        <v>0</v>
      </c>
    </row>
    <row r="444" spans="1:12" x14ac:dyDescent="0.3">
      <c r="A444" t="s">
        <v>3050</v>
      </c>
      <c r="B444" t="s">
        <v>1484</v>
      </c>
      <c r="C444">
        <f t="shared" si="43"/>
        <v>16</v>
      </c>
      <c r="D444" t="str">
        <f t="shared" si="44"/>
        <v>Norm</v>
      </c>
      <c r="E444">
        <f t="shared" si="45"/>
        <v>2</v>
      </c>
      <c r="F444" t="str">
        <f t="shared" si="46"/>
        <v>C</v>
      </c>
      <c r="G444" s="115" t="s">
        <v>1486</v>
      </c>
      <c r="H444" s="54">
        <v>112735.39</v>
      </c>
      <c r="I444" s="115">
        <v>0</v>
      </c>
      <c r="J444" s="115">
        <v>0</v>
      </c>
      <c r="K444" t="str">
        <f t="shared" si="41"/>
        <v>0</v>
      </c>
      <c r="L444" s="173">
        <f t="shared" si="42"/>
        <v>0</v>
      </c>
    </row>
    <row r="445" spans="1:12" x14ac:dyDescent="0.3">
      <c r="A445" t="s">
        <v>3051</v>
      </c>
      <c r="B445" t="s">
        <v>1488</v>
      </c>
      <c r="C445">
        <f t="shared" si="43"/>
        <v>16</v>
      </c>
      <c r="D445" t="str">
        <f t="shared" si="44"/>
        <v>Norm</v>
      </c>
      <c r="E445">
        <f t="shared" si="45"/>
        <v>2</v>
      </c>
      <c r="F445" t="str">
        <f t="shared" si="46"/>
        <v>C</v>
      </c>
      <c r="G445" s="115" t="s">
        <v>1490</v>
      </c>
      <c r="H445" s="54">
        <v>52249</v>
      </c>
      <c r="I445" s="115">
        <v>0</v>
      </c>
      <c r="J445" s="115" t="s">
        <v>2283</v>
      </c>
      <c r="K445" t="str">
        <f t="shared" si="41"/>
        <v>C</v>
      </c>
      <c r="L445" s="173">
        <f t="shared" si="42"/>
        <v>108152.13</v>
      </c>
    </row>
    <row r="446" spans="1:12" x14ac:dyDescent="0.3">
      <c r="A446" t="s">
        <v>3052</v>
      </c>
      <c r="B446" t="s">
        <v>1492</v>
      </c>
      <c r="C446">
        <f t="shared" si="43"/>
        <v>16</v>
      </c>
      <c r="D446" t="str">
        <f t="shared" si="44"/>
        <v>Norm</v>
      </c>
      <c r="E446">
        <f t="shared" si="45"/>
        <v>2</v>
      </c>
      <c r="F446" t="str">
        <f t="shared" si="46"/>
        <v>C</v>
      </c>
      <c r="G446" s="115" t="s">
        <v>1493</v>
      </c>
      <c r="H446" s="54">
        <v>239648.6</v>
      </c>
      <c r="I446" s="115">
        <v>0</v>
      </c>
      <c r="J446" s="115" t="s">
        <v>2284</v>
      </c>
      <c r="K446" t="str">
        <f t="shared" si="41"/>
        <v>C</v>
      </c>
      <c r="L446" s="173">
        <f t="shared" si="42"/>
        <v>834415</v>
      </c>
    </row>
    <row r="447" spans="1:12" x14ac:dyDescent="0.3">
      <c r="A447" t="s">
        <v>3053</v>
      </c>
      <c r="B447" t="s">
        <v>1495</v>
      </c>
      <c r="C447">
        <f t="shared" si="43"/>
        <v>16</v>
      </c>
      <c r="D447" t="str">
        <f t="shared" si="44"/>
        <v>Norm</v>
      </c>
      <c r="E447">
        <f t="shared" si="45"/>
        <v>2</v>
      </c>
      <c r="F447" t="str">
        <f t="shared" si="46"/>
        <v>C</v>
      </c>
      <c r="G447" s="115" t="s">
        <v>1496</v>
      </c>
      <c r="H447" s="54">
        <v>35147.06</v>
      </c>
      <c r="I447" s="115">
        <v>0</v>
      </c>
      <c r="J447" s="115" t="s">
        <v>2285</v>
      </c>
      <c r="K447" t="str">
        <f t="shared" si="41"/>
        <v>C</v>
      </c>
      <c r="L447" s="173">
        <f t="shared" si="42"/>
        <v>75701.490000000005</v>
      </c>
    </row>
    <row r="448" spans="1:12" x14ac:dyDescent="0.3">
      <c r="A448" t="s">
        <v>3054</v>
      </c>
      <c r="B448" t="s">
        <v>2286</v>
      </c>
      <c r="C448">
        <f t="shared" si="43"/>
        <v>16</v>
      </c>
      <c r="D448" t="str">
        <f t="shared" si="44"/>
        <v>Norm</v>
      </c>
      <c r="E448">
        <f t="shared" si="45"/>
        <v>2</v>
      </c>
      <c r="F448" t="str">
        <f t="shared" si="46"/>
        <v>C</v>
      </c>
      <c r="G448" s="115" t="s">
        <v>884</v>
      </c>
      <c r="H448" s="54">
        <v>198055.54</v>
      </c>
      <c r="I448" s="54">
        <v>1135736.26</v>
      </c>
      <c r="J448" s="115" t="s">
        <v>2287</v>
      </c>
      <c r="K448" t="str">
        <f t="shared" si="41"/>
        <v>C</v>
      </c>
      <c r="L448" s="173">
        <f t="shared" si="42"/>
        <v>937680.72</v>
      </c>
    </row>
    <row r="449" spans="1:15" x14ac:dyDescent="0.3">
      <c r="A449" t="s">
        <v>3055</v>
      </c>
      <c r="B449" t="s">
        <v>1498</v>
      </c>
      <c r="C449">
        <f t="shared" si="43"/>
        <v>11</v>
      </c>
      <c r="D449" t="str">
        <f t="shared" si="44"/>
        <v>Norm</v>
      </c>
      <c r="E449">
        <f t="shared" si="45"/>
        <v>2</v>
      </c>
      <c r="F449" t="str">
        <f t="shared" si="46"/>
        <v>C</v>
      </c>
      <c r="G449" s="115" t="s">
        <v>1503</v>
      </c>
      <c r="H449" s="115">
        <v>0</v>
      </c>
      <c r="I449" s="115">
        <v>0</v>
      </c>
      <c r="J449" s="115" t="s">
        <v>1503</v>
      </c>
      <c r="K449" t="str">
        <f t="shared" si="41"/>
        <v>C</v>
      </c>
      <c r="L449" s="173">
        <f t="shared" si="42"/>
        <v>1368040.47</v>
      </c>
    </row>
    <row r="450" spans="1:15" x14ac:dyDescent="0.3">
      <c r="A450" t="s">
        <v>3056</v>
      </c>
      <c r="B450" t="s">
        <v>1501</v>
      </c>
      <c r="C450">
        <f t="shared" si="43"/>
        <v>16</v>
      </c>
      <c r="D450" t="str">
        <f t="shared" si="44"/>
        <v>Norm</v>
      </c>
      <c r="E450">
        <f t="shared" si="45"/>
        <v>2</v>
      </c>
      <c r="F450" t="str">
        <f t="shared" si="46"/>
        <v>C</v>
      </c>
      <c r="G450" s="115" t="s">
        <v>1503</v>
      </c>
      <c r="H450" s="115">
        <v>0</v>
      </c>
      <c r="I450" s="115">
        <v>0</v>
      </c>
      <c r="J450" s="115" t="s">
        <v>1503</v>
      </c>
      <c r="K450" t="str">
        <f t="shared" si="41"/>
        <v>C</v>
      </c>
      <c r="L450" s="173">
        <f t="shared" si="42"/>
        <v>1368040.47</v>
      </c>
    </row>
    <row r="451" spans="1:15" x14ac:dyDescent="0.3">
      <c r="A451" t="s">
        <v>3057</v>
      </c>
      <c r="B451" t="s">
        <v>1505</v>
      </c>
      <c r="C451">
        <f t="shared" si="43"/>
        <v>8</v>
      </c>
      <c r="D451" t="str">
        <f t="shared" si="44"/>
        <v>Norm</v>
      </c>
      <c r="E451">
        <f t="shared" si="45"/>
        <v>2</v>
      </c>
      <c r="F451" t="str">
        <f t="shared" si="46"/>
        <v>C</v>
      </c>
      <c r="G451" s="115" t="s">
        <v>1509</v>
      </c>
      <c r="H451" s="115">
        <v>315.41000000000003</v>
      </c>
      <c r="I451" s="54">
        <v>7083071.0700000003</v>
      </c>
      <c r="J451" s="115" t="s">
        <v>3058</v>
      </c>
      <c r="K451" t="str">
        <f t="shared" ref="K451:K514" si="47">RIGHT(J451,1)</f>
        <v>C</v>
      </c>
      <c r="L451" s="173">
        <f t="shared" ref="L451:L514" si="48">IF(J451=0,0,LEFT(J451,LEN(J451)-1)+0)</f>
        <v>44813865.57</v>
      </c>
    </row>
    <row r="452" spans="1:15" x14ac:dyDescent="0.3">
      <c r="A452" t="s">
        <v>3059</v>
      </c>
      <c r="B452" t="s">
        <v>1508</v>
      </c>
      <c r="C452">
        <f t="shared" si="43"/>
        <v>11</v>
      </c>
      <c r="D452" t="str">
        <f t="shared" si="44"/>
        <v>Norm</v>
      </c>
      <c r="E452">
        <f t="shared" si="45"/>
        <v>2</v>
      </c>
      <c r="F452" t="str">
        <f t="shared" si="46"/>
        <v>C</v>
      </c>
      <c r="G452" s="115" t="s">
        <v>1509</v>
      </c>
      <c r="H452" s="115">
        <v>315.41000000000003</v>
      </c>
      <c r="I452" s="54">
        <v>7083071.0700000003</v>
      </c>
      <c r="J452" s="115" t="s">
        <v>3058</v>
      </c>
      <c r="K452" t="str">
        <f t="shared" si="47"/>
        <v>C</v>
      </c>
      <c r="L452" s="173">
        <f t="shared" si="48"/>
        <v>44813865.57</v>
      </c>
    </row>
    <row r="453" spans="1:15" x14ac:dyDescent="0.3">
      <c r="A453" t="s">
        <v>3060</v>
      </c>
      <c r="B453" t="s">
        <v>1511</v>
      </c>
      <c r="C453">
        <f t="shared" si="43"/>
        <v>16</v>
      </c>
      <c r="D453" t="str">
        <f t="shared" si="44"/>
        <v>Norm</v>
      </c>
      <c r="E453">
        <f t="shared" si="45"/>
        <v>2</v>
      </c>
      <c r="F453" t="str">
        <f t="shared" si="46"/>
        <v>C</v>
      </c>
      <c r="G453" s="115" t="s">
        <v>1513</v>
      </c>
      <c r="H453" s="115">
        <v>315.41000000000003</v>
      </c>
      <c r="I453" s="54">
        <v>2061051.35</v>
      </c>
      <c r="J453" s="115" t="s">
        <v>2288</v>
      </c>
      <c r="K453" t="str">
        <f t="shared" si="47"/>
        <v>C</v>
      </c>
      <c r="L453" s="173">
        <f t="shared" si="48"/>
        <v>10752358.65</v>
      </c>
    </row>
    <row r="454" spans="1:15" x14ac:dyDescent="0.3">
      <c r="A454" t="s">
        <v>3061</v>
      </c>
      <c r="B454" t="s">
        <v>1515</v>
      </c>
      <c r="C454">
        <f t="shared" si="43"/>
        <v>16</v>
      </c>
      <c r="D454" t="str">
        <f t="shared" si="44"/>
        <v>Norm</v>
      </c>
      <c r="E454">
        <f t="shared" si="45"/>
        <v>2</v>
      </c>
      <c r="F454" t="str">
        <f t="shared" si="46"/>
        <v>C</v>
      </c>
      <c r="G454" s="115" t="s">
        <v>1517</v>
      </c>
      <c r="H454" s="115">
        <v>0</v>
      </c>
      <c r="I454" s="54">
        <v>5022019.72</v>
      </c>
      <c r="J454" s="115" t="s">
        <v>2289</v>
      </c>
      <c r="K454" t="str">
        <f t="shared" si="47"/>
        <v>C</v>
      </c>
      <c r="L454" s="173">
        <f t="shared" si="48"/>
        <v>32139419.390000001</v>
      </c>
    </row>
    <row r="455" spans="1:15" x14ac:dyDescent="0.3">
      <c r="A455" t="s">
        <v>3062</v>
      </c>
      <c r="B455" t="s">
        <v>1519</v>
      </c>
      <c r="C455">
        <f t="shared" si="43"/>
        <v>16</v>
      </c>
      <c r="D455" t="str">
        <f t="shared" si="44"/>
        <v>Norm</v>
      </c>
      <c r="E455">
        <f t="shared" si="45"/>
        <v>2</v>
      </c>
      <c r="F455" t="str">
        <f t="shared" si="46"/>
        <v>C</v>
      </c>
      <c r="G455" s="115" t="s">
        <v>1521</v>
      </c>
      <c r="H455" s="115">
        <v>0</v>
      </c>
      <c r="I455" s="115">
        <v>0</v>
      </c>
      <c r="J455" s="115" t="s">
        <v>1521</v>
      </c>
      <c r="K455" t="str">
        <f t="shared" si="47"/>
        <v>C</v>
      </c>
      <c r="L455" s="173">
        <f t="shared" si="48"/>
        <v>1922087.53</v>
      </c>
    </row>
    <row r="456" spans="1:15" x14ac:dyDescent="0.3">
      <c r="A456" t="s">
        <v>3063</v>
      </c>
      <c r="B456" t="s">
        <v>1523</v>
      </c>
      <c r="C456">
        <f t="shared" si="43"/>
        <v>8</v>
      </c>
      <c r="D456" t="str">
        <f t="shared" si="44"/>
        <v>Norm</v>
      </c>
      <c r="E456">
        <f t="shared" si="45"/>
        <v>2</v>
      </c>
      <c r="F456" t="str">
        <f t="shared" si="46"/>
        <v>C</v>
      </c>
      <c r="G456" s="115" t="s">
        <v>1537</v>
      </c>
      <c r="H456" s="54">
        <v>13465360.65</v>
      </c>
      <c r="I456" s="115">
        <v>0</v>
      </c>
      <c r="J456" s="115" t="s">
        <v>884</v>
      </c>
      <c r="K456" t="str">
        <f t="shared" si="47"/>
        <v>C</v>
      </c>
      <c r="L456" s="173">
        <f t="shared" si="48"/>
        <v>0</v>
      </c>
      <c r="N456" s="20"/>
      <c r="O456" s="20"/>
    </row>
    <row r="457" spans="1:15" x14ac:dyDescent="0.3">
      <c r="A457" t="s">
        <v>3064</v>
      </c>
      <c r="B457" t="s">
        <v>1535</v>
      </c>
      <c r="C457">
        <f t="shared" si="43"/>
        <v>11</v>
      </c>
      <c r="D457" t="str">
        <f t="shared" si="44"/>
        <v>Norm</v>
      </c>
      <c r="E457">
        <f t="shared" si="45"/>
        <v>2</v>
      </c>
      <c r="F457" t="str">
        <f t="shared" si="46"/>
        <v>C</v>
      </c>
      <c r="G457" s="115" t="s">
        <v>1537</v>
      </c>
      <c r="H457" s="54">
        <v>13465360.65</v>
      </c>
      <c r="I457" s="115">
        <v>0</v>
      </c>
      <c r="J457" s="115" t="s">
        <v>884</v>
      </c>
      <c r="K457" t="str">
        <f t="shared" si="47"/>
        <v>C</v>
      </c>
      <c r="L457" s="173">
        <f t="shared" si="48"/>
        <v>0</v>
      </c>
    </row>
    <row r="458" spans="1:15" x14ac:dyDescent="0.3">
      <c r="A458" t="s">
        <v>3065</v>
      </c>
      <c r="B458" t="s">
        <v>1539</v>
      </c>
      <c r="C458">
        <f t="shared" si="43"/>
        <v>16</v>
      </c>
      <c r="D458" t="str">
        <f t="shared" si="44"/>
        <v>Norm</v>
      </c>
      <c r="E458">
        <f t="shared" si="45"/>
        <v>2</v>
      </c>
      <c r="F458" t="str">
        <f t="shared" si="46"/>
        <v>C</v>
      </c>
      <c r="G458" s="115" t="s">
        <v>1540</v>
      </c>
      <c r="H458" s="54">
        <v>9901000.4800000004</v>
      </c>
      <c r="I458" s="115">
        <v>0</v>
      </c>
      <c r="J458" s="115" t="s">
        <v>884</v>
      </c>
      <c r="K458" t="str">
        <f t="shared" si="47"/>
        <v>C</v>
      </c>
      <c r="L458" s="173">
        <f t="shared" si="48"/>
        <v>0</v>
      </c>
    </row>
    <row r="459" spans="1:15" x14ac:dyDescent="0.3">
      <c r="A459" t="s">
        <v>3066</v>
      </c>
      <c r="B459" t="s">
        <v>1542</v>
      </c>
      <c r="C459">
        <f t="shared" si="43"/>
        <v>16</v>
      </c>
      <c r="D459" t="str">
        <f t="shared" si="44"/>
        <v>Norm</v>
      </c>
      <c r="E459">
        <f t="shared" si="45"/>
        <v>2</v>
      </c>
      <c r="F459" t="str">
        <f t="shared" si="46"/>
        <v>C</v>
      </c>
      <c r="G459" s="115" t="s">
        <v>1543</v>
      </c>
      <c r="H459" s="54">
        <v>3564360.17</v>
      </c>
      <c r="I459" s="115">
        <v>0</v>
      </c>
      <c r="J459" s="115" t="s">
        <v>884</v>
      </c>
      <c r="K459" t="str">
        <f t="shared" si="47"/>
        <v>C</v>
      </c>
      <c r="L459" s="173">
        <f t="shared" si="48"/>
        <v>0</v>
      </c>
    </row>
    <row r="460" spans="1:15" s="1" customFormat="1" x14ac:dyDescent="0.3">
      <c r="A460" s="180" t="s">
        <v>3067</v>
      </c>
      <c r="B460" s="180" t="s">
        <v>1545</v>
      </c>
      <c r="C460" s="1">
        <f t="shared" si="43"/>
        <v>5</v>
      </c>
      <c r="D460" s="1" t="str">
        <f t="shared" si="44"/>
        <v>Norm</v>
      </c>
      <c r="E460" s="1">
        <f t="shared" si="45"/>
        <v>2</v>
      </c>
      <c r="F460" s="1" t="str">
        <f t="shared" si="46"/>
        <v>C</v>
      </c>
      <c r="G460" s="189" t="s">
        <v>3068</v>
      </c>
      <c r="H460" s="181">
        <v>115697136.86</v>
      </c>
      <c r="I460" s="181">
        <v>85120054.400000006</v>
      </c>
      <c r="J460" s="189" t="s">
        <v>3069</v>
      </c>
      <c r="K460" s="180" t="str">
        <f t="shared" si="47"/>
        <v>D</v>
      </c>
      <c r="L460" s="190">
        <f>-IF(J460=0,0,LEFT(J460,LEN(J460)-1)+0)</f>
        <v>-28714813.390000001</v>
      </c>
      <c r="M460" s="180"/>
      <c r="N460" s="191">
        <f>I460-H460</f>
        <v>-30577082.459999993</v>
      </c>
      <c r="O460" s="1" t="s">
        <v>2124</v>
      </c>
    </row>
    <row r="461" spans="1:15" s="1" customFormat="1" x14ac:dyDescent="0.3">
      <c r="A461" s="51" t="s">
        <v>3070</v>
      </c>
      <c r="B461" s="51" t="s">
        <v>1548</v>
      </c>
      <c r="C461" s="1">
        <f t="shared" ref="C461:C524" si="49">LEN(B461)</f>
        <v>8</v>
      </c>
      <c r="D461" s="1" t="str">
        <f t="shared" ref="D461:D524" si="50">IF(LEFT(TRIM(A461),1)="(","Red.","Norm")</f>
        <v>Norm</v>
      </c>
      <c r="E461" s="1">
        <f t="shared" ref="E461:E524" si="51">LEFT(SUBSTITUTE(B461,"[","",1),1)+0</f>
        <v>2</v>
      </c>
      <c r="F461" s="1" t="str">
        <f t="shared" ref="F461:F524" si="52">IF(AND(OR(E461=1,E461=3,E461=5),D461="Norm"),"D",
IF(AND(OR(E461=1,E461=3,E461=5),D461="Red."),"C",
IF(AND(OR(E461=2,E461=4,E461=6),D461="Norm"),"C",
IF(AND(OR(E461=2,E461=4,E461=6),D461="Red."),"D"))))</f>
        <v>C</v>
      </c>
      <c r="G461" s="118" t="s">
        <v>1552</v>
      </c>
      <c r="H461" s="118">
        <v>0</v>
      </c>
      <c r="I461" s="118">
        <v>0</v>
      </c>
      <c r="J461" s="118" t="s">
        <v>1552</v>
      </c>
      <c r="K461" s="51" t="str">
        <f t="shared" si="47"/>
        <v>C</v>
      </c>
      <c r="L461" s="183">
        <f t="shared" si="48"/>
        <v>240000000</v>
      </c>
      <c r="M461" s="51"/>
      <c r="N461" s="188">
        <f>I461-H461</f>
        <v>0</v>
      </c>
      <c r="O461" s="1" t="s">
        <v>2124</v>
      </c>
    </row>
    <row r="462" spans="1:15" s="1" customFormat="1" x14ac:dyDescent="0.3">
      <c r="A462" s="1" t="s">
        <v>3071</v>
      </c>
      <c r="B462" s="1" t="s">
        <v>1551</v>
      </c>
      <c r="C462" s="1">
        <f t="shared" si="49"/>
        <v>11</v>
      </c>
      <c r="D462" s="1" t="str">
        <f t="shared" si="50"/>
        <v>Norm</v>
      </c>
      <c r="E462" s="1">
        <f t="shared" si="51"/>
        <v>2</v>
      </c>
      <c r="F462" s="1" t="str">
        <f t="shared" si="52"/>
        <v>C</v>
      </c>
      <c r="G462" s="122" t="s">
        <v>1552</v>
      </c>
      <c r="H462" s="122">
        <v>0</v>
      </c>
      <c r="I462" s="122">
        <v>0</v>
      </c>
      <c r="J462" s="122" t="s">
        <v>1552</v>
      </c>
      <c r="K462" s="1" t="str">
        <f t="shared" si="47"/>
        <v>C</v>
      </c>
      <c r="L462" s="184">
        <f t="shared" si="48"/>
        <v>240000000</v>
      </c>
      <c r="N462" s="185">
        <f>H462-P461-I462</f>
        <v>0</v>
      </c>
      <c r="O462" s="62"/>
    </row>
    <row r="463" spans="1:15" x14ac:dyDescent="0.3">
      <c r="A463" t="s">
        <v>3072</v>
      </c>
      <c r="B463" t="s">
        <v>1554</v>
      </c>
      <c r="C463">
        <f t="shared" si="49"/>
        <v>16</v>
      </c>
      <c r="D463" t="str">
        <f t="shared" si="50"/>
        <v>Norm</v>
      </c>
      <c r="E463">
        <f t="shared" si="51"/>
        <v>2</v>
      </c>
      <c r="F463" t="str">
        <f t="shared" si="52"/>
        <v>C</v>
      </c>
      <c r="G463" s="115" t="s">
        <v>1555</v>
      </c>
      <c r="H463" s="115">
        <v>0</v>
      </c>
      <c r="I463" s="115">
        <v>0</v>
      </c>
      <c r="J463" s="115" t="s">
        <v>1555</v>
      </c>
      <c r="K463" t="str">
        <f t="shared" si="47"/>
        <v>C</v>
      </c>
      <c r="L463" s="173">
        <f t="shared" si="48"/>
        <v>5518</v>
      </c>
      <c r="N463" s="36">
        <f>H463-P462-I463</f>
        <v>0</v>
      </c>
      <c r="O463" s="20"/>
    </row>
    <row r="464" spans="1:15" x14ac:dyDescent="0.3">
      <c r="A464" t="s">
        <v>3073</v>
      </c>
      <c r="B464" t="s">
        <v>1557</v>
      </c>
      <c r="C464">
        <f t="shared" si="49"/>
        <v>16</v>
      </c>
      <c r="D464" t="str">
        <f t="shared" si="50"/>
        <v>Norm</v>
      </c>
      <c r="E464">
        <f t="shared" si="51"/>
        <v>2</v>
      </c>
      <c r="F464" t="str">
        <f t="shared" si="52"/>
        <v>C</v>
      </c>
      <c r="G464" s="115" t="s">
        <v>1558</v>
      </c>
      <c r="H464" s="115">
        <v>0</v>
      </c>
      <c r="I464" s="115">
        <v>0</v>
      </c>
      <c r="J464" s="115" t="s">
        <v>1558</v>
      </c>
      <c r="K464" t="str">
        <f t="shared" si="47"/>
        <v>C</v>
      </c>
      <c r="L464" s="173">
        <f t="shared" si="48"/>
        <v>73</v>
      </c>
      <c r="N464" s="36">
        <f>H464-P463-I464</f>
        <v>0</v>
      </c>
      <c r="O464" t="s">
        <v>2124</v>
      </c>
    </row>
    <row r="465" spans="1:17" x14ac:dyDescent="0.3">
      <c r="A465" t="s">
        <v>3074</v>
      </c>
      <c r="B465" t="s">
        <v>1560</v>
      </c>
      <c r="C465">
        <f t="shared" si="49"/>
        <v>16</v>
      </c>
      <c r="D465" t="str">
        <f t="shared" si="50"/>
        <v>Norm</v>
      </c>
      <c r="E465">
        <f t="shared" si="51"/>
        <v>2</v>
      </c>
      <c r="F465" t="str">
        <f t="shared" si="52"/>
        <v>C</v>
      </c>
      <c r="G465" s="115" t="s">
        <v>1561</v>
      </c>
      <c r="H465" s="115">
        <v>0</v>
      </c>
      <c r="I465" s="115">
        <v>0</v>
      </c>
      <c r="J465" s="115" t="s">
        <v>1561</v>
      </c>
      <c r="K465" t="str">
        <f t="shared" si="47"/>
        <v>C</v>
      </c>
      <c r="L465" s="173">
        <f t="shared" si="48"/>
        <v>239994409</v>
      </c>
      <c r="N465" s="36">
        <f>H465-P464-I465</f>
        <v>0</v>
      </c>
    </row>
    <row r="466" spans="1:17" s="1" customFormat="1" x14ac:dyDescent="0.3">
      <c r="A466" s="51" t="s">
        <v>3075</v>
      </c>
      <c r="B466" s="51" t="s">
        <v>1563</v>
      </c>
      <c r="C466" s="1">
        <f t="shared" si="49"/>
        <v>8</v>
      </c>
      <c r="D466" s="1" t="str">
        <f t="shared" si="50"/>
        <v>Norm</v>
      </c>
      <c r="E466" s="1">
        <f t="shared" si="51"/>
        <v>2</v>
      </c>
      <c r="F466" s="1" t="str">
        <f t="shared" si="52"/>
        <v>C</v>
      </c>
      <c r="G466" s="118" t="s">
        <v>1568</v>
      </c>
      <c r="H466" s="57">
        <v>60005924.810000002</v>
      </c>
      <c r="I466" s="57">
        <v>43513893.32</v>
      </c>
      <c r="J466" s="118" t="s">
        <v>2290</v>
      </c>
      <c r="K466" s="51" t="str">
        <f t="shared" si="47"/>
        <v>D</v>
      </c>
      <c r="L466" s="183">
        <f>-IF(J466=0,0,LEFT(J466,LEN(J466)-1)+0)</f>
        <v>-1314295.23</v>
      </c>
      <c r="M466" s="51"/>
      <c r="N466" s="188">
        <f>I466-H466</f>
        <v>-16492031.490000002</v>
      </c>
      <c r="O466" s="62"/>
    </row>
    <row r="467" spans="1:17" s="1" customFormat="1" x14ac:dyDescent="0.3">
      <c r="A467" s="1" t="s">
        <v>3076</v>
      </c>
      <c r="B467" s="1" t="s">
        <v>1566</v>
      </c>
      <c r="C467" s="1">
        <f t="shared" si="49"/>
        <v>11</v>
      </c>
      <c r="D467" s="1" t="str">
        <f t="shared" si="50"/>
        <v>Norm</v>
      </c>
      <c r="E467" s="1">
        <f t="shared" si="51"/>
        <v>2</v>
      </c>
      <c r="F467" s="1" t="str">
        <f t="shared" si="52"/>
        <v>C</v>
      </c>
      <c r="G467" s="122" t="s">
        <v>1568</v>
      </c>
      <c r="H467" s="59">
        <v>60005924.810000002</v>
      </c>
      <c r="I467" s="59">
        <v>43513893.32</v>
      </c>
      <c r="J467" s="122" t="s">
        <v>2290</v>
      </c>
      <c r="K467" s="1" t="str">
        <f t="shared" si="47"/>
        <v>D</v>
      </c>
      <c r="L467" s="184">
        <f>-IF(J467=0,0,LEFT(J467,LEN(J467)-1)+0)</f>
        <v>-1314295.23</v>
      </c>
      <c r="N467" s="185">
        <f>I467-H467</f>
        <v>-16492031.490000002</v>
      </c>
      <c r="O467" s="62"/>
      <c r="P467" s="62">
        <v>15177736.26</v>
      </c>
      <c r="Q467" s="123">
        <f>P467+N467</f>
        <v>-1314295.2300000023</v>
      </c>
    </row>
    <row r="468" spans="1:17" x14ac:dyDescent="0.3">
      <c r="A468" t="s">
        <v>3077</v>
      </c>
      <c r="B468" t="s">
        <v>1573</v>
      </c>
      <c r="C468">
        <f t="shared" si="49"/>
        <v>16</v>
      </c>
      <c r="D468" t="str">
        <f t="shared" si="50"/>
        <v>Norm</v>
      </c>
      <c r="E468">
        <f t="shared" si="51"/>
        <v>2</v>
      </c>
      <c r="F468" t="str">
        <f t="shared" si="52"/>
        <v>C</v>
      </c>
      <c r="G468" s="115" t="s">
        <v>1568</v>
      </c>
      <c r="H468" s="54">
        <v>58021160.060000002</v>
      </c>
      <c r="I468" s="54">
        <v>39604001.859999999</v>
      </c>
      <c r="J468" s="115" t="s">
        <v>2291</v>
      </c>
      <c r="K468" t="str">
        <f t="shared" si="47"/>
        <v>D</v>
      </c>
      <c r="L468" s="173">
        <f>-IF(J468=0,0,LEFT(J468,LEN(J468)-1)+0)</f>
        <v>-3239421.94</v>
      </c>
      <c r="N468" s="36">
        <f>H468-I468</f>
        <v>18417158.200000003</v>
      </c>
    </row>
    <row r="469" spans="1:17" x14ac:dyDescent="0.3">
      <c r="A469" t="s">
        <v>3078</v>
      </c>
      <c r="B469" t="s">
        <v>2292</v>
      </c>
      <c r="C469">
        <f t="shared" si="49"/>
        <v>16</v>
      </c>
      <c r="D469" t="str">
        <f t="shared" si="50"/>
        <v>Norm</v>
      </c>
      <c r="E469">
        <f t="shared" si="51"/>
        <v>2</v>
      </c>
      <c r="F469" t="str">
        <f t="shared" si="52"/>
        <v>C</v>
      </c>
      <c r="G469" s="115" t="s">
        <v>884</v>
      </c>
      <c r="H469" s="54">
        <v>1984764.75</v>
      </c>
      <c r="I469" s="54">
        <v>3909891.46</v>
      </c>
      <c r="J469" s="115" t="s">
        <v>2293</v>
      </c>
      <c r="K469" t="str">
        <f t="shared" si="47"/>
        <v>C</v>
      </c>
      <c r="L469" s="173">
        <f t="shared" si="48"/>
        <v>1925126.71</v>
      </c>
      <c r="N469" s="36">
        <f>H469-I469</f>
        <v>-1925126.71</v>
      </c>
      <c r="O469" s="20"/>
    </row>
    <row r="470" spans="1:17" s="1" customFormat="1" x14ac:dyDescent="0.3">
      <c r="A470" s="51" t="s">
        <v>3079</v>
      </c>
      <c r="B470" s="51" t="s">
        <v>1588</v>
      </c>
      <c r="C470" s="1">
        <f t="shared" si="49"/>
        <v>8</v>
      </c>
      <c r="D470" s="1" t="str">
        <f t="shared" si="50"/>
        <v>Norm</v>
      </c>
      <c r="E470" s="1">
        <f t="shared" si="51"/>
        <v>2</v>
      </c>
      <c r="F470" s="1" t="str">
        <f t="shared" si="52"/>
        <v>C</v>
      </c>
      <c r="G470" s="118" t="s">
        <v>3080</v>
      </c>
      <c r="H470" s="57">
        <v>55691212.049999997</v>
      </c>
      <c r="I470" s="57">
        <v>41606161.079999998</v>
      </c>
      <c r="J470" s="118" t="s">
        <v>3081</v>
      </c>
      <c r="K470" s="51" t="str">
        <f t="shared" si="47"/>
        <v>D</v>
      </c>
      <c r="L470" s="183">
        <f>-IF(J470=0,0,LEFT(J470,LEN(J470)-1)+0)</f>
        <v>-250884264.84</v>
      </c>
      <c r="M470" s="51"/>
      <c r="N470" s="188">
        <f>I470-H470</f>
        <v>-14085050.969999999</v>
      </c>
      <c r="P470" s="1">
        <f>DRE!$D$29</f>
        <v>-17323206.559999999</v>
      </c>
    </row>
    <row r="471" spans="1:17" s="1" customFormat="1" x14ac:dyDescent="0.3">
      <c r="A471" s="1" t="s">
        <v>3082</v>
      </c>
      <c r="B471" s="1" t="s">
        <v>1591</v>
      </c>
      <c r="C471" s="1">
        <f t="shared" si="49"/>
        <v>11</v>
      </c>
      <c r="D471" s="1" t="str">
        <f t="shared" si="50"/>
        <v>Norm</v>
      </c>
      <c r="E471" s="1">
        <f t="shared" si="51"/>
        <v>2</v>
      </c>
      <c r="F471" s="1" t="str">
        <f t="shared" si="52"/>
        <v>C</v>
      </c>
      <c r="G471" s="122" t="s">
        <v>1593</v>
      </c>
      <c r="H471" s="59">
        <v>16214401.57</v>
      </c>
      <c r="I471" s="59">
        <v>16694365.220000001</v>
      </c>
      <c r="J471" s="122" t="s">
        <v>3083</v>
      </c>
      <c r="K471" s="1" t="str">
        <f t="shared" si="47"/>
        <v>D</v>
      </c>
      <c r="L471" s="184">
        <f>-IF(J471=0,0,LEFT(J471,LEN(J471)-1)+0)</f>
        <v>-9878687.3800000008</v>
      </c>
      <c r="N471" s="185">
        <f>I471-H471</f>
        <v>479963.65000000037</v>
      </c>
      <c r="P471" s="123">
        <f>P470-N470</f>
        <v>-3238155.59</v>
      </c>
    </row>
    <row r="472" spans="1:17" x14ac:dyDescent="0.3">
      <c r="A472" t="s">
        <v>3084</v>
      </c>
      <c r="B472" t="s">
        <v>1595</v>
      </c>
      <c r="C472">
        <f t="shared" si="49"/>
        <v>16</v>
      </c>
      <c r="D472" t="str">
        <f t="shared" si="50"/>
        <v>Norm</v>
      </c>
      <c r="E472">
        <f t="shared" si="51"/>
        <v>2</v>
      </c>
      <c r="F472" t="str">
        <f t="shared" si="52"/>
        <v>C</v>
      </c>
      <c r="G472" s="115" t="s">
        <v>884</v>
      </c>
      <c r="H472" s="115">
        <v>0</v>
      </c>
      <c r="I472" s="54">
        <v>1893151.67</v>
      </c>
      <c r="J472" s="115" t="s">
        <v>3085</v>
      </c>
      <c r="K472" t="str">
        <f t="shared" si="47"/>
        <v>C</v>
      </c>
      <c r="L472" s="173">
        <f t="shared" si="48"/>
        <v>1893151.67</v>
      </c>
      <c r="N472" s="36">
        <f>H472-I472*-1</f>
        <v>1893151.67</v>
      </c>
    </row>
    <row r="473" spans="1:17" x14ac:dyDescent="0.3">
      <c r="A473" t="s">
        <v>3086</v>
      </c>
      <c r="B473" t="s">
        <v>1598</v>
      </c>
      <c r="C473">
        <f t="shared" si="49"/>
        <v>16</v>
      </c>
      <c r="D473" t="str">
        <f t="shared" si="50"/>
        <v>Norm</v>
      </c>
      <c r="E473">
        <f t="shared" si="51"/>
        <v>2</v>
      </c>
      <c r="F473" t="str">
        <f t="shared" si="52"/>
        <v>C</v>
      </c>
      <c r="G473" s="115" t="s">
        <v>1593</v>
      </c>
      <c r="H473" s="54">
        <v>16214401.57</v>
      </c>
      <c r="I473" s="54">
        <v>14801213.550000001</v>
      </c>
      <c r="J473" s="115" t="s">
        <v>2294</v>
      </c>
      <c r="K473" t="str">
        <f t="shared" si="47"/>
        <v>D</v>
      </c>
      <c r="L473" s="173">
        <f t="shared" ref="L473:L479" si="53">-IF(J473=0,0,LEFT(J473,LEN(J473)-1)+0)</f>
        <v>-11771839.050000001</v>
      </c>
      <c r="N473" s="36">
        <f>I473-H473</f>
        <v>-1413188.0199999996</v>
      </c>
    </row>
    <row r="474" spans="1:17" s="1" customFormat="1" x14ac:dyDescent="0.3">
      <c r="A474" s="1" t="s">
        <v>3087</v>
      </c>
      <c r="B474" s="1" t="s">
        <v>1601</v>
      </c>
      <c r="C474" s="1">
        <f t="shared" si="49"/>
        <v>11</v>
      </c>
      <c r="D474" s="1" t="str">
        <f t="shared" si="50"/>
        <v>Norm</v>
      </c>
      <c r="E474" s="1">
        <f t="shared" si="51"/>
        <v>2</v>
      </c>
      <c r="F474" s="1" t="str">
        <f t="shared" si="52"/>
        <v>C</v>
      </c>
      <c r="G474" s="122" t="s">
        <v>3088</v>
      </c>
      <c r="H474" s="59">
        <v>39476810.479999997</v>
      </c>
      <c r="I474" s="59">
        <v>24911795.859999999</v>
      </c>
      <c r="J474" s="122" t="s">
        <v>3089</v>
      </c>
      <c r="K474" s="1" t="str">
        <f t="shared" si="47"/>
        <v>D</v>
      </c>
      <c r="L474" s="184">
        <f t="shared" si="53"/>
        <v>-241005577.46000001</v>
      </c>
      <c r="N474" s="185">
        <f>I474-H474</f>
        <v>-14565014.619999997</v>
      </c>
    </row>
    <row r="475" spans="1:17" x14ac:dyDescent="0.3">
      <c r="A475" t="s">
        <v>3090</v>
      </c>
      <c r="B475" t="s">
        <v>1604</v>
      </c>
      <c r="C475">
        <f t="shared" si="49"/>
        <v>16</v>
      </c>
      <c r="D475" t="str">
        <f t="shared" si="50"/>
        <v>Norm</v>
      </c>
      <c r="E475">
        <f t="shared" si="51"/>
        <v>2</v>
      </c>
      <c r="F475" t="str">
        <f t="shared" si="52"/>
        <v>C</v>
      </c>
      <c r="G475" s="115" t="s">
        <v>1606</v>
      </c>
      <c r="H475" s="54">
        <v>22812766.289999999</v>
      </c>
      <c r="I475" s="54">
        <v>18628612.149999999</v>
      </c>
      <c r="J475" s="115" t="s">
        <v>2295</v>
      </c>
      <c r="K475" t="str">
        <f t="shared" si="47"/>
        <v>D</v>
      </c>
      <c r="L475" s="173">
        <f t="shared" si="53"/>
        <v>-224341533.27000001</v>
      </c>
      <c r="N475" s="36">
        <f>I475-H475</f>
        <v>-4184154.1400000006</v>
      </c>
      <c r="O475" t="s">
        <v>2124</v>
      </c>
    </row>
    <row r="476" spans="1:17" x14ac:dyDescent="0.3">
      <c r="A476" t="s">
        <v>3091</v>
      </c>
      <c r="B476" t="s">
        <v>1608</v>
      </c>
      <c r="C476">
        <f t="shared" si="49"/>
        <v>16</v>
      </c>
      <c r="D476" t="str">
        <f t="shared" si="50"/>
        <v>Norm</v>
      </c>
      <c r="E476">
        <f t="shared" si="51"/>
        <v>2</v>
      </c>
      <c r="F476" t="str">
        <f t="shared" si="52"/>
        <v>C</v>
      </c>
      <c r="G476" s="115" t="s">
        <v>2296</v>
      </c>
      <c r="H476" s="54">
        <v>16664044.189999999</v>
      </c>
      <c r="I476" s="54">
        <v>6283183.71</v>
      </c>
      <c r="J476" s="115" t="s">
        <v>3092</v>
      </c>
      <c r="K476" t="str">
        <f t="shared" si="47"/>
        <v>D</v>
      </c>
      <c r="L476" s="173">
        <f t="shared" si="53"/>
        <v>-16664044.189999999</v>
      </c>
      <c r="N476" s="36">
        <f>I476-H476</f>
        <v>-10380860.48</v>
      </c>
      <c r="O476" t="s">
        <v>2124</v>
      </c>
    </row>
    <row r="477" spans="1:17" s="1" customFormat="1" x14ac:dyDescent="0.3">
      <c r="A477" s="51" t="s">
        <v>3093</v>
      </c>
      <c r="B477" s="51" t="s">
        <v>1611</v>
      </c>
      <c r="C477" s="1">
        <f t="shared" si="49"/>
        <v>8</v>
      </c>
      <c r="D477" s="1" t="str">
        <f t="shared" si="50"/>
        <v>Norm</v>
      </c>
      <c r="E477" s="1">
        <f t="shared" si="51"/>
        <v>2</v>
      </c>
      <c r="F477" s="1" t="str">
        <f t="shared" si="52"/>
        <v>C</v>
      </c>
      <c r="G477" s="118" t="s">
        <v>1615</v>
      </c>
      <c r="H477" s="118">
        <v>0</v>
      </c>
      <c r="I477" s="118">
        <v>0</v>
      </c>
      <c r="J477" s="118" t="s">
        <v>1615</v>
      </c>
      <c r="K477" s="51" t="str">
        <f t="shared" si="47"/>
        <v>D</v>
      </c>
      <c r="L477" s="183">
        <f t="shared" si="53"/>
        <v>-16516253.32</v>
      </c>
      <c r="M477" s="51"/>
      <c r="N477" s="188">
        <f>I477-H477</f>
        <v>0</v>
      </c>
      <c r="O477" s="1" t="s">
        <v>2124</v>
      </c>
    </row>
    <row r="478" spans="1:17" s="1" customFormat="1" x14ac:dyDescent="0.3">
      <c r="A478" s="1" t="s">
        <v>3094</v>
      </c>
      <c r="B478" s="1" t="s">
        <v>1614</v>
      </c>
      <c r="C478" s="1">
        <f t="shared" si="49"/>
        <v>11</v>
      </c>
      <c r="D478" s="1" t="str">
        <f t="shared" si="50"/>
        <v>Norm</v>
      </c>
      <c r="E478" s="1">
        <f t="shared" si="51"/>
        <v>2</v>
      </c>
      <c r="F478" s="1" t="str">
        <f t="shared" si="52"/>
        <v>C</v>
      </c>
      <c r="G478" s="122" t="s">
        <v>1615</v>
      </c>
      <c r="H478" s="122">
        <v>0</v>
      </c>
      <c r="I478" s="122">
        <v>0</v>
      </c>
      <c r="J478" s="122" t="s">
        <v>1615</v>
      </c>
      <c r="K478" s="1" t="str">
        <f t="shared" si="47"/>
        <v>D</v>
      </c>
      <c r="L478" s="184">
        <f t="shared" si="53"/>
        <v>-16516253.32</v>
      </c>
      <c r="N478" s="185">
        <f>H478-P477-I478</f>
        <v>0</v>
      </c>
      <c r="O478" s="1" t="s">
        <v>2124</v>
      </c>
    </row>
    <row r="479" spans="1:17" x14ac:dyDescent="0.3">
      <c r="A479" t="s">
        <v>3095</v>
      </c>
      <c r="B479" t="s">
        <v>1617</v>
      </c>
      <c r="C479">
        <f t="shared" si="49"/>
        <v>16</v>
      </c>
      <c r="D479" t="str">
        <f t="shared" si="50"/>
        <v>Norm</v>
      </c>
      <c r="E479">
        <f t="shared" si="51"/>
        <v>2</v>
      </c>
      <c r="F479" t="str">
        <f t="shared" si="52"/>
        <v>C</v>
      </c>
      <c r="G479" s="115" t="s">
        <v>1615</v>
      </c>
      <c r="H479" s="115">
        <v>0</v>
      </c>
      <c r="I479" s="115">
        <v>0</v>
      </c>
      <c r="J479" s="115" t="s">
        <v>1615</v>
      </c>
      <c r="K479" t="str">
        <f t="shared" si="47"/>
        <v>D</v>
      </c>
      <c r="L479" s="173">
        <f t="shared" si="53"/>
        <v>-16516253.32</v>
      </c>
      <c r="N479">
        <f>H479-P478-I479</f>
        <v>0</v>
      </c>
      <c r="O479" t="s">
        <v>2124</v>
      </c>
    </row>
    <row r="480" spans="1:17" x14ac:dyDescent="0.3">
      <c r="A480" t="s">
        <v>3096</v>
      </c>
      <c r="B480" t="s">
        <v>1634</v>
      </c>
      <c r="C480">
        <f t="shared" si="49"/>
        <v>3</v>
      </c>
      <c r="D480" t="str">
        <f t="shared" si="50"/>
        <v>Norm</v>
      </c>
      <c r="E480">
        <f t="shared" si="51"/>
        <v>3</v>
      </c>
      <c r="F480" t="str">
        <f t="shared" si="52"/>
        <v>D</v>
      </c>
      <c r="G480" s="115" t="s">
        <v>884</v>
      </c>
      <c r="H480" s="54">
        <v>47871652.200000003</v>
      </c>
      <c r="I480" s="54">
        <v>47871652.200000003</v>
      </c>
      <c r="J480" s="115" t="s">
        <v>884</v>
      </c>
      <c r="K480" t="str">
        <f t="shared" si="47"/>
        <v>C</v>
      </c>
      <c r="L480" s="173">
        <f t="shared" si="48"/>
        <v>0</v>
      </c>
    </row>
    <row r="481" spans="1:12" x14ac:dyDescent="0.3">
      <c r="A481" t="s">
        <v>3097</v>
      </c>
      <c r="B481" t="s">
        <v>1637</v>
      </c>
      <c r="C481">
        <f t="shared" si="49"/>
        <v>5</v>
      </c>
      <c r="D481" t="str">
        <f t="shared" si="50"/>
        <v>Norm</v>
      </c>
      <c r="E481">
        <f t="shared" si="51"/>
        <v>3</v>
      </c>
      <c r="F481" t="str">
        <f t="shared" si="52"/>
        <v>D</v>
      </c>
      <c r="G481" s="115">
        <v>0</v>
      </c>
      <c r="H481" s="54">
        <v>15842350.800000001</v>
      </c>
      <c r="I481" s="54">
        <v>15842350.800000001</v>
      </c>
      <c r="J481" s="115">
        <v>0</v>
      </c>
      <c r="K481" t="str">
        <f t="shared" si="47"/>
        <v>0</v>
      </c>
      <c r="L481" s="173">
        <f t="shared" si="48"/>
        <v>0</v>
      </c>
    </row>
    <row r="482" spans="1:12" x14ac:dyDescent="0.3">
      <c r="A482" t="s">
        <v>3098</v>
      </c>
      <c r="B482" t="s">
        <v>2297</v>
      </c>
      <c r="C482">
        <f t="shared" si="49"/>
        <v>8</v>
      </c>
      <c r="D482" t="str">
        <f t="shared" si="50"/>
        <v>Norm</v>
      </c>
      <c r="E482">
        <f t="shared" si="51"/>
        <v>3</v>
      </c>
      <c r="F482" t="str">
        <f t="shared" si="52"/>
        <v>D</v>
      </c>
      <c r="G482" s="115" t="s">
        <v>25</v>
      </c>
      <c r="H482" s="54">
        <v>8511174.2300000004</v>
      </c>
      <c r="I482" s="54">
        <v>8511174.2300000004</v>
      </c>
      <c r="J482" s="115" t="s">
        <v>25</v>
      </c>
      <c r="K482" t="str">
        <f t="shared" si="47"/>
        <v>D</v>
      </c>
      <c r="L482" s="173">
        <f t="shared" si="48"/>
        <v>0</v>
      </c>
    </row>
    <row r="483" spans="1:12" x14ac:dyDescent="0.3">
      <c r="A483" t="s">
        <v>3099</v>
      </c>
      <c r="B483" t="s">
        <v>2298</v>
      </c>
      <c r="C483">
        <f t="shared" si="49"/>
        <v>11</v>
      </c>
      <c r="D483" t="str">
        <f t="shared" si="50"/>
        <v>Norm</v>
      </c>
      <c r="E483">
        <f t="shared" si="51"/>
        <v>3</v>
      </c>
      <c r="F483" t="str">
        <f t="shared" si="52"/>
        <v>D</v>
      </c>
      <c r="G483" s="115" t="s">
        <v>25</v>
      </c>
      <c r="H483" s="54">
        <v>8511174.2300000004</v>
      </c>
      <c r="I483" s="54">
        <v>8511174.2300000004</v>
      </c>
      <c r="J483" s="115" t="s">
        <v>25</v>
      </c>
      <c r="K483" t="str">
        <f t="shared" si="47"/>
        <v>D</v>
      </c>
      <c r="L483" s="173">
        <f t="shared" si="48"/>
        <v>0</v>
      </c>
    </row>
    <row r="484" spans="1:12" x14ac:dyDescent="0.3">
      <c r="A484" t="s">
        <v>3100</v>
      </c>
      <c r="B484" t="s">
        <v>2299</v>
      </c>
      <c r="C484">
        <f t="shared" si="49"/>
        <v>16</v>
      </c>
      <c r="D484" t="str">
        <f t="shared" si="50"/>
        <v>Norm</v>
      </c>
      <c r="E484">
        <f t="shared" si="51"/>
        <v>3</v>
      </c>
      <c r="F484" t="str">
        <f t="shared" si="52"/>
        <v>D</v>
      </c>
      <c r="G484" s="115" t="s">
        <v>25</v>
      </c>
      <c r="H484" s="54">
        <v>8138395.6699999999</v>
      </c>
      <c r="I484" s="54">
        <v>8138395.6699999999</v>
      </c>
      <c r="J484" s="115" t="s">
        <v>25</v>
      </c>
      <c r="K484" t="str">
        <f t="shared" si="47"/>
        <v>D</v>
      </c>
      <c r="L484" s="173">
        <f t="shared" si="48"/>
        <v>0</v>
      </c>
    </row>
    <row r="485" spans="1:12" x14ac:dyDescent="0.3">
      <c r="A485" t="s">
        <v>3101</v>
      </c>
      <c r="B485" t="s">
        <v>2300</v>
      </c>
      <c r="C485">
        <f t="shared" si="49"/>
        <v>16</v>
      </c>
      <c r="D485" t="str">
        <f t="shared" si="50"/>
        <v>Red.</v>
      </c>
      <c r="E485">
        <f t="shared" si="51"/>
        <v>3</v>
      </c>
      <c r="F485" t="str">
        <f t="shared" si="52"/>
        <v>C</v>
      </c>
      <c r="G485" s="115" t="s">
        <v>25</v>
      </c>
      <c r="H485" s="54">
        <v>372778.56</v>
      </c>
      <c r="I485" s="54">
        <v>372778.56</v>
      </c>
      <c r="J485" s="115" t="s">
        <v>25</v>
      </c>
      <c r="K485" t="str">
        <f t="shared" si="47"/>
        <v>D</v>
      </c>
      <c r="L485" s="173">
        <f t="shared" si="48"/>
        <v>0</v>
      </c>
    </row>
    <row r="486" spans="1:12" x14ac:dyDescent="0.3">
      <c r="A486" t="s">
        <v>3102</v>
      </c>
      <c r="B486" t="s">
        <v>1639</v>
      </c>
      <c r="C486">
        <f t="shared" si="49"/>
        <v>8</v>
      </c>
      <c r="D486" t="str">
        <f t="shared" si="50"/>
        <v>Norm</v>
      </c>
      <c r="E486">
        <f t="shared" si="51"/>
        <v>3</v>
      </c>
      <c r="F486" t="str">
        <f t="shared" si="52"/>
        <v>D</v>
      </c>
      <c r="G486" s="115" t="s">
        <v>884</v>
      </c>
      <c r="H486" s="54">
        <v>771359.93</v>
      </c>
      <c r="I486" s="54">
        <v>771359.93</v>
      </c>
      <c r="J486" s="115" t="s">
        <v>884</v>
      </c>
      <c r="K486" t="str">
        <f t="shared" si="47"/>
        <v>C</v>
      </c>
      <c r="L486" s="173">
        <f t="shared" si="48"/>
        <v>0</v>
      </c>
    </row>
    <row r="487" spans="1:12" x14ac:dyDescent="0.3">
      <c r="A487" t="s">
        <v>3103</v>
      </c>
      <c r="B487" t="s">
        <v>1642</v>
      </c>
      <c r="C487">
        <f t="shared" si="49"/>
        <v>11</v>
      </c>
      <c r="D487" t="str">
        <f t="shared" si="50"/>
        <v>Norm</v>
      </c>
      <c r="E487">
        <f t="shared" si="51"/>
        <v>3</v>
      </c>
      <c r="F487" t="str">
        <f t="shared" si="52"/>
        <v>D</v>
      </c>
      <c r="G487" s="115" t="s">
        <v>884</v>
      </c>
      <c r="H487" s="54">
        <v>117713.2</v>
      </c>
      <c r="I487" s="54">
        <v>117713.2</v>
      </c>
      <c r="J487" s="115" t="s">
        <v>884</v>
      </c>
      <c r="K487" t="str">
        <f t="shared" si="47"/>
        <v>C</v>
      </c>
      <c r="L487" s="173">
        <f t="shared" si="48"/>
        <v>0</v>
      </c>
    </row>
    <row r="488" spans="1:12" x14ac:dyDescent="0.3">
      <c r="A488" t="s">
        <v>3104</v>
      </c>
      <c r="B488" t="s">
        <v>1645</v>
      </c>
      <c r="C488">
        <f t="shared" si="49"/>
        <v>16</v>
      </c>
      <c r="D488" t="str">
        <f t="shared" si="50"/>
        <v>Norm</v>
      </c>
      <c r="E488">
        <f t="shared" si="51"/>
        <v>3</v>
      </c>
      <c r="F488" t="str">
        <f t="shared" si="52"/>
        <v>D</v>
      </c>
      <c r="G488" s="115" t="s">
        <v>884</v>
      </c>
      <c r="H488" s="54">
        <v>117713.2</v>
      </c>
      <c r="I488" s="54">
        <v>117713.2</v>
      </c>
      <c r="J488" s="115" t="s">
        <v>884</v>
      </c>
      <c r="K488" t="str">
        <f t="shared" si="47"/>
        <v>C</v>
      </c>
      <c r="L488" s="173">
        <f t="shared" si="48"/>
        <v>0</v>
      </c>
    </row>
    <row r="489" spans="1:12" x14ac:dyDescent="0.3">
      <c r="A489" t="s">
        <v>3105</v>
      </c>
      <c r="B489" t="s">
        <v>1647</v>
      </c>
      <c r="C489">
        <f t="shared" si="49"/>
        <v>11</v>
      </c>
      <c r="D489" t="str">
        <f t="shared" si="50"/>
        <v>Norm</v>
      </c>
      <c r="E489">
        <f t="shared" si="51"/>
        <v>3</v>
      </c>
      <c r="F489" t="str">
        <f t="shared" si="52"/>
        <v>D</v>
      </c>
      <c r="G489" s="115" t="s">
        <v>884</v>
      </c>
      <c r="H489" s="54">
        <v>653646.73</v>
      </c>
      <c r="I489" s="54">
        <v>653646.73</v>
      </c>
      <c r="J489" s="115" t="s">
        <v>884</v>
      </c>
      <c r="K489" t="str">
        <f t="shared" si="47"/>
        <v>C</v>
      </c>
      <c r="L489" s="173">
        <f t="shared" si="48"/>
        <v>0</v>
      </c>
    </row>
    <row r="490" spans="1:12" x14ac:dyDescent="0.3">
      <c r="A490" t="s">
        <v>3106</v>
      </c>
      <c r="B490" t="s">
        <v>1650</v>
      </c>
      <c r="C490">
        <f t="shared" si="49"/>
        <v>16</v>
      </c>
      <c r="D490" t="str">
        <f t="shared" si="50"/>
        <v>Norm</v>
      </c>
      <c r="E490">
        <f t="shared" si="51"/>
        <v>3</v>
      </c>
      <c r="F490" t="str">
        <f t="shared" si="52"/>
        <v>D</v>
      </c>
      <c r="G490" s="115" t="s">
        <v>884</v>
      </c>
      <c r="H490" s="54">
        <v>1340</v>
      </c>
      <c r="I490" s="54">
        <v>1340</v>
      </c>
      <c r="J490" s="115" t="s">
        <v>884</v>
      </c>
      <c r="K490" t="str">
        <f t="shared" si="47"/>
        <v>C</v>
      </c>
      <c r="L490" s="173">
        <f t="shared" si="48"/>
        <v>0</v>
      </c>
    </row>
    <row r="491" spans="1:12" x14ac:dyDescent="0.3">
      <c r="A491" t="s">
        <v>3107</v>
      </c>
      <c r="B491" t="s">
        <v>1653</v>
      </c>
      <c r="C491">
        <f t="shared" si="49"/>
        <v>16</v>
      </c>
      <c r="D491" t="str">
        <f t="shared" si="50"/>
        <v>Norm</v>
      </c>
      <c r="E491">
        <f t="shared" si="51"/>
        <v>3</v>
      </c>
      <c r="F491" t="str">
        <f t="shared" si="52"/>
        <v>D</v>
      </c>
      <c r="G491" s="115" t="s">
        <v>884</v>
      </c>
      <c r="H491" s="54">
        <v>6000</v>
      </c>
      <c r="I491" s="54">
        <v>6000</v>
      </c>
      <c r="J491" s="115" t="s">
        <v>884</v>
      </c>
      <c r="K491" t="str">
        <f t="shared" si="47"/>
        <v>C</v>
      </c>
      <c r="L491" s="173">
        <f t="shared" si="48"/>
        <v>0</v>
      </c>
    </row>
    <row r="492" spans="1:12" x14ac:dyDescent="0.3">
      <c r="A492" t="s">
        <v>3108</v>
      </c>
      <c r="B492" t="s">
        <v>1655</v>
      </c>
      <c r="C492">
        <f t="shared" si="49"/>
        <v>16</v>
      </c>
      <c r="D492" t="str">
        <f t="shared" si="50"/>
        <v>Norm</v>
      </c>
      <c r="E492">
        <f t="shared" si="51"/>
        <v>3</v>
      </c>
      <c r="F492" t="str">
        <f t="shared" si="52"/>
        <v>D</v>
      </c>
      <c r="G492" s="115" t="s">
        <v>884</v>
      </c>
      <c r="H492" s="54">
        <v>383942.99</v>
      </c>
      <c r="I492" s="54">
        <v>383942.99</v>
      </c>
      <c r="J492" s="115" t="s">
        <v>884</v>
      </c>
      <c r="K492" t="str">
        <f t="shared" si="47"/>
        <v>C</v>
      </c>
      <c r="L492" s="173">
        <f t="shared" si="48"/>
        <v>0</v>
      </c>
    </row>
    <row r="493" spans="1:12" x14ac:dyDescent="0.3">
      <c r="A493" t="s">
        <v>3109</v>
      </c>
      <c r="B493" t="s">
        <v>1657</v>
      </c>
      <c r="C493">
        <f t="shared" si="49"/>
        <v>16</v>
      </c>
      <c r="D493" t="str">
        <f t="shared" si="50"/>
        <v>Norm</v>
      </c>
      <c r="E493">
        <f t="shared" si="51"/>
        <v>3</v>
      </c>
      <c r="F493" t="str">
        <f t="shared" si="52"/>
        <v>D</v>
      </c>
      <c r="G493" s="115" t="s">
        <v>884</v>
      </c>
      <c r="H493" s="54">
        <v>246333.61</v>
      </c>
      <c r="I493" s="54">
        <v>246333.61</v>
      </c>
      <c r="J493" s="115" t="s">
        <v>884</v>
      </c>
      <c r="K493" t="str">
        <f t="shared" si="47"/>
        <v>C</v>
      </c>
      <c r="L493" s="173">
        <f t="shared" si="48"/>
        <v>0</v>
      </c>
    </row>
    <row r="494" spans="1:12" x14ac:dyDescent="0.3">
      <c r="A494" t="s">
        <v>3110</v>
      </c>
      <c r="B494" t="s">
        <v>1663</v>
      </c>
      <c r="C494">
        <f t="shared" si="49"/>
        <v>16</v>
      </c>
      <c r="D494" t="str">
        <f t="shared" si="50"/>
        <v>Red.</v>
      </c>
      <c r="E494">
        <f t="shared" si="51"/>
        <v>3</v>
      </c>
      <c r="F494" t="str">
        <f t="shared" si="52"/>
        <v>C</v>
      </c>
      <c r="G494" s="115" t="s">
        <v>884</v>
      </c>
      <c r="H494" s="115">
        <v>65.8</v>
      </c>
      <c r="I494" s="115">
        <v>65.8</v>
      </c>
      <c r="J494" s="115" t="s">
        <v>884</v>
      </c>
      <c r="K494" t="str">
        <f t="shared" si="47"/>
        <v>C</v>
      </c>
      <c r="L494" s="173">
        <f t="shared" si="48"/>
        <v>0</v>
      </c>
    </row>
    <row r="495" spans="1:12" x14ac:dyDescent="0.3">
      <c r="A495" t="s">
        <v>3111</v>
      </c>
      <c r="B495" t="s">
        <v>1666</v>
      </c>
      <c r="C495">
        <f t="shared" si="49"/>
        <v>16</v>
      </c>
      <c r="D495" t="str">
        <f t="shared" si="50"/>
        <v>Norm</v>
      </c>
      <c r="E495">
        <f t="shared" si="51"/>
        <v>3</v>
      </c>
      <c r="F495" t="str">
        <f t="shared" si="52"/>
        <v>D</v>
      </c>
      <c r="G495" s="115" t="s">
        <v>884</v>
      </c>
      <c r="H495" s="54">
        <v>15964.33</v>
      </c>
      <c r="I495" s="54">
        <v>15964.33</v>
      </c>
      <c r="J495" s="115" t="s">
        <v>884</v>
      </c>
      <c r="K495" t="str">
        <f t="shared" si="47"/>
        <v>C</v>
      </c>
      <c r="L495" s="173">
        <f t="shared" si="48"/>
        <v>0</v>
      </c>
    </row>
    <row r="496" spans="1:12" x14ac:dyDescent="0.3">
      <c r="A496" t="s">
        <v>3112</v>
      </c>
      <c r="B496" t="s">
        <v>1668</v>
      </c>
      <c r="C496">
        <f t="shared" si="49"/>
        <v>8</v>
      </c>
      <c r="D496" t="str">
        <f t="shared" si="50"/>
        <v>Norm</v>
      </c>
      <c r="E496">
        <f t="shared" si="51"/>
        <v>3</v>
      </c>
      <c r="F496" t="str">
        <f t="shared" si="52"/>
        <v>D</v>
      </c>
      <c r="G496" s="115" t="s">
        <v>884</v>
      </c>
      <c r="H496" s="54">
        <v>6559816.6399999997</v>
      </c>
      <c r="I496" s="54">
        <v>6559816.6399999997</v>
      </c>
      <c r="J496" s="115" t="s">
        <v>884</v>
      </c>
      <c r="K496" t="str">
        <f t="shared" si="47"/>
        <v>C</v>
      </c>
      <c r="L496" s="173">
        <f t="shared" si="48"/>
        <v>0</v>
      </c>
    </row>
    <row r="497" spans="1:12" x14ac:dyDescent="0.3">
      <c r="A497" t="s">
        <v>3113</v>
      </c>
      <c r="B497" t="s">
        <v>2302</v>
      </c>
      <c r="C497">
        <f t="shared" si="49"/>
        <v>11</v>
      </c>
      <c r="D497" t="str">
        <f t="shared" si="50"/>
        <v>Norm</v>
      </c>
      <c r="E497">
        <f t="shared" si="51"/>
        <v>3</v>
      </c>
      <c r="F497" t="str">
        <f t="shared" si="52"/>
        <v>D</v>
      </c>
      <c r="G497" s="115" t="s">
        <v>884</v>
      </c>
      <c r="H497" s="54">
        <v>2865668.22</v>
      </c>
      <c r="I497" s="54">
        <v>2865668.22</v>
      </c>
      <c r="J497" s="115" t="s">
        <v>884</v>
      </c>
      <c r="K497" t="str">
        <f t="shared" si="47"/>
        <v>C</v>
      </c>
      <c r="L497" s="173">
        <f t="shared" si="48"/>
        <v>0</v>
      </c>
    </row>
    <row r="498" spans="1:12" x14ac:dyDescent="0.3">
      <c r="A498" t="s">
        <v>3114</v>
      </c>
      <c r="B498" t="s">
        <v>2304</v>
      </c>
      <c r="C498">
        <f t="shared" si="49"/>
        <v>16</v>
      </c>
      <c r="D498" t="str">
        <f t="shared" si="50"/>
        <v>Norm</v>
      </c>
      <c r="E498">
        <f t="shared" si="51"/>
        <v>3</v>
      </c>
      <c r="F498" t="str">
        <f t="shared" si="52"/>
        <v>D</v>
      </c>
      <c r="G498" s="115">
        <v>0</v>
      </c>
      <c r="H498" s="54">
        <v>19466.12</v>
      </c>
      <c r="I498" s="54">
        <v>19466.12</v>
      </c>
      <c r="J498" s="115">
        <v>0</v>
      </c>
      <c r="K498" t="str">
        <f t="shared" si="47"/>
        <v>0</v>
      </c>
      <c r="L498" s="173">
        <f t="shared" si="48"/>
        <v>0</v>
      </c>
    </row>
    <row r="499" spans="1:12" x14ac:dyDescent="0.3">
      <c r="A499" t="s">
        <v>3115</v>
      </c>
      <c r="B499" t="s">
        <v>2306</v>
      </c>
      <c r="C499">
        <f t="shared" si="49"/>
        <v>16</v>
      </c>
      <c r="D499" t="str">
        <f t="shared" si="50"/>
        <v>Norm</v>
      </c>
      <c r="E499">
        <f t="shared" si="51"/>
        <v>3</v>
      </c>
      <c r="F499" t="str">
        <f t="shared" si="52"/>
        <v>D</v>
      </c>
      <c r="G499" s="115">
        <v>0</v>
      </c>
      <c r="H499" s="54">
        <v>11800.49</v>
      </c>
      <c r="I499" s="54">
        <v>11800.49</v>
      </c>
      <c r="J499" s="115">
        <v>0</v>
      </c>
      <c r="K499" t="str">
        <f t="shared" si="47"/>
        <v>0</v>
      </c>
      <c r="L499" s="173">
        <f t="shared" si="48"/>
        <v>0</v>
      </c>
    </row>
    <row r="500" spans="1:12" x14ac:dyDescent="0.3">
      <c r="A500" t="s">
        <v>3116</v>
      </c>
      <c r="B500" t="s">
        <v>2308</v>
      </c>
      <c r="C500">
        <f t="shared" si="49"/>
        <v>16</v>
      </c>
      <c r="D500" t="str">
        <f t="shared" si="50"/>
        <v>Norm</v>
      </c>
      <c r="E500">
        <f t="shared" si="51"/>
        <v>3</v>
      </c>
      <c r="F500" t="str">
        <f t="shared" si="52"/>
        <v>D</v>
      </c>
      <c r="G500" s="115">
        <v>0</v>
      </c>
      <c r="H500" s="54">
        <v>2834401.61</v>
      </c>
      <c r="I500" s="54">
        <v>2834401.61</v>
      </c>
      <c r="J500" s="115">
        <v>0</v>
      </c>
      <c r="K500" t="str">
        <f t="shared" si="47"/>
        <v>0</v>
      </c>
      <c r="L500" s="173">
        <f t="shared" si="48"/>
        <v>0</v>
      </c>
    </row>
    <row r="501" spans="1:12" x14ac:dyDescent="0.3">
      <c r="A501" t="s">
        <v>3117</v>
      </c>
      <c r="B501" t="s">
        <v>1676</v>
      </c>
      <c r="C501">
        <f t="shared" si="49"/>
        <v>11</v>
      </c>
      <c r="D501" t="str">
        <f t="shared" si="50"/>
        <v>Norm</v>
      </c>
      <c r="E501">
        <f t="shared" si="51"/>
        <v>3</v>
      </c>
      <c r="F501" t="str">
        <f t="shared" si="52"/>
        <v>D</v>
      </c>
      <c r="G501" s="115">
        <v>0</v>
      </c>
      <c r="H501" s="54">
        <v>3667501.99</v>
      </c>
      <c r="I501" s="54">
        <v>3667501.99</v>
      </c>
      <c r="J501" s="115">
        <v>0</v>
      </c>
      <c r="K501" t="str">
        <f t="shared" si="47"/>
        <v>0</v>
      </c>
      <c r="L501" s="173">
        <f t="shared" si="48"/>
        <v>0</v>
      </c>
    </row>
    <row r="502" spans="1:12" x14ac:dyDescent="0.3">
      <c r="A502" t="s">
        <v>3118</v>
      </c>
      <c r="B502" t="s">
        <v>1679</v>
      </c>
      <c r="C502">
        <f t="shared" si="49"/>
        <v>16</v>
      </c>
      <c r="D502" t="str">
        <f t="shared" si="50"/>
        <v>Norm</v>
      </c>
      <c r="E502">
        <f t="shared" si="51"/>
        <v>3</v>
      </c>
      <c r="F502" t="str">
        <f t="shared" si="52"/>
        <v>D</v>
      </c>
      <c r="G502" s="115">
        <v>0</v>
      </c>
      <c r="H502" s="115">
        <v>517.87</v>
      </c>
      <c r="I502" s="115">
        <v>517.87</v>
      </c>
      <c r="J502" s="115">
        <v>0</v>
      </c>
      <c r="K502" t="str">
        <f t="shared" si="47"/>
        <v>0</v>
      </c>
      <c r="L502" s="173">
        <f t="shared" si="48"/>
        <v>0</v>
      </c>
    </row>
    <row r="503" spans="1:12" x14ac:dyDescent="0.3">
      <c r="A503" t="s">
        <v>3119</v>
      </c>
      <c r="B503" t="s">
        <v>1682</v>
      </c>
      <c r="C503">
        <f t="shared" si="49"/>
        <v>16</v>
      </c>
      <c r="D503" t="str">
        <f t="shared" si="50"/>
        <v>Norm</v>
      </c>
      <c r="E503">
        <f t="shared" si="51"/>
        <v>3</v>
      </c>
      <c r="F503" t="str">
        <f t="shared" si="52"/>
        <v>D</v>
      </c>
      <c r="G503" s="115">
        <v>0</v>
      </c>
      <c r="H503" s="54">
        <v>3666187.14</v>
      </c>
      <c r="I503" s="54">
        <v>3666187.14</v>
      </c>
      <c r="J503" s="115">
        <v>0</v>
      </c>
      <c r="K503" t="str">
        <f t="shared" si="47"/>
        <v>0</v>
      </c>
      <c r="L503" s="173">
        <f t="shared" si="48"/>
        <v>0</v>
      </c>
    </row>
    <row r="504" spans="1:12" x14ac:dyDescent="0.3">
      <c r="A504" t="s">
        <v>3120</v>
      </c>
      <c r="B504" t="s">
        <v>1685</v>
      </c>
      <c r="C504">
        <f t="shared" si="49"/>
        <v>16</v>
      </c>
      <c r="D504" t="str">
        <f t="shared" si="50"/>
        <v>Norm</v>
      </c>
      <c r="E504">
        <f t="shared" si="51"/>
        <v>3</v>
      </c>
      <c r="F504" t="str">
        <f t="shared" si="52"/>
        <v>D</v>
      </c>
      <c r="G504" s="115">
        <v>0</v>
      </c>
      <c r="H504" s="115">
        <v>621.77</v>
      </c>
      <c r="I504" s="115">
        <v>621.77</v>
      </c>
      <c r="J504" s="115">
        <v>0</v>
      </c>
      <c r="K504" t="str">
        <f t="shared" si="47"/>
        <v>0</v>
      </c>
      <c r="L504" s="173">
        <f t="shared" si="48"/>
        <v>0</v>
      </c>
    </row>
    <row r="505" spans="1:12" x14ac:dyDescent="0.3">
      <c r="A505" t="s">
        <v>3121</v>
      </c>
      <c r="B505" t="s">
        <v>1688</v>
      </c>
      <c r="C505">
        <f t="shared" si="49"/>
        <v>16</v>
      </c>
      <c r="D505" t="str">
        <f t="shared" si="50"/>
        <v>Norm</v>
      </c>
      <c r="E505">
        <f t="shared" si="51"/>
        <v>3</v>
      </c>
      <c r="F505" t="str">
        <f t="shared" si="52"/>
        <v>D</v>
      </c>
      <c r="G505" s="115">
        <v>0</v>
      </c>
      <c r="H505" s="115">
        <v>172.04</v>
      </c>
      <c r="I505" s="115">
        <v>172.04</v>
      </c>
      <c r="J505" s="115">
        <v>0</v>
      </c>
      <c r="K505" t="str">
        <f t="shared" si="47"/>
        <v>0</v>
      </c>
      <c r="L505" s="173">
        <f t="shared" si="48"/>
        <v>0</v>
      </c>
    </row>
    <row r="506" spans="1:12" x14ac:dyDescent="0.3">
      <c r="A506" t="s">
        <v>3122</v>
      </c>
      <c r="B506" t="s">
        <v>1691</v>
      </c>
      <c r="C506">
        <f t="shared" si="49"/>
        <v>16</v>
      </c>
      <c r="D506" t="str">
        <f t="shared" si="50"/>
        <v>Norm</v>
      </c>
      <c r="E506">
        <f t="shared" si="51"/>
        <v>3</v>
      </c>
      <c r="F506" t="str">
        <f t="shared" si="52"/>
        <v>D</v>
      </c>
      <c r="G506" s="115">
        <v>0</v>
      </c>
      <c r="H506" s="115">
        <v>2.89</v>
      </c>
      <c r="I506" s="115">
        <v>2.89</v>
      </c>
      <c r="J506" s="115">
        <v>0</v>
      </c>
      <c r="K506" t="str">
        <f t="shared" si="47"/>
        <v>0</v>
      </c>
      <c r="L506" s="173">
        <f t="shared" si="48"/>
        <v>0</v>
      </c>
    </row>
    <row r="507" spans="1:12" x14ac:dyDescent="0.3">
      <c r="A507" t="s">
        <v>3123</v>
      </c>
      <c r="B507" t="s">
        <v>2310</v>
      </c>
      <c r="C507">
        <f t="shared" si="49"/>
        <v>16</v>
      </c>
      <c r="D507" t="str">
        <f t="shared" si="50"/>
        <v>Norm</v>
      </c>
      <c r="E507">
        <f t="shared" si="51"/>
        <v>3</v>
      </c>
      <c r="F507" t="str">
        <f t="shared" si="52"/>
        <v>D</v>
      </c>
      <c r="G507" s="115">
        <v>0</v>
      </c>
      <c r="H507" s="115">
        <v>0.28000000000000003</v>
      </c>
      <c r="I507" s="115">
        <v>0.28000000000000003</v>
      </c>
      <c r="J507" s="115">
        <v>0</v>
      </c>
      <c r="K507" t="str">
        <f t="shared" si="47"/>
        <v>0</v>
      </c>
      <c r="L507" s="173">
        <f t="shared" si="48"/>
        <v>0</v>
      </c>
    </row>
    <row r="508" spans="1:12" x14ac:dyDescent="0.3">
      <c r="A508" t="s">
        <v>3124</v>
      </c>
      <c r="B508" t="s">
        <v>2312</v>
      </c>
      <c r="C508">
        <f t="shared" si="49"/>
        <v>11</v>
      </c>
      <c r="D508" t="str">
        <f t="shared" si="50"/>
        <v>Norm</v>
      </c>
      <c r="E508">
        <f t="shared" si="51"/>
        <v>3</v>
      </c>
      <c r="F508" t="str">
        <f t="shared" si="52"/>
        <v>D</v>
      </c>
      <c r="G508" s="115">
        <v>0</v>
      </c>
      <c r="H508" s="54">
        <v>26646.43</v>
      </c>
      <c r="I508" s="54">
        <v>26646.43</v>
      </c>
      <c r="J508" s="115">
        <v>0</v>
      </c>
      <c r="K508" t="str">
        <f t="shared" si="47"/>
        <v>0</v>
      </c>
      <c r="L508" s="173">
        <f t="shared" si="48"/>
        <v>0</v>
      </c>
    </row>
    <row r="509" spans="1:12" x14ac:dyDescent="0.3">
      <c r="A509" t="s">
        <v>3125</v>
      </c>
      <c r="B509" t="s">
        <v>2314</v>
      </c>
      <c r="C509">
        <f t="shared" si="49"/>
        <v>16</v>
      </c>
      <c r="D509" t="str">
        <f t="shared" si="50"/>
        <v>Norm</v>
      </c>
      <c r="E509">
        <f t="shared" si="51"/>
        <v>3</v>
      </c>
      <c r="F509" t="str">
        <f t="shared" si="52"/>
        <v>D</v>
      </c>
      <c r="G509" s="115">
        <v>0</v>
      </c>
      <c r="H509" s="54">
        <v>26646.43</v>
      </c>
      <c r="I509" s="54">
        <v>26646.43</v>
      </c>
      <c r="J509" s="115">
        <v>0</v>
      </c>
      <c r="K509" t="str">
        <f t="shared" si="47"/>
        <v>0</v>
      </c>
      <c r="L509" s="173">
        <f t="shared" si="48"/>
        <v>0</v>
      </c>
    </row>
    <row r="510" spans="1:12" x14ac:dyDescent="0.3">
      <c r="A510" t="s">
        <v>3126</v>
      </c>
      <c r="B510" t="s">
        <v>1694</v>
      </c>
      <c r="C510">
        <f t="shared" si="49"/>
        <v>5</v>
      </c>
      <c r="D510" t="str">
        <f t="shared" si="50"/>
        <v>Norm</v>
      </c>
      <c r="E510">
        <f t="shared" si="51"/>
        <v>3</v>
      </c>
      <c r="F510" t="str">
        <f t="shared" si="52"/>
        <v>D</v>
      </c>
      <c r="G510" s="115">
        <v>0</v>
      </c>
      <c r="H510" s="54">
        <v>32029301.399999999</v>
      </c>
      <c r="I510" s="54">
        <v>32029301.399999999</v>
      </c>
      <c r="J510" s="115">
        <v>0</v>
      </c>
      <c r="K510" t="str">
        <f t="shared" si="47"/>
        <v>0</v>
      </c>
      <c r="L510" s="173">
        <f t="shared" si="48"/>
        <v>0</v>
      </c>
    </row>
    <row r="511" spans="1:12" x14ac:dyDescent="0.3">
      <c r="A511" t="s">
        <v>3127</v>
      </c>
      <c r="B511" t="s">
        <v>1697</v>
      </c>
      <c r="C511">
        <f t="shared" si="49"/>
        <v>8</v>
      </c>
      <c r="D511" t="str">
        <f t="shared" si="50"/>
        <v>Norm</v>
      </c>
      <c r="E511">
        <f t="shared" si="51"/>
        <v>3</v>
      </c>
      <c r="F511" t="str">
        <f t="shared" si="52"/>
        <v>D</v>
      </c>
      <c r="G511" s="115" t="s">
        <v>884</v>
      </c>
      <c r="H511" s="54">
        <v>32029301.399999999</v>
      </c>
      <c r="I511" s="54">
        <v>32029301.399999999</v>
      </c>
      <c r="J511" s="115" t="s">
        <v>884</v>
      </c>
      <c r="K511" t="str">
        <f t="shared" si="47"/>
        <v>C</v>
      </c>
      <c r="L511" s="173">
        <f t="shared" si="48"/>
        <v>0</v>
      </c>
    </row>
    <row r="512" spans="1:12" x14ac:dyDescent="0.3">
      <c r="A512" t="s">
        <v>3128</v>
      </c>
      <c r="B512" t="s">
        <v>1699</v>
      </c>
      <c r="C512">
        <f t="shared" si="49"/>
        <v>11</v>
      </c>
      <c r="D512" t="str">
        <f t="shared" si="50"/>
        <v>Norm</v>
      </c>
      <c r="E512">
        <f t="shared" si="51"/>
        <v>3</v>
      </c>
      <c r="F512" t="str">
        <f t="shared" si="52"/>
        <v>D</v>
      </c>
      <c r="G512" s="115" t="s">
        <v>884</v>
      </c>
      <c r="H512" s="54">
        <v>7126853.6799999997</v>
      </c>
      <c r="I512" s="54">
        <v>7126853.6799999997</v>
      </c>
      <c r="J512" s="115" t="s">
        <v>884</v>
      </c>
      <c r="K512" t="str">
        <f t="shared" si="47"/>
        <v>C</v>
      </c>
      <c r="L512" s="173">
        <f t="shared" si="48"/>
        <v>0</v>
      </c>
    </row>
    <row r="513" spans="1:12" x14ac:dyDescent="0.3">
      <c r="A513" t="s">
        <v>3129</v>
      </c>
      <c r="B513" t="s">
        <v>1702</v>
      </c>
      <c r="C513">
        <f t="shared" si="49"/>
        <v>16</v>
      </c>
      <c r="D513" t="str">
        <f t="shared" si="50"/>
        <v>Norm</v>
      </c>
      <c r="E513">
        <f t="shared" si="51"/>
        <v>3</v>
      </c>
      <c r="F513" t="str">
        <f t="shared" si="52"/>
        <v>D</v>
      </c>
      <c r="G513" s="115" t="s">
        <v>884</v>
      </c>
      <c r="H513" s="54">
        <v>195397.71</v>
      </c>
      <c r="I513" s="54">
        <v>195397.71</v>
      </c>
      <c r="J513" s="115" t="s">
        <v>884</v>
      </c>
      <c r="K513" t="str">
        <f t="shared" si="47"/>
        <v>C</v>
      </c>
      <c r="L513" s="173">
        <f t="shared" si="48"/>
        <v>0</v>
      </c>
    </row>
    <row r="514" spans="1:12" x14ac:dyDescent="0.3">
      <c r="A514" t="s">
        <v>3130</v>
      </c>
      <c r="B514" t="s">
        <v>1705</v>
      </c>
      <c r="C514">
        <f t="shared" si="49"/>
        <v>16</v>
      </c>
      <c r="D514" t="str">
        <f t="shared" si="50"/>
        <v>Norm</v>
      </c>
      <c r="E514">
        <f t="shared" si="51"/>
        <v>3</v>
      </c>
      <c r="F514" t="str">
        <f t="shared" si="52"/>
        <v>D</v>
      </c>
      <c r="G514" s="115" t="s">
        <v>884</v>
      </c>
      <c r="H514" s="54">
        <v>175646.98</v>
      </c>
      <c r="I514" s="54">
        <v>175646.98</v>
      </c>
      <c r="J514" s="115" t="s">
        <v>884</v>
      </c>
      <c r="K514" t="str">
        <f t="shared" si="47"/>
        <v>C</v>
      </c>
      <c r="L514" s="173">
        <f t="shared" si="48"/>
        <v>0</v>
      </c>
    </row>
    <row r="515" spans="1:12" x14ac:dyDescent="0.3">
      <c r="A515" t="s">
        <v>3131</v>
      </c>
      <c r="B515" t="s">
        <v>1711</v>
      </c>
      <c r="C515">
        <f t="shared" si="49"/>
        <v>16</v>
      </c>
      <c r="D515" t="str">
        <f t="shared" si="50"/>
        <v>Norm</v>
      </c>
      <c r="E515">
        <f t="shared" si="51"/>
        <v>3</v>
      </c>
      <c r="F515" t="str">
        <f t="shared" si="52"/>
        <v>D</v>
      </c>
      <c r="G515" s="115" t="s">
        <v>884</v>
      </c>
      <c r="H515" s="54">
        <v>57490.46</v>
      </c>
      <c r="I515" s="54">
        <v>57490.46</v>
      </c>
      <c r="J515" s="115" t="s">
        <v>884</v>
      </c>
      <c r="K515" t="str">
        <f t="shared" ref="K515:K578" si="54">RIGHT(J515,1)</f>
        <v>C</v>
      </c>
      <c r="L515" s="173">
        <f t="shared" ref="L515:L578" si="55">IF(J515=0,0,LEFT(J515,LEN(J515)-1)+0)</f>
        <v>0</v>
      </c>
    </row>
    <row r="516" spans="1:12" x14ac:dyDescent="0.3">
      <c r="A516" t="s">
        <v>3132</v>
      </c>
      <c r="B516" t="s">
        <v>2315</v>
      </c>
      <c r="C516">
        <f t="shared" si="49"/>
        <v>16</v>
      </c>
      <c r="D516" t="str">
        <f t="shared" si="50"/>
        <v>Norm</v>
      </c>
      <c r="E516">
        <f t="shared" si="51"/>
        <v>3</v>
      </c>
      <c r="F516" t="str">
        <f t="shared" si="52"/>
        <v>D</v>
      </c>
      <c r="G516" s="115" t="s">
        <v>884</v>
      </c>
      <c r="H516" s="54">
        <v>1359.98</v>
      </c>
      <c r="I516" s="54">
        <v>1359.98</v>
      </c>
      <c r="J516" s="115" t="s">
        <v>884</v>
      </c>
      <c r="K516" t="str">
        <f t="shared" si="54"/>
        <v>C</v>
      </c>
      <c r="L516" s="173">
        <f t="shared" si="55"/>
        <v>0</v>
      </c>
    </row>
    <row r="517" spans="1:12" x14ac:dyDescent="0.3">
      <c r="A517" t="s">
        <v>3133</v>
      </c>
      <c r="B517" t="s">
        <v>2316</v>
      </c>
      <c r="C517">
        <f t="shared" si="49"/>
        <v>16</v>
      </c>
      <c r="D517" t="str">
        <f t="shared" si="50"/>
        <v>Norm</v>
      </c>
      <c r="E517">
        <f t="shared" si="51"/>
        <v>3</v>
      </c>
      <c r="F517" t="str">
        <f t="shared" si="52"/>
        <v>D</v>
      </c>
      <c r="G517" s="115" t="s">
        <v>25</v>
      </c>
      <c r="H517" s="54">
        <v>1901.06</v>
      </c>
      <c r="I517" s="54">
        <v>1901.06</v>
      </c>
      <c r="J517" s="115" t="s">
        <v>25</v>
      </c>
      <c r="K517" t="str">
        <f t="shared" si="54"/>
        <v>D</v>
      </c>
      <c r="L517" s="173">
        <f t="shared" si="55"/>
        <v>0</v>
      </c>
    </row>
    <row r="518" spans="1:12" x14ac:dyDescent="0.3">
      <c r="A518" t="s">
        <v>3134</v>
      </c>
      <c r="B518" t="s">
        <v>1717</v>
      </c>
      <c r="C518">
        <f t="shared" si="49"/>
        <v>15</v>
      </c>
      <c r="D518" t="str">
        <f t="shared" si="50"/>
        <v>Norm</v>
      </c>
      <c r="E518">
        <f t="shared" si="51"/>
        <v>3</v>
      </c>
      <c r="F518" t="str">
        <f t="shared" si="52"/>
        <v>D</v>
      </c>
      <c r="G518" s="115" t="s">
        <v>884</v>
      </c>
      <c r="H518" s="54">
        <v>2735490.17</v>
      </c>
      <c r="I518" s="54">
        <v>2735490.17</v>
      </c>
      <c r="J518" s="115" t="s">
        <v>884</v>
      </c>
      <c r="K518" t="str">
        <f t="shared" si="54"/>
        <v>C</v>
      </c>
      <c r="L518" s="173">
        <f t="shared" si="55"/>
        <v>0</v>
      </c>
    </row>
    <row r="519" spans="1:12" x14ac:dyDescent="0.3">
      <c r="A519" t="s">
        <v>3135</v>
      </c>
      <c r="B519" t="s">
        <v>2317</v>
      </c>
      <c r="C519">
        <f t="shared" si="49"/>
        <v>15</v>
      </c>
      <c r="D519" t="str">
        <f t="shared" si="50"/>
        <v>Norm</v>
      </c>
      <c r="E519">
        <f t="shared" si="51"/>
        <v>3</v>
      </c>
      <c r="F519" t="str">
        <f t="shared" si="52"/>
        <v>D</v>
      </c>
      <c r="G519" s="115" t="s">
        <v>884</v>
      </c>
      <c r="H519" s="54">
        <v>4026.33</v>
      </c>
      <c r="I519" s="54">
        <v>4026.33</v>
      </c>
      <c r="J519" s="115" t="s">
        <v>884</v>
      </c>
      <c r="K519" t="str">
        <f t="shared" si="54"/>
        <v>C</v>
      </c>
      <c r="L519" s="173">
        <f t="shared" si="55"/>
        <v>0</v>
      </c>
    </row>
    <row r="520" spans="1:12" x14ac:dyDescent="0.3">
      <c r="A520" t="s">
        <v>3136</v>
      </c>
      <c r="B520" t="s">
        <v>1720</v>
      </c>
      <c r="C520">
        <f t="shared" si="49"/>
        <v>15</v>
      </c>
      <c r="D520" t="str">
        <f t="shared" si="50"/>
        <v>Norm</v>
      </c>
      <c r="E520">
        <f t="shared" si="51"/>
        <v>3</v>
      </c>
      <c r="F520" t="str">
        <f t="shared" si="52"/>
        <v>D</v>
      </c>
      <c r="G520" s="115" t="s">
        <v>884</v>
      </c>
      <c r="H520" s="54">
        <v>642936.17000000004</v>
      </c>
      <c r="I520" s="54">
        <v>642936.17000000004</v>
      </c>
      <c r="J520" s="115" t="s">
        <v>884</v>
      </c>
      <c r="K520" t="str">
        <f t="shared" si="54"/>
        <v>C</v>
      </c>
      <c r="L520" s="173">
        <f t="shared" si="55"/>
        <v>0</v>
      </c>
    </row>
    <row r="521" spans="1:12" x14ac:dyDescent="0.3">
      <c r="A521" t="s">
        <v>3137</v>
      </c>
      <c r="B521" t="s">
        <v>1723</v>
      </c>
      <c r="C521">
        <f t="shared" si="49"/>
        <v>15</v>
      </c>
      <c r="D521" t="str">
        <f t="shared" si="50"/>
        <v>Norm</v>
      </c>
      <c r="E521">
        <f t="shared" si="51"/>
        <v>3</v>
      </c>
      <c r="F521" t="str">
        <f t="shared" si="52"/>
        <v>D</v>
      </c>
      <c r="G521" s="115" t="s">
        <v>884</v>
      </c>
      <c r="H521" s="54">
        <v>56026.09</v>
      </c>
      <c r="I521" s="54">
        <v>56026.09</v>
      </c>
      <c r="J521" s="115" t="s">
        <v>884</v>
      </c>
      <c r="K521" t="str">
        <f t="shared" si="54"/>
        <v>C</v>
      </c>
      <c r="L521" s="173">
        <f t="shared" si="55"/>
        <v>0</v>
      </c>
    </row>
    <row r="522" spans="1:12" x14ac:dyDescent="0.3">
      <c r="A522" t="s">
        <v>3138</v>
      </c>
      <c r="B522" t="s">
        <v>1726</v>
      </c>
      <c r="C522">
        <f t="shared" si="49"/>
        <v>15</v>
      </c>
      <c r="D522" t="str">
        <f t="shared" si="50"/>
        <v>Norm</v>
      </c>
      <c r="E522">
        <f t="shared" si="51"/>
        <v>3</v>
      </c>
      <c r="F522" t="str">
        <f t="shared" si="52"/>
        <v>D</v>
      </c>
      <c r="G522" s="115" t="s">
        <v>884</v>
      </c>
      <c r="H522" s="54">
        <v>75827.64</v>
      </c>
      <c r="I522" s="54">
        <v>75827.64</v>
      </c>
      <c r="J522" s="115" t="s">
        <v>884</v>
      </c>
      <c r="K522" t="str">
        <f t="shared" si="54"/>
        <v>C</v>
      </c>
      <c r="L522" s="173">
        <f t="shared" si="55"/>
        <v>0</v>
      </c>
    </row>
    <row r="523" spans="1:12" x14ac:dyDescent="0.3">
      <c r="A523" t="s">
        <v>3139</v>
      </c>
      <c r="B523" t="s">
        <v>1729</v>
      </c>
      <c r="C523">
        <f t="shared" si="49"/>
        <v>15</v>
      </c>
      <c r="D523" t="str">
        <f t="shared" si="50"/>
        <v>Norm</v>
      </c>
      <c r="E523">
        <f t="shared" si="51"/>
        <v>3</v>
      </c>
      <c r="F523" t="str">
        <f t="shared" si="52"/>
        <v>D</v>
      </c>
      <c r="G523" s="115" t="s">
        <v>884</v>
      </c>
      <c r="H523" s="54">
        <v>2209828.52</v>
      </c>
      <c r="I523" s="54">
        <v>2209828.52</v>
      </c>
      <c r="J523" s="115" t="s">
        <v>884</v>
      </c>
      <c r="K523" t="str">
        <f t="shared" si="54"/>
        <v>C</v>
      </c>
      <c r="L523" s="173">
        <f t="shared" si="55"/>
        <v>0</v>
      </c>
    </row>
    <row r="524" spans="1:12" x14ac:dyDescent="0.3">
      <c r="A524" t="s">
        <v>3140</v>
      </c>
      <c r="B524" t="s">
        <v>2318</v>
      </c>
      <c r="C524">
        <f t="shared" si="49"/>
        <v>15</v>
      </c>
      <c r="D524" t="str">
        <f t="shared" si="50"/>
        <v>Norm</v>
      </c>
      <c r="E524">
        <f t="shared" si="51"/>
        <v>3</v>
      </c>
      <c r="F524" t="str">
        <f t="shared" si="52"/>
        <v>D</v>
      </c>
      <c r="G524" s="115" t="s">
        <v>884</v>
      </c>
      <c r="H524" s="54">
        <v>1429.73</v>
      </c>
      <c r="I524" s="54">
        <v>1429.73</v>
      </c>
      <c r="J524" s="115" t="s">
        <v>884</v>
      </c>
      <c r="K524" t="str">
        <f t="shared" si="54"/>
        <v>C</v>
      </c>
      <c r="L524" s="173">
        <f t="shared" si="55"/>
        <v>0</v>
      </c>
    </row>
    <row r="525" spans="1:12" x14ac:dyDescent="0.3">
      <c r="A525" t="s">
        <v>3141</v>
      </c>
      <c r="B525" t="s">
        <v>1732</v>
      </c>
      <c r="C525">
        <f t="shared" ref="C525:C588" si="56">LEN(B525)</f>
        <v>15</v>
      </c>
      <c r="D525" t="str">
        <f t="shared" ref="D525:D588" si="57">IF(LEFT(TRIM(A525),1)="(","Red.","Norm")</f>
        <v>Norm</v>
      </c>
      <c r="E525">
        <f t="shared" ref="E525:E588" si="58">LEFT(SUBSTITUTE(B525,"[","",1),1)+0</f>
        <v>3</v>
      </c>
      <c r="F525" t="str">
        <f t="shared" ref="F525:F588" si="59">IF(AND(OR(E525=1,E525=3,E525=5),D525="Norm"),"D",
IF(AND(OR(E525=1,E525=3,E525=5),D525="Red."),"C",
IF(AND(OR(E525=2,E525=4,E525=6),D525="Norm"),"C",
IF(AND(OR(E525=2,E525=4,E525=6),D525="Red."),"D"))))</f>
        <v>D</v>
      </c>
      <c r="G525" s="115" t="s">
        <v>884</v>
      </c>
      <c r="H525" s="54">
        <v>13785</v>
      </c>
      <c r="I525" s="54">
        <v>13785</v>
      </c>
      <c r="J525" s="115" t="s">
        <v>884</v>
      </c>
      <c r="K525" t="str">
        <f t="shared" si="54"/>
        <v>C</v>
      </c>
      <c r="L525" s="173">
        <f t="shared" si="55"/>
        <v>0</v>
      </c>
    </row>
    <row r="526" spans="1:12" x14ac:dyDescent="0.3">
      <c r="A526" t="s">
        <v>3142</v>
      </c>
      <c r="B526" t="s">
        <v>1735</v>
      </c>
      <c r="C526">
        <f t="shared" si="56"/>
        <v>15</v>
      </c>
      <c r="D526" t="str">
        <f t="shared" si="57"/>
        <v>Norm</v>
      </c>
      <c r="E526">
        <f t="shared" si="58"/>
        <v>3</v>
      </c>
      <c r="F526" t="str">
        <f t="shared" si="59"/>
        <v>D</v>
      </c>
      <c r="G526" s="115" t="s">
        <v>884</v>
      </c>
      <c r="H526" s="54">
        <v>423551.21</v>
      </c>
      <c r="I526" s="54">
        <v>423551.21</v>
      </c>
      <c r="J526" s="115" t="s">
        <v>884</v>
      </c>
      <c r="K526" t="str">
        <f t="shared" si="54"/>
        <v>C</v>
      </c>
      <c r="L526" s="173">
        <f t="shared" si="55"/>
        <v>0</v>
      </c>
    </row>
    <row r="527" spans="1:12" x14ac:dyDescent="0.3">
      <c r="A527" t="s">
        <v>3143</v>
      </c>
      <c r="B527" t="s">
        <v>1738</v>
      </c>
      <c r="C527">
        <f t="shared" si="56"/>
        <v>15</v>
      </c>
      <c r="D527" t="str">
        <f t="shared" si="57"/>
        <v>Norm</v>
      </c>
      <c r="E527">
        <f t="shared" si="58"/>
        <v>3</v>
      </c>
      <c r="F527" t="str">
        <f t="shared" si="59"/>
        <v>D</v>
      </c>
      <c r="G527" s="115" t="s">
        <v>884</v>
      </c>
      <c r="H527" s="54">
        <v>79364.67</v>
      </c>
      <c r="I527" s="54">
        <v>79364.67</v>
      </c>
      <c r="J527" s="115" t="s">
        <v>884</v>
      </c>
      <c r="K527" t="str">
        <f t="shared" si="54"/>
        <v>C</v>
      </c>
      <c r="L527" s="173">
        <f t="shared" si="55"/>
        <v>0</v>
      </c>
    </row>
    <row r="528" spans="1:12" x14ac:dyDescent="0.3">
      <c r="A528" t="s">
        <v>3144</v>
      </c>
      <c r="B528" t="s">
        <v>2319</v>
      </c>
      <c r="C528">
        <f t="shared" si="56"/>
        <v>15</v>
      </c>
      <c r="D528" t="str">
        <f t="shared" si="57"/>
        <v>Norm</v>
      </c>
      <c r="E528">
        <f t="shared" si="58"/>
        <v>3</v>
      </c>
      <c r="F528" t="str">
        <f t="shared" si="59"/>
        <v>D</v>
      </c>
      <c r="G528" s="115" t="s">
        <v>884</v>
      </c>
      <c r="H528" s="54">
        <v>1982.85</v>
      </c>
      <c r="I528" s="54">
        <v>1982.85</v>
      </c>
      <c r="J528" s="115" t="s">
        <v>884</v>
      </c>
      <c r="K528" t="str">
        <f t="shared" si="54"/>
        <v>C</v>
      </c>
      <c r="L528" s="173">
        <f t="shared" si="55"/>
        <v>0</v>
      </c>
    </row>
    <row r="529" spans="1:12" x14ac:dyDescent="0.3">
      <c r="A529" t="s">
        <v>3145</v>
      </c>
      <c r="B529" t="s">
        <v>1741</v>
      </c>
      <c r="C529">
        <f t="shared" si="56"/>
        <v>15</v>
      </c>
      <c r="D529" t="str">
        <f t="shared" si="57"/>
        <v>Norm</v>
      </c>
      <c r="E529">
        <f t="shared" si="58"/>
        <v>3</v>
      </c>
      <c r="F529" t="str">
        <f t="shared" si="59"/>
        <v>D</v>
      </c>
      <c r="G529" s="115" t="s">
        <v>884</v>
      </c>
      <c r="H529" s="54">
        <v>450809.11</v>
      </c>
      <c r="I529" s="54">
        <v>450809.11</v>
      </c>
      <c r="J529" s="115" t="s">
        <v>884</v>
      </c>
      <c r="K529" t="str">
        <f t="shared" si="54"/>
        <v>C</v>
      </c>
      <c r="L529" s="173">
        <f t="shared" si="55"/>
        <v>0</v>
      </c>
    </row>
    <row r="530" spans="1:12" x14ac:dyDescent="0.3">
      <c r="A530" t="s">
        <v>3146</v>
      </c>
      <c r="B530" t="s">
        <v>1744</v>
      </c>
      <c r="C530">
        <f t="shared" si="56"/>
        <v>11</v>
      </c>
      <c r="D530" t="str">
        <f t="shared" si="57"/>
        <v>Norm</v>
      </c>
      <c r="E530">
        <f t="shared" si="58"/>
        <v>3</v>
      </c>
      <c r="F530" t="str">
        <f t="shared" si="59"/>
        <v>D</v>
      </c>
      <c r="G530" s="115" t="s">
        <v>884</v>
      </c>
      <c r="H530" s="54">
        <v>2138053.7799999998</v>
      </c>
      <c r="I530" s="54">
        <v>2138053.7799999998</v>
      </c>
      <c r="J530" s="115" t="s">
        <v>884</v>
      </c>
      <c r="K530" t="str">
        <f t="shared" si="54"/>
        <v>C</v>
      </c>
      <c r="L530" s="173">
        <f t="shared" si="55"/>
        <v>0</v>
      </c>
    </row>
    <row r="531" spans="1:12" x14ac:dyDescent="0.3">
      <c r="A531" t="s">
        <v>3147</v>
      </c>
      <c r="B531" t="s">
        <v>1746</v>
      </c>
      <c r="C531">
        <f t="shared" si="56"/>
        <v>16</v>
      </c>
      <c r="D531" t="str">
        <f t="shared" si="57"/>
        <v>Norm</v>
      </c>
      <c r="E531">
        <f t="shared" si="58"/>
        <v>3</v>
      </c>
      <c r="F531" t="str">
        <f t="shared" si="59"/>
        <v>D</v>
      </c>
      <c r="G531" s="115">
        <v>0</v>
      </c>
      <c r="H531" s="54">
        <v>495694.54</v>
      </c>
      <c r="I531" s="54">
        <v>495694.54</v>
      </c>
      <c r="J531" s="115">
        <v>0</v>
      </c>
      <c r="K531" t="str">
        <f t="shared" si="54"/>
        <v>0</v>
      </c>
      <c r="L531" s="173">
        <f t="shared" si="55"/>
        <v>0</v>
      </c>
    </row>
    <row r="532" spans="1:12" x14ac:dyDescent="0.3">
      <c r="A532" t="s">
        <v>3148</v>
      </c>
      <c r="B532" t="s">
        <v>1749</v>
      </c>
      <c r="C532">
        <f t="shared" si="56"/>
        <v>16</v>
      </c>
      <c r="D532" t="str">
        <f t="shared" si="57"/>
        <v>Norm</v>
      </c>
      <c r="E532">
        <f t="shared" si="58"/>
        <v>3</v>
      </c>
      <c r="F532" t="str">
        <f t="shared" si="59"/>
        <v>D</v>
      </c>
      <c r="G532" s="115">
        <v>0</v>
      </c>
      <c r="H532" s="54">
        <v>1509835.05</v>
      </c>
      <c r="I532" s="54">
        <v>1509835.05</v>
      </c>
      <c r="J532" s="115">
        <v>0</v>
      </c>
      <c r="K532" t="str">
        <f t="shared" si="54"/>
        <v>0</v>
      </c>
      <c r="L532" s="173">
        <f t="shared" si="55"/>
        <v>0</v>
      </c>
    </row>
    <row r="533" spans="1:12" x14ac:dyDescent="0.3">
      <c r="A533" t="s">
        <v>3149</v>
      </c>
      <c r="B533" t="s">
        <v>1752</v>
      </c>
      <c r="C533">
        <f t="shared" si="56"/>
        <v>16</v>
      </c>
      <c r="D533" t="str">
        <f t="shared" si="57"/>
        <v>Norm</v>
      </c>
      <c r="E533">
        <f t="shared" si="58"/>
        <v>3</v>
      </c>
      <c r="F533" t="str">
        <f t="shared" si="59"/>
        <v>D</v>
      </c>
      <c r="G533" s="115">
        <v>0</v>
      </c>
      <c r="H533" s="54">
        <v>79514.53</v>
      </c>
      <c r="I533" s="54">
        <v>79514.53</v>
      </c>
      <c r="J533" s="115">
        <v>0</v>
      </c>
      <c r="K533" t="str">
        <f t="shared" si="54"/>
        <v>0</v>
      </c>
      <c r="L533" s="173">
        <f t="shared" si="55"/>
        <v>0</v>
      </c>
    </row>
    <row r="534" spans="1:12" x14ac:dyDescent="0.3">
      <c r="A534" t="s">
        <v>3150</v>
      </c>
      <c r="B534" t="s">
        <v>1755</v>
      </c>
      <c r="C534">
        <f t="shared" si="56"/>
        <v>16</v>
      </c>
      <c r="D534" t="str">
        <f t="shared" si="57"/>
        <v>Norm</v>
      </c>
      <c r="E534">
        <f t="shared" si="58"/>
        <v>3</v>
      </c>
      <c r="F534" t="str">
        <f t="shared" si="59"/>
        <v>D</v>
      </c>
      <c r="G534" s="115">
        <v>0</v>
      </c>
      <c r="H534" s="54">
        <v>53009.66</v>
      </c>
      <c r="I534" s="54">
        <v>53009.66</v>
      </c>
      <c r="J534" s="115">
        <v>0</v>
      </c>
      <c r="K534" t="str">
        <f t="shared" si="54"/>
        <v>0</v>
      </c>
      <c r="L534" s="173">
        <f t="shared" si="55"/>
        <v>0</v>
      </c>
    </row>
    <row r="535" spans="1:12" x14ac:dyDescent="0.3">
      <c r="A535" t="s">
        <v>3151</v>
      </c>
      <c r="B535" t="s">
        <v>1758</v>
      </c>
      <c r="C535">
        <f t="shared" si="56"/>
        <v>11</v>
      </c>
      <c r="D535" t="str">
        <f t="shared" si="57"/>
        <v>Norm</v>
      </c>
      <c r="E535">
        <f t="shared" si="58"/>
        <v>3</v>
      </c>
      <c r="F535" t="str">
        <f t="shared" si="59"/>
        <v>D</v>
      </c>
      <c r="G535" s="115" t="s">
        <v>25</v>
      </c>
      <c r="H535" s="54">
        <v>11427131.630000001</v>
      </c>
      <c r="I535" s="54">
        <v>11427131.630000001</v>
      </c>
      <c r="J535" s="115" t="s">
        <v>25</v>
      </c>
      <c r="K535" t="str">
        <f t="shared" si="54"/>
        <v>D</v>
      </c>
      <c r="L535" s="173">
        <f t="shared" si="55"/>
        <v>0</v>
      </c>
    </row>
    <row r="536" spans="1:12" x14ac:dyDescent="0.3">
      <c r="A536" t="s">
        <v>3152</v>
      </c>
      <c r="B536" t="s">
        <v>1761</v>
      </c>
      <c r="C536">
        <f t="shared" si="56"/>
        <v>16</v>
      </c>
      <c r="D536" t="str">
        <f t="shared" si="57"/>
        <v>Norm</v>
      </c>
      <c r="E536">
        <f t="shared" si="58"/>
        <v>3</v>
      </c>
      <c r="F536" t="str">
        <f t="shared" si="59"/>
        <v>D</v>
      </c>
      <c r="G536" s="115" t="s">
        <v>25</v>
      </c>
      <c r="H536" s="54">
        <v>849663.51</v>
      </c>
      <c r="I536" s="54">
        <v>849663.51</v>
      </c>
      <c r="J536" s="115" t="s">
        <v>25</v>
      </c>
      <c r="K536" t="str">
        <f t="shared" si="54"/>
        <v>D</v>
      </c>
      <c r="L536" s="173">
        <f t="shared" si="55"/>
        <v>0</v>
      </c>
    </row>
    <row r="537" spans="1:12" x14ac:dyDescent="0.3">
      <c r="A537" t="s">
        <v>3153</v>
      </c>
      <c r="B537" t="s">
        <v>1764</v>
      </c>
      <c r="C537">
        <f t="shared" si="56"/>
        <v>16</v>
      </c>
      <c r="D537" t="str">
        <f t="shared" si="57"/>
        <v>Norm</v>
      </c>
      <c r="E537">
        <f t="shared" si="58"/>
        <v>3</v>
      </c>
      <c r="F537" t="str">
        <f t="shared" si="59"/>
        <v>D</v>
      </c>
      <c r="G537" s="115" t="s">
        <v>25</v>
      </c>
      <c r="H537" s="54">
        <v>78743.570000000007</v>
      </c>
      <c r="I537" s="54">
        <v>78743.570000000007</v>
      </c>
      <c r="J537" s="115" t="s">
        <v>25</v>
      </c>
      <c r="K537" t="str">
        <f t="shared" si="54"/>
        <v>D</v>
      </c>
      <c r="L537" s="173">
        <f t="shared" si="55"/>
        <v>0</v>
      </c>
    </row>
    <row r="538" spans="1:12" x14ac:dyDescent="0.3">
      <c r="A538" t="s">
        <v>3154</v>
      </c>
      <c r="B538" t="s">
        <v>1767</v>
      </c>
      <c r="C538">
        <f t="shared" si="56"/>
        <v>16</v>
      </c>
      <c r="D538" t="str">
        <f t="shared" si="57"/>
        <v>Norm</v>
      </c>
      <c r="E538">
        <f t="shared" si="58"/>
        <v>3</v>
      </c>
      <c r="F538" t="str">
        <f t="shared" si="59"/>
        <v>D</v>
      </c>
      <c r="G538" s="115" t="s">
        <v>25</v>
      </c>
      <c r="H538" s="54">
        <v>532602.43999999994</v>
      </c>
      <c r="I538" s="54">
        <v>532602.43999999994</v>
      </c>
      <c r="J538" s="115" t="s">
        <v>25</v>
      </c>
      <c r="K538" t="str">
        <f t="shared" si="54"/>
        <v>D</v>
      </c>
      <c r="L538" s="173">
        <f t="shared" si="55"/>
        <v>0</v>
      </c>
    </row>
    <row r="539" spans="1:12" x14ac:dyDescent="0.3">
      <c r="A539" t="s">
        <v>3155</v>
      </c>
      <c r="B539" t="s">
        <v>1770</v>
      </c>
      <c r="C539">
        <f t="shared" si="56"/>
        <v>16</v>
      </c>
      <c r="D539" t="str">
        <f t="shared" si="57"/>
        <v>Norm</v>
      </c>
      <c r="E539">
        <f t="shared" si="58"/>
        <v>3</v>
      </c>
      <c r="F539" t="str">
        <f t="shared" si="59"/>
        <v>D</v>
      </c>
      <c r="G539" s="115" t="s">
        <v>25</v>
      </c>
      <c r="H539" s="54">
        <v>87867.41</v>
      </c>
      <c r="I539" s="54">
        <v>87867.41</v>
      </c>
      <c r="J539" s="115" t="s">
        <v>25</v>
      </c>
      <c r="K539" t="str">
        <f t="shared" si="54"/>
        <v>D</v>
      </c>
      <c r="L539" s="173">
        <f t="shared" si="55"/>
        <v>0</v>
      </c>
    </row>
    <row r="540" spans="1:12" x14ac:dyDescent="0.3">
      <c r="A540" t="s">
        <v>3156</v>
      </c>
      <c r="B540" t="s">
        <v>1773</v>
      </c>
      <c r="C540">
        <f t="shared" si="56"/>
        <v>16</v>
      </c>
      <c r="D540" t="str">
        <f t="shared" si="57"/>
        <v>Norm</v>
      </c>
      <c r="E540">
        <f t="shared" si="58"/>
        <v>3</v>
      </c>
      <c r="F540" t="str">
        <f t="shared" si="59"/>
        <v>D</v>
      </c>
      <c r="G540" s="115" t="s">
        <v>25</v>
      </c>
      <c r="H540" s="54">
        <v>2061051.35</v>
      </c>
      <c r="I540" s="54">
        <v>2061051.35</v>
      </c>
      <c r="J540" s="115" t="s">
        <v>25</v>
      </c>
      <c r="K540" t="str">
        <f t="shared" si="54"/>
        <v>D</v>
      </c>
      <c r="L540" s="173">
        <f t="shared" si="55"/>
        <v>0</v>
      </c>
    </row>
    <row r="541" spans="1:12" x14ac:dyDescent="0.3">
      <c r="A541" t="s">
        <v>3157</v>
      </c>
      <c r="B541" t="s">
        <v>1776</v>
      </c>
      <c r="C541">
        <f t="shared" si="56"/>
        <v>16</v>
      </c>
      <c r="D541" t="str">
        <f t="shared" si="57"/>
        <v>Norm</v>
      </c>
      <c r="E541">
        <f t="shared" si="58"/>
        <v>3</v>
      </c>
      <c r="F541" t="str">
        <f t="shared" si="59"/>
        <v>D</v>
      </c>
      <c r="G541" s="115" t="s">
        <v>25</v>
      </c>
      <c r="H541" s="54">
        <v>5022019.72</v>
      </c>
      <c r="I541" s="54">
        <v>5022019.72</v>
      </c>
      <c r="J541" s="115" t="s">
        <v>25</v>
      </c>
      <c r="K541" t="str">
        <f t="shared" si="54"/>
        <v>D</v>
      </c>
      <c r="L541" s="173">
        <f t="shared" si="55"/>
        <v>0</v>
      </c>
    </row>
    <row r="542" spans="1:12" x14ac:dyDescent="0.3">
      <c r="A542" t="s">
        <v>3158</v>
      </c>
      <c r="B542" t="s">
        <v>2320</v>
      </c>
      <c r="C542">
        <f t="shared" si="56"/>
        <v>16</v>
      </c>
      <c r="D542" t="str">
        <f t="shared" si="57"/>
        <v>Norm</v>
      </c>
      <c r="E542">
        <f t="shared" si="58"/>
        <v>3</v>
      </c>
      <c r="F542" t="str">
        <f t="shared" si="59"/>
        <v>D</v>
      </c>
      <c r="G542" s="115" t="s">
        <v>25</v>
      </c>
      <c r="H542" s="54">
        <v>2795183.63</v>
      </c>
      <c r="I542" s="54">
        <v>2795183.63</v>
      </c>
      <c r="J542" s="115" t="s">
        <v>25</v>
      </c>
      <c r="K542" t="str">
        <f t="shared" si="54"/>
        <v>D</v>
      </c>
      <c r="L542" s="173">
        <f t="shared" si="55"/>
        <v>0</v>
      </c>
    </row>
    <row r="543" spans="1:12" x14ac:dyDescent="0.3">
      <c r="A543" t="s">
        <v>3159</v>
      </c>
      <c r="B543" t="s">
        <v>1779</v>
      </c>
      <c r="C543">
        <f t="shared" si="56"/>
        <v>11</v>
      </c>
      <c r="D543" t="str">
        <f t="shared" si="57"/>
        <v>Norm</v>
      </c>
      <c r="E543">
        <f t="shared" si="58"/>
        <v>3</v>
      </c>
      <c r="F543" t="str">
        <f t="shared" si="59"/>
        <v>D</v>
      </c>
      <c r="G543" s="115" t="s">
        <v>25</v>
      </c>
      <c r="H543" s="54">
        <v>8167204.6100000003</v>
      </c>
      <c r="I543" s="54">
        <v>8167204.6100000003</v>
      </c>
      <c r="J543" s="115" t="s">
        <v>25</v>
      </c>
      <c r="K543" t="str">
        <f t="shared" si="54"/>
        <v>D</v>
      </c>
      <c r="L543" s="173">
        <f t="shared" si="55"/>
        <v>0</v>
      </c>
    </row>
    <row r="544" spans="1:12" x14ac:dyDescent="0.3">
      <c r="A544" t="s">
        <v>3160</v>
      </c>
      <c r="B544" t="s">
        <v>1782</v>
      </c>
      <c r="C544">
        <f t="shared" si="56"/>
        <v>16</v>
      </c>
      <c r="D544" t="str">
        <f t="shared" si="57"/>
        <v>Norm</v>
      </c>
      <c r="E544">
        <f t="shared" si="58"/>
        <v>3</v>
      </c>
      <c r="F544" t="str">
        <f t="shared" si="59"/>
        <v>D</v>
      </c>
      <c r="G544" s="115" t="s">
        <v>25</v>
      </c>
      <c r="H544" s="54">
        <v>106460.44</v>
      </c>
      <c r="I544" s="54">
        <v>106460.44</v>
      </c>
      <c r="J544" s="115" t="s">
        <v>25</v>
      </c>
      <c r="K544" t="str">
        <f t="shared" si="54"/>
        <v>D</v>
      </c>
      <c r="L544" s="173">
        <f t="shared" si="55"/>
        <v>0</v>
      </c>
    </row>
    <row r="545" spans="1:12" x14ac:dyDescent="0.3">
      <c r="A545" t="s">
        <v>3161</v>
      </c>
      <c r="B545" t="s">
        <v>1785</v>
      </c>
      <c r="C545">
        <f t="shared" si="56"/>
        <v>16</v>
      </c>
      <c r="D545" t="str">
        <f t="shared" si="57"/>
        <v>Norm</v>
      </c>
      <c r="E545">
        <f t="shared" si="58"/>
        <v>3</v>
      </c>
      <c r="F545" t="str">
        <f t="shared" si="59"/>
        <v>D</v>
      </c>
      <c r="G545" s="115" t="s">
        <v>25</v>
      </c>
      <c r="H545" s="54">
        <v>190541.27</v>
      </c>
      <c r="I545" s="54">
        <v>190541.27</v>
      </c>
      <c r="J545" s="115" t="s">
        <v>25</v>
      </c>
      <c r="K545" t="str">
        <f t="shared" si="54"/>
        <v>D</v>
      </c>
      <c r="L545" s="173">
        <f t="shared" si="55"/>
        <v>0</v>
      </c>
    </row>
    <row r="546" spans="1:12" x14ac:dyDescent="0.3">
      <c r="A546" t="s">
        <v>3162</v>
      </c>
      <c r="B546" t="s">
        <v>1788</v>
      </c>
      <c r="C546">
        <f t="shared" si="56"/>
        <v>16</v>
      </c>
      <c r="D546" t="str">
        <f t="shared" si="57"/>
        <v>Norm</v>
      </c>
      <c r="E546">
        <f t="shared" si="58"/>
        <v>3</v>
      </c>
      <c r="F546" t="str">
        <f t="shared" si="59"/>
        <v>D</v>
      </c>
      <c r="G546" s="115" t="s">
        <v>25</v>
      </c>
      <c r="H546" s="54">
        <v>4738.71</v>
      </c>
      <c r="I546" s="54">
        <v>4738.71</v>
      </c>
      <c r="J546" s="115" t="s">
        <v>25</v>
      </c>
      <c r="K546" t="str">
        <f t="shared" si="54"/>
        <v>D</v>
      </c>
      <c r="L546" s="173">
        <f t="shared" si="55"/>
        <v>0</v>
      </c>
    </row>
    <row r="547" spans="1:12" x14ac:dyDescent="0.3">
      <c r="A547" t="s">
        <v>3163</v>
      </c>
      <c r="B547" t="s">
        <v>1791</v>
      </c>
      <c r="C547">
        <f t="shared" si="56"/>
        <v>16</v>
      </c>
      <c r="D547" t="str">
        <f t="shared" si="57"/>
        <v>Norm</v>
      </c>
      <c r="E547">
        <f t="shared" si="58"/>
        <v>3</v>
      </c>
      <c r="F547" t="str">
        <f t="shared" si="59"/>
        <v>D</v>
      </c>
      <c r="G547" s="115" t="s">
        <v>25</v>
      </c>
      <c r="H547" s="54">
        <v>607681.76</v>
      </c>
      <c r="I547" s="54">
        <v>607681.76</v>
      </c>
      <c r="J547" s="115" t="s">
        <v>25</v>
      </c>
      <c r="K547" t="str">
        <f t="shared" si="54"/>
        <v>D</v>
      </c>
      <c r="L547" s="173">
        <f t="shared" si="55"/>
        <v>0</v>
      </c>
    </row>
    <row r="548" spans="1:12" x14ac:dyDescent="0.3">
      <c r="A548" t="s">
        <v>3164</v>
      </c>
      <c r="B548" t="s">
        <v>1797</v>
      </c>
      <c r="C548">
        <f t="shared" si="56"/>
        <v>16</v>
      </c>
      <c r="D548" t="str">
        <f t="shared" si="57"/>
        <v>Norm</v>
      </c>
      <c r="E548">
        <f t="shared" si="58"/>
        <v>3</v>
      </c>
      <c r="F548" t="str">
        <f t="shared" si="59"/>
        <v>D</v>
      </c>
      <c r="G548" s="115" t="s">
        <v>25</v>
      </c>
      <c r="H548" s="54">
        <v>239892.14</v>
      </c>
      <c r="I548" s="54">
        <v>239892.14</v>
      </c>
      <c r="J548" s="115" t="s">
        <v>25</v>
      </c>
      <c r="K548" t="str">
        <f t="shared" si="54"/>
        <v>D</v>
      </c>
      <c r="L548" s="173">
        <f t="shared" si="55"/>
        <v>0</v>
      </c>
    </row>
    <row r="549" spans="1:12" x14ac:dyDescent="0.3">
      <c r="A549" t="s">
        <v>3165</v>
      </c>
      <c r="B549" t="s">
        <v>1803</v>
      </c>
      <c r="C549">
        <f t="shared" si="56"/>
        <v>16</v>
      </c>
      <c r="D549" t="str">
        <f t="shared" si="57"/>
        <v>Norm</v>
      </c>
      <c r="E549">
        <f t="shared" si="58"/>
        <v>3</v>
      </c>
      <c r="F549" t="str">
        <f t="shared" si="59"/>
        <v>D</v>
      </c>
      <c r="G549" s="115" t="s">
        <v>25</v>
      </c>
      <c r="H549" s="54">
        <v>3969.22</v>
      </c>
      <c r="I549" s="54">
        <v>3969.22</v>
      </c>
      <c r="J549" s="115" t="s">
        <v>25</v>
      </c>
      <c r="K549" t="str">
        <f t="shared" si="54"/>
        <v>D</v>
      </c>
      <c r="L549" s="173">
        <f t="shared" si="55"/>
        <v>0</v>
      </c>
    </row>
    <row r="550" spans="1:12" x14ac:dyDescent="0.3">
      <c r="A550" t="s">
        <v>3166</v>
      </c>
      <c r="B550" t="s">
        <v>1806</v>
      </c>
      <c r="C550">
        <f t="shared" si="56"/>
        <v>16</v>
      </c>
      <c r="D550" t="str">
        <f t="shared" si="57"/>
        <v>Norm</v>
      </c>
      <c r="E550">
        <f t="shared" si="58"/>
        <v>3</v>
      </c>
      <c r="F550" t="str">
        <f t="shared" si="59"/>
        <v>D</v>
      </c>
      <c r="G550" s="115" t="s">
        <v>25</v>
      </c>
      <c r="H550" s="54">
        <v>576330.71</v>
      </c>
      <c r="I550" s="54">
        <v>576330.71</v>
      </c>
      <c r="J550" s="115" t="s">
        <v>25</v>
      </c>
      <c r="K550" t="str">
        <f t="shared" si="54"/>
        <v>D</v>
      </c>
      <c r="L550" s="173">
        <f t="shared" si="55"/>
        <v>0</v>
      </c>
    </row>
    <row r="551" spans="1:12" x14ac:dyDescent="0.3">
      <c r="A551" t="s">
        <v>3167</v>
      </c>
      <c r="B551" t="s">
        <v>1809</v>
      </c>
      <c r="C551">
        <f t="shared" si="56"/>
        <v>16</v>
      </c>
      <c r="D551" t="str">
        <f t="shared" si="57"/>
        <v>Norm</v>
      </c>
      <c r="E551">
        <f t="shared" si="58"/>
        <v>3</v>
      </c>
      <c r="F551" t="str">
        <f t="shared" si="59"/>
        <v>D</v>
      </c>
      <c r="G551" s="115" t="s">
        <v>25</v>
      </c>
      <c r="H551" s="54">
        <v>22547.52</v>
      </c>
      <c r="I551" s="54">
        <v>22547.52</v>
      </c>
      <c r="J551" s="115" t="s">
        <v>25</v>
      </c>
      <c r="K551" t="str">
        <f t="shared" si="54"/>
        <v>D</v>
      </c>
      <c r="L551" s="173">
        <f t="shared" si="55"/>
        <v>0</v>
      </c>
    </row>
    <row r="552" spans="1:12" x14ac:dyDescent="0.3">
      <c r="A552" t="s">
        <v>3168</v>
      </c>
      <c r="B552" t="s">
        <v>1812</v>
      </c>
      <c r="C552">
        <f t="shared" si="56"/>
        <v>16</v>
      </c>
      <c r="D552" t="str">
        <f t="shared" si="57"/>
        <v>Norm</v>
      </c>
      <c r="E552">
        <f t="shared" si="58"/>
        <v>3</v>
      </c>
      <c r="F552" t="str">
        <f t="shared" si="59"/>
        <v>D</v>
      </c>
      <c r="G552" s="115" t="s">
        <v>25</v>
      </c>
      <c r="H552" s="54">
        <v>17287.21</v>
      </c>
      <c r="I552" s="54">
        <v>17287.21</v>
      </c>
      <c r="J552" s="115" t="s">
        <v>25</v>
      </c>
      <c r="K552" t="str">
        <f t="shared" si="54"/>
        <v>D</v>
      </c>
      <c r="L552" s="173">
        <f t="shared" si="55"/>
        <v>0</v>
      </c>
    </row>
    <row r="553" spans="1:12" x14ac:dyDescent="0.3">
      <c r="A553" t="s">
        <v>3169</v>
      </c>
      <c r="B553" t="s">
        <v>1815</v>
      </c>
      <c r="C553">
        <f t="shared" si="56"/>
        <v>16</v>
      </c>
      <c r="D553" t="str">
        <f t="shared" si="57"/>
        <v>Norm</v>
      </c>
      <c r="E553">
        <f t="shared" si="58"/>
        <v>3</v>
      </c>
      <c r="F553" t="str">
        <f t="shared" si="59"/>
        <v>D</v>
      </c>
      <c r="G553" s="115" t="s">
        <v>25</v>
      </c>
      <c r="H553" s="54">
        <v>97108.89</v>
      </c>
      <c r="I553" s="54">
        <v>97108.89</v>
      </c>
      <c r="J553" s="115" t="s">
        <v>25</v>
      </c>
      <c r="K553" t="str">
        <f t="shared" si="54"/>
        <v>D</v>
      </c>
      <c r="L553" s="173">
        <f t="shared" si="55"/>
        <v>0</v>
      </c>
    </row>
    <row r="554" spans="1:12" x14ac:dyDescent="0.3">
      <c r="A554" t="s">
        <v>3170</v>
      </c>
      <c r="B554" t="s">
        <v>1818</v>
      </c>
      <c r="C554">
        <f t="shared" si="56"/>
        <v>16</v>
      </c>
      <c r="D554" t="str">
        <f t="shared" si="57"/>
        <v>Norm</v>
      </c>
      <c r="E554">
        <f t="shared" si="58"/>
        <v>3</v>
      </c>
      <c r="F554" t="str">
        <f t="shared" si="59"/>
        <v>D</v>
      </c>
      <c r="G554" s="115" t="s">
        <v>25</v>
      </c>
      <c r="H554" s="54">
        <v>120580.5</v>
      </c>
      <c r="I554" s="54">
        <v>120580.5</v>
      </c>
      <c r="J554" s="115" t="s">
        <v>25</v>
      </c>
      <c r="K554" t="str">
        <f t="shared" si="54"/>
        <v>D</v>
      </c>
      <c r="L554" s="173">
        <f t="shared" si="55"/>
        <v>0</v>
      </c>
    </row>
    <row r="555" spans="1:12" x14ac:dyDescent="0.3">
      <c r="A555" t="s">
        <v>3171</v>
      </c>
      <c r="B555" t="s">
        <v>1820</v>
      </c>
      <c r="C555">
        <f t="shared" si="56"/>
        <v>16</v>
      </c>
      <c r="D555" t="str">
        <f t="shared" si="57"/>
        <v>Norm</v>
      </c>
      <c r="E555">
        <f t="shared" si="58"/>
        <v>3</v>
      </c>
      <c r="F555" t="str">
        <f t="shared" si="59"/>
        <v>D</v>
      </c>
      <c r="G555" s="115" t="s">
        <v>25</v>
      </c>
      <c r="H555" s="54">
        <v>5490.55</v>
      </c>
      <c r="I555" s="54">
        <v>5490.55</v>
      </c>
      <c r="J555" s="115" t="s">
        <v>25</v>
      </c>
      <c r="K555" t="str">
        <f t="shared" si="54"/>
        <v>D</v>
      </c>
      <c r="L555" s="173">
        <f t="shared" si="55"/>
        <v>0</v>
      </c>
    </row>
    <row r="556" spans="1:12" x14ac:dyDescent="0.3">
      <c r="A556" t="s">
        <v>3172</v>
      </c>
      <c r="B556" t="s">
        <v>1823</v>
      </c>
      <c r="C556">
        <f t="shared" si="56"/>
        <v>16</v>
      </c>
      <c r="D556" t="str">
        <f t="shared" si="57"/>
        <v>Norm</v>
      </c>
      <c r="E556">
        <f t="shared" si="58"/>
        <v>3</v>
      </c>
      <c r="F556" t="str">
        <f t="shared" si="59"/>
        <v>D</v>
      </c>
      <c r="G556" s="115" t="s">
        <v>25</v>
      </c>
      <c r="H556" s="54">
        <v>19069.45</v>
      </c>
      <c r="I556" s="54">
        <v>19069.45</v>
      </c>
      <c r="J556" s="115" t="s">
        <v>25</v>
      </c>
      <c r="K556" t="str">
        <f t="shared" si="54"/>
        <v>D</v>
      </c>
      <c r="L556" s="173">
        <f t="shared" si="55"/>
        <v>0</v>
      </c>
    </row>
    <row r="557" spans="1:12" x14ac:dyDescent="0.3">
      <c r="A557" t="s">
        <v>3173</v>
      </c>
      <c r="B557" t="s">
        <v>1826</v>
      </c>
      <c r="C557">
        <f t="shared" si="56"/>
        <v>16</v>
      </c>
      <c r="D557" t="str">
        <f t="shared" si="57"/>
        <v>Norm</v>
      </c>
      <c r="E557">
        <f t="shared" si="58"/>
        <v>3</v>
      </c>
      <c r="F557" t="str">
        <f t="shared" si="59"/>
        <v>D</v>
      </c>
      <c r="G557" s="115" t="s">
        <v>25</v>
      </c>
      <c r="H557" s="54">
        <v>24086.15</v>
      </c>
      <c r="I557" s="54">
        <v>24086.15</v>
      </c>
      <c r="J557" s="115" t="s">
        <v>25</v>
      </c>
      <c r="K557" t="str">
        <f t="shared" si="54"/>
        <v>D</v>
      </c>
      <c r="L557" s="173">
        <f t="shared" si="55"/>
        <v>0</v>
      </c>
    </row>
    <row r="558" spans="1:12" x14ac:dyDescent="0.3">
      <c r="A558" t="s">
        <v>3174</v>
      </c>
      <c r="B558" t="s">
        <v>1829</v>
      </c>
      <c r="C558">
        <f t="shared" si="56"/>
        <v>16</v>
      </c>
      <c r="D558" t="str">
        <f t="shared" si="57"/>
        <v>Norm</v>
      </c>
      <c r="E558">
        <f t="shared" si="58"/>
        <v>3</v>
      </c>
      <c r="F558" t="str">
        <f t="shared" si="59"/>
        <v>D</v>
      </c>
      <c r="G558" s="115" t="s">
        <v>25</v>
      </c>
      <c r="H558" s="54">
        <v>9899.84</v>
      </c>
      <c r="I558" s="54">
        <v>9899.84</v>
      </c>
      <c r="J558" s="115" t="s">
        <v>25</v>
      </c>
      <c r="K558" t="str">
        <f t="shared" si="54"/>
        <v>D</v>
      </c>
      <c r="L558" s="173">
        <f t="shared" si="55"/>
        <v>0</v>
      </c>
    </row>
    <row r="559" spans="1:12" x14ac:dyDescent="0.3">
      <c r="A559" t="s">
        <v>3175</v>
      </c>
      <c r="B559" t="s">
        <v>1832</v>
      </c>
      <c r="C559">
        <f t="shared" si="56"/>
        <v>16</v>
      </c>
      <c r="D559" t="str">
        <f t="shared" si="57"/>
        <v>Norm</v>
      </c>
      <c r="E559">
        <f t="shared" si="58"/>
        <v>3</v>
      </c>
      <c r="F559" t="str">
        <f t="shared" si="59"/>
        <v>D</v>
      </c>
      <c r="G559" s="115" t="s">
        <v>25</v>
      </c>
      <c r="H559" s="54">
        <v>3690.39</v>
      </c>
      <c r="I559" s="54">
        <v>3690.39</v>
      </c>
      <c r="J559" s="115" t="s">
        <v>25</v>
      </c>
      <c r="K559" t="str">
        <f t="shared" si="54"/>
        <v>D</v>
      </c>
      <c r="L559" s="173">
        <f t="shared" si="55"/>
        <v>0</v>
      </c>
    </row>
    <row r="560" spans="1:12" x14ac:dyDescent="0.3">
      <c r="A560" t="s">
        <v>3176</v>
      </c>
      <c r="B560" t="s">
        <v>1835</v>
      </c>
      <c r="C560">
        <f t="shared" si="56"/>
        <v>16</v>
      </c>
      <c r="D560" t="str">
        <f t="shared" si="57"/>
        <v>Norm</v>
      </c>
      <c r="E560">
        <f t="shared" si="58"/>
        <v>3</v>
      </c>
      <c r="F560" t="str">
        <f t="shared" si="59"/>
        <v>D</v>
      </c>
      <c r="G560" s="115" t="s">
        <v>25</v>
      </c>
      <c r="H560" s="54">
        <v>9065.06</v>
      </c>
      <c r="I560" s="54">
        <v>9065.06</v>
      </c>
      <c r="J560" s="115" t="s">
        <v>25</v>
      </c>
      <c r="K560" t="str">
        <f t="shared" si="54"/>
        <v>D</v>
      </c>
      <c r="L560" s="173">
        <f t="shared" si="55"/>
        <v>0</v>
      </c>
    </row>
    <row r="561" spans="1:12" x14ac:dyDescent="0.3">
      <c r="A561" t="s">
        <v>3177</v>
      </c>
      <c r="B561" t="s">
        <v>1838</v>
      </c>
      <c r="C561">
        <f t="shared" si="56"/>
        <v>16</v>
      </c>
      <c r="D561" t="str">
        <f t="shared" si="57"/>
        <v>Norm</v>
      </c>
      <c r="E561">
        <f t="shared" si="58"/>
        <v>3</v>
      </c>
      <c r="F561" t="str">
        <f t="shared" si="59"/>
        <v>D</v>
      </c>
      <c r="G561" s="115" t="s">
        <v>25</v>
      </c>
      <c r="H561" s="54">
        <v>2518.39</v>
      </c>
      <c r="I561" s="54">
        <v>2518.39</v>
      </c>
      <c r="J561" s="115" t="s">
        <v>25</v>
      </c>
      <c r="K561" t="str">
        <f t="shared" si="54"/>
        <v>D</v>
      </c>
      <c r="L561" s="173">
        <f t="shared" si="55"/>
        <v>0</v>
      </c>
    </row>
    <row r="562" spans="1:12" x14ac:dyDescent="0.3">
      <c r="A562" t="s">
        <v>3178</v>
      </c>
      <c r="B562" t="s">
        <v>1841</v>
      </c>
      <c r="C562">
        <f t="shared" si="56"/>
        <v>16</v>
      </c>
      <c r="D562" t="str">
        <f t="shared" si="57"/>
        <v>Norm</v>
      </c>
      <c r="E562">
        <f t="shared" si="58"/>
        <v>3</v>
      </c>
      <c r="F562" t="str">
        <f t="shared" si="59"/>
        <v>D</v>
      </c>
      <c r="G562" s="115" t="s">
        <v>25</v>
      </c>
      <c r="H562" s="54">
        <v>15669.5</v>
      </c>
      <c r="I562" s="54">
        <v>15669.5</v>
      </c>
      <c r="J562" s="115" t="s">
        <v>25</v>
      </c>
      <c r="K562" t="str">
        <f t="shared" si="54"/>
        <v>D</v>
      </c>
      <c r="L562" s="173">
        <f t="shared" si="55"/>
        <v>0</v>
      </c>
    </row>
    <row r="563" spans="1:12" x14ac:dyDescent="0.3">
      <c r="A563" t="s">
        <v>3179</v>
      </c>
      <c r="B563" t="s">
        <v>2321</v>
      </c>
      <c r="C563">
        <f t="shared" si="56"/>
        <v>16</v>
      </c>
      <c r="D563" t="str">
        <f t="shared" si="57"/>
        <v>Norm</v>
      </c>
      <c r="E563">
        <f t="shared" si="58"/>
        <v>3</v>
      </c>
      <c r="F563" t="str">
        <f t="shared" si="59"/>
        <v>D</v>
      </c>
      <c r="G563" s="115" t="s">
        <v>25</v>
      </c>
      <c r="H563" s="115">
        <v>219.9</v>
      </c>
      <c r="I563" s="115">
        <v>219.9</v>
      </c>
      <c r="J563" s="115" t="s">
        <v>25</v>
      </c>
      <c r="K563" t="str">
        <f t="shared" si="54"/>
        <v>D</v>
      </c>
      <c r="L563" s="173">
        <f t="shared" si="55"/>
        <v>0</v>
      </c>
    </row>
    <row r="564" spans="1:12" x14ac:dyDescent="0.3">
      <c r="A564" t="s">
        <v>3180</v>
      </c>
      <c r="B564" t="s">
        <v>1844</v>
      </c>
      <c r="C564">
        <f t="shared" si="56"/>
        <v>16</v>
      </c>
      <c r="D564" t="str">
        <f t="shared" si="57"/>
        <v>Norm</v>
      </c>
      <c r="E564">
        <f t="shared" si="58"/>
        <v>3</v>
      </c>
      <c r="F564" t="str">
        <f t="shared" si="59"/>
        <v>D</v>
      </c>
      <c r="G564" s="115" t="s">
        <v>25</v>
      </c>
      <c r="H564" s="54">
        <v>13258.75</v>
      </c>
      <c r="I564" s="54">
        <v>13258.75</v>
      </c>
      <c r="J564" s="115" t="s">
        <v>25</v>
      </c>
      <c r="K564" t="str">
        <f t="shared" si="54"/>
        <v>D</v>
      </c>
      <c r="L564" s="173">
        <f t="shared" si="55"/>
        <v>0</v>
      </c>
    </row>
    <row r="565" spans="1:12" x14ac:dyDescent="0.3">
      <c r="A565" t="s">
        <v>3181</v>
      </c>
      <c r="B565" t="s">
        <v>2322</v>
      </c>
      <c r="C565">
        <f t="shared" si="56"/>
        <v>16</v>
      </c>
      <c r="D565" t="str">
        <f t="shared" si="57"/>
        <v>Norm</v>
      </c>
      <c r="E565">
        <f t="shared" si="58"/>
        <v>3</v>
      </c>
      <c r="F565" t="str">
        <f t="shared" si="59"/>
        <v>D</v>
      </c>
      <c r="G565" s="115">
        <v>0</v>
      </c>
      <c r="H565" s="54">
        <v>6016200.1799999997</v>
      </c>
      <c r="I565" s="54">
        <v>6016200.1799999997</v>
      </c>
      <c r="J565" s="115">
        <v>0</v>
      </c>
      <c r="K565" t="str">
        <f t="shared" si="54"/>
        <v>0</v>
      </c>
      <c r="L565" s="173">
        <f t="shared" si="55"/>
        <v>0</v>
      </c>
    </row>
    <row r="566" spans="1:12" x14ac:dyDescent="0.3">
      <c r="A566" t="s">
        <v>3182</v>
      </c>
      <c r="B566" t="s">
        <v>2323</v>
      </c>
      <c r="C566">
        <f t="shared" si="56"/>
        <v>16</v>
      </c>
      <c r="D566" t="str">
        <f t="shared" si="57"/>
        <v>Norm</v>
      </c>
      <c r="E566">
        <f t="shared" si="58"/>
        <v>3</v>
      </c>
      <c r="F566" t="str">
        <f t="shared" si="59"/>
        <v>D</v>
      </c>
      <c r="G566" s="115" t="s">
        <v>25</v>
      </c>
      <c r="H566" s="54">
        <v>16993.5</v>
      </c>
      <c r="I566" s="54">
        <v>16993.5</v>
      </c>
      <c r="J566" s="115" t="s">
        <v>25</v>
      </c>
      <c r="K566" t="str">
        <f t="shared" si="54"/>
        <v>D</v>
      </c>
      <c r="L566" s="173">
        <f t="shared" si="55"/>
        <v>0</v>
      </c>
    </row>
    <row r="567" spans="1:12" x14ac:dyDescent="0.3">
      <c r="A567" t="s">
        <v>3183</v>
      </c>
      <c r="B567" t="s">
        <v>1850</v>
      </c>
      <c r="C567">
        <f t="shared" si="56"/>
        <v>16</v>
      </c>
      <c r="D567" t="str">
        <f t="shared" si="57"/>
        <v>Norm</v>
      </c>
      <c r="E567">
        <f t="shared" si="58"/>
        <v>3</v>
      </c>
      <c r="F567" t="str">
        <f t="shared" si="59"/>
        <v>D</v>
      </c>
      <c r="G567" s="115" t="s">
        <v>25</v>
      </c>
      <c r="H567" s="54">
        <v>39684.620000000003</v>
      </c>
      <c r="I567" s="54">
        <v>39684.620000000003</v>
      </c>
      <c r="J567" s="115" t="s">
        <v>25</v>
      </c>
      <c r="K567" t="str">
        <f t="shared" si="54"/>
        <v>D</v>
      </c>
      <c r="L567" s="173">
        <f t="shared" si="55"/>
        <v>0</v>
      </c>
    </row>
    <row r="568" spans="1:12" x14ac:dyDescent="0.3">
      <c r="A568" t="s">
        <v>3184</v>
      </c>
      <c r="B568" t="s">
        <v>1853</v>
      </c>
      <c r="C568">
        <f t="shared" si="56"/>
        <v>16</v>
      </c>
      <c r="D568" t="str">
        <f t="shared" si="57"/>
        <v>Norm</v>
      </c>
      <c r="E568">
        <f t="shared" si="58"/>
        <v>3</v>
      </c>
      <c r="F568" t="str">
        <f t="shared" si="59"/>
        <v>D</v>
      </c>
      <c r="G568" s="115" t="s">
        <v>25</v>
      </c>
      <c r="H568" s="54">
        <v>4219.96</v>
      </c>
      <c r="I568" s="54">
        <v>4219.96</v>
      </c>
      <c r="J568" s="115" t="s">
        <v>25</v>
      </c>
      <c r="K568" t="str">
        <f t="shared" si="54"/>
        <v>D</v>
      </c>
      <c r="L568" s="173">
        <f t="shared" si="55"/>
        <v>0</v>
      </c>
    </row>
    <row r="569" spans="1:12" x14ac:dyDescent="0.3">
      <c r="A569" t="s">
        <v>3185</v>
      </c>
      <c r="B569" t="s">
        <v>1859</v>
      </c>
      <c r="C569">
        <f t="shared" si="56"/>
        <v>11</v>
      </c>
      <c r="D569" t="str">
        <f t="shared" si="57"/>
        <v>Norm</v>
      </c>
      <c r="E569">
        <f t="shared" si="58"/>
        <v>3</v>
      </c>
      <c r="F569" t="str">
        <f t="shared" si="59"/>
        <v>D</v>
      </c>
      <c r="G569" s="115" t="s">
        <v>25</v>
      </c>
      <c r="H569" s="54">
        <v>1395037.33</v>
      </c>
      <c r="I569" s="54">
        <v>1395037.33</v>
      </c>
      <c r="J569" s="115" t="s">
        <v>25</v>
      </c>
      <c r="K569" t="str">
        <f t="shared" si="54"/>
        <v>D</v>
      </c>
      <c r="L569" s="173">
        <f t="shared" si="55"/>
        <v>0</v>
      </c>
    </row>
    <row r="570" spans="1:12" x14ac:dyDescent="0.3">
      <c r="A570" t="s">
        <v>3186</v>
      </c>
      <c r="B570" t="s">
        <v>1866</v>
      </c>
      <c r="C570">
        <f t="shared" si="56"/>
        <v>16</v>
      </c>
      <c r="D570" t="str">
        <f t="shared" si="57"/>
        <v>Norm</v>
      </c>
      <c r="E570">
        <f t="shared" si="58"/>
        <v>3</v>
      </c>
      <c r="F570" t="str">
        <f t="shared" si="59"/>
        <v>D</v>
      </c>
      <c r="G570" s="115" t="s">
        <v>884</v>
      </c>
      <c r="H570" s="54">
        <v>6181.62</v>
      </c>
      <c r="I570" s="54">
        <v>6181.62</v>
      </c>
      <c r="J570" s="115" t="s">
        <v>884</v>
      </c>
      <c r="K570" t="str">
        <f t="shared" si="54"/>
        <v>C</v>
      </c>
      <c r="L570" s="173">
        <f t="shared" si="55"/>
        <v>0</v>
      </c>
    </row>
    <row r="571" spans="1:12" x14ac:dyDescent="0.3">
      <c r="A571" t="s">
        <v>3187</v>
      </c>
      <c r="B571" t="s">
        <v>1869</v>
      </c>
      <c r="C571">
        <f t="shared" si="56"/>
        <v>16</v>
      </c>
      <c r="D571" t="str">
        <f t="shared" si="57"/>
        <v>Norm</v>
      </c>
      <c r="E571">
        <f t="shared" si="58"/>
        <v>3</v>
      </c>
      <c r="F571" t="str">
        <f t="shared" si="59"/>
        <v>D</v>
      </c>
      <c r="G571" s="115" t="s">
        <v>25</v>
      </c>
      <c r="H571" s="54">
        <v>125160.16</v>
      </c>
      <c r="I571" s="54">
        <v>125160.16</v>
      </c>
      <c r="J571" s="115" t="s">
        <v>25</v>
      </c>
      <c r="K571" t="str">
        <f t="shared" si="54"/>
        <v>D</v>
      </c>
      <c r="L571" s="173">
        <f t="shared" si="55"/>
        <v>0</v>
      </c>
    </row>
    <row r="572" spans="1:12" x14ac:dyDescent="0.3">
      <c r="A572" t="s">
        <v>3188</v>
      </c>
      <c r="B572" t="s">
        <v>1875</v>
      </c>
      <c r="C572">
        <f t="shared" si="56"/>
        <v>16</v>
      </c>
      <c r="D572" t="str">
        <f t="shared" si="57"/>
        <v>Norm</v>
      </c>
      <c r="E572">
        <f t="shared" si="58"/>
        <v>3</v>
      </c>
      <c r="F572" t="str">
        <f t="shared" si="59"/>
        <v>D</v>
      </c>
      <c r="G572" s="115" t="s">
        <v>884</v>
      </c>
      <c r="H572" s="54">
        <v>8976.27</v>
      </c>
      <c r="I572" s="54">
        <v>8976.27</v>
      </c>
      <c r="J572" s="115" t="s">
        <v>884</v>
      </c>
      <c r="K572" t="str">
        <f t="shared" si="54"/>
        <v>C</v>
      </c>
      <c r="L572" s="173">
        <f t="shared" si="55"/>
        <v>0</v>
      </c>
    </row>
    <row r="573" spans="1:12" x14ac:dyDescent="0.3">
      <c r="A573" t="s">
        <v>3189</v>
      </c>
      <c r="B573" t="s">
        <v>1878</v>
      </c>
      <c r="C573">
        <f t="shared" si="56"/>
        <v>16</v>
      </c>
      <c r="D573" t="str">
        <f t="shared" si="57"/>
        <v>Norm</v>
      </c>
      <c r="E573">
        <f t="shared" si="58"/>
        <v>3</v>
      </c>
      <c r="F573" t="str">
        <f t="shared" si="59"/>
        <v>D</v>
      </c>
      <c r="G573" s="115" t="s">
        <v>884</v>
      </c>
      <c r="H573" s="54">
        <v>301090.44</v>
      </c>
      <c r="I573" s="54">
        <v>301090.44</v>
      </c>
      <c r="J573" s="115" t="s">
        <v>884</v>
      </c>
      <c r="K573" t="str">
        <f t="shared" si="54"/>
        <v>C</v>
      </c>
      <c r="L573" s="173">
        <f t="shared" si="55"/>
        <v>0</v>
      </c>
    </row>
    <row r="574" spans="1:12" x14ac:dyDescent="0.3">
      <c r="A574" t="s">
        <v>3190</v>
      </c>
      <c r="B574" t="s">
        <v>2324</v>
      </c>
      <c r="C574">
        <f t="shared" si="56"/>
        <v>16</v>
      </c>
      <c r="D574" t="str">
        <f t="shared" si="57"/>
        <v>Norm</v>
      </c>
      <c r="E574">
        <f t="shared" si="58"/>
        <v>3</v>
      </c>
      <c r="F574" t="str">
        <f t="shared" si="59"/>
        <v>D</v>
      </c>
      <c r="G574" s="115" t="s">
        <v>884</v>
      </c>
      <c r="H574" s="54">
        <v>953628.84</v>
      </c>
      <c r="I574" s="54">
        <v>953628.84</v>
      </c>
      <c r="J574" s="115" t="s">
        <v>884</v>
      </c>
      <c r="K574" t="str">
        <f t="shared" si="54"/>
        <v>C</v>
      </c>
      <c r="L574" s="173">
        <f t="shared" si="55"/>
        <v>0</v>
      </c>
    </row>
    <row r="575" spans="1:12" x14ac:dyDescent="0.3">
      <c r="A575" t="s">
        <v>3191</v>
      </c>
      <c r="B575" t="s">
        <v>2325</v>
      </c>
      <c r="C575">
        <f t="shared" si="56"/>
        <v>11</v>
      </c>
      <c r="D575" t="str">
        <f t="shared" si="57"/>
        <v>Norm</v>
      </c>
      <c r="E575">
        <f t="shared" si="58"/>
        <v>3</v>
      </c>
      <c r="F575" t="str">
        <f t="shared" si="59"/>
        <v>D</v>
      </c>
      <c r="G575" s="115" t="s">
        <v>25</v>
      </c>
      <c r="H575" s="54">
        <v>1310464.8999999999</v>
      </c>
      <c r="I575" s="54">
        <v>1310464.8999999999</v>
      </c>
      <c r="J575" s="115" t="s">
        <v>25</v>
      </c>
      <c r="K575" t="str">
        <f t="shared" si="54"/>
        <v>D</v>
      </c>
      <c r="L575" s="173">
        <f t="shared" si="55"/>
        <v>0</v>
      </c>
    </row>
    <row r="576" spans="1:12" x14ac:dyDescent="0.3">
      <c r="A576" t="s">
        <v>3192</v>
      </c>
      <c r="B576" t="s">
        <v>2326</v>
      </c>
      <c r="C576">
        <f t="shared" si="56"/>
        <v>16</v>
      </c>
      <c r="D576" t="str">
        <f t="shared" si="57"/>
        <v>Norm</v>
      </c>
      <c r="E576">
        <f t="shared" si="58"/>
        <v>3</v>
      </c>
      <c r="F576" t="str">
        <f t="shared" si="59"/>
        <v>D</v>
      </c>
      <c r="G576" s="115" t="s">
        <v>25</v>
      </c>
      <c r="H576" s="54">
        <v>1310464.8999999999</v>
      </c>
      <c r="I576" s="54">
        <v>1310464.8999999999</v>
      </c>
      <c r="J576" s="115" t="s">
        <v>25</v>
      </c>
      <c r="K576" t="str">
        <f t="shared" si="54"/>
        <v>D</v>
      </c>
      <c r="L576" s="173">
        <f t="shared" si="55"/>
        <v>0</v>
      </c>
    </row>
    <row r="577" spans="1:12" x14ac:dyDescent="0.3">
      <c r="A577" t="s">
        <v>3193</v>
      </c>
      <c r="B577" t="s">
        <v>1881</v>
      </c>
      <c r="C577">
        <f t="shared" si="56"/>
        <v>11</v>
      </c>
      <c r="D577" t="str">
        <f t="shared" si="57"/>
        <v>Norm</v>
      </c>
      <c r="E577">
        <f t="shared" si="58"/>
        <v>3</v>
      </c>
      <c r="F577" t="str">
        <f t="shared" si="59"/>
        <v>D</v>
      </c>
      <c r="G577" s="115" t="s">
        <v>25</v>
      </c>
      <c r="H577" s="54">
        <v>464555.47</v>
      </c>
      <c r="I577" s="54">
        <v>464555.47</v>
      </c>
      <c r="J577" s="115" t="s">
        <v>25</v>
      </c>
      <c r="K577" t="str">
        <f t="shared" si="54"/>
        <v>D</v>
      </c>
      <c r="L577" s="173">
        <f t="shared" si="55"/>
        <v>0</v>
      </c>
    </row>
    <row r="578" spans="1:12" x14ac:dyDescent="0.3">
      <c r="A578" t="s">
        <v>3194</v>
      </c>
      <c r="B578" t="s">
        <v>1884</v>
      </c>
      <c r="C578">
        <f t="shared" si="56"/>
        <v>16</v>
      </c>
      <c r="D578" t="str">
        <f t="shared" si="57"/>
        <v>Norm</v>
      </c>
      <c r="E578">
        <f t="shared" si="58"/>
        <v>3</v>
      </c>
      <c r="F578" t="str">
        <f t="shared" si="59"/>
        <v>D</v>
      </c>
      <c r="G578" s="115" t="s">
        <v>25</v>
      </c>
      <c r="H578" s="54">
        <v>4918.4399999999996</v>
      </c>
      <c r="I578" s="54">
        <v>4918.4399999999996</v>
      </c>
      <c r="J578" s="115" t="s">
        <v>25</v>
      </c>
      <c r="K578" t="str">
        <f t="shared" si="54"/>
        <v>D</v>
      </c>
      <c r="L578" s="173">
        <f t="shared" si="55"/>
        <v>0</v>
      </c>
    </row>
    <row r="579" spans="1:12" x14ac:dyDescent="0.3">
      <c r="A579" t="s">
        <v>3195</v>
      </c>
      <c r="B579" t="s">
        <v>1887</v>
      </c>
      <c r="C579">
        <f t="shared" si="56"/>
        <v>16</v>
      </c>
      <c r="D579" t="str">
        <f t="shared" si="57"/>
        <v>Norm</v>
      </c>
      <c r="E579">
        <f t="shared" si="58"/>
        <v>3</v>
      </c>
      <c r="F579" t="str">
        <f t="shared" si="59"/>
        <v>D</v>
      </c>
      <c r="G579" s="115" t="s">
        <v>25</v>
      </c>
      <c r="H579" s="115">
        <v>799.25</v>
      </c>
      <c r="I579" s="115">
        <v>799.25</v>
      </c>
      <c r="J579" s="115" t="s">
        <v>25</v>
      </c>
      <c r="K579" t="str">
        <f t="shared" ref="K579:K642" si="60">RIGHT(J579,1)</f>
        <v>D</v>
      </c>
      <c r="L579" s="173">
        <f t="shared" ref="L579:L642" si="61">IF(J579=0,0,LEFT(J579,LEN(J579)-1)+0)</f>
        <v>0</v>
      </c>
    </row>
    <row r="580" spans="1:12" x14ac:dyDescent="0.3">
      <c r="A580" t="s">
        <v>3196</v>
      </c>
      <c r="B580" t="s">
        <v>1890</v>
      </c>
      <c r="C580">
        <f t="shared" si="56"/>
        <v>16</v>
      </c>
      <c r="D580" t="str">
        <f t="shared" si="57"/>
        <v>Norm</v>
      </c>
      <c r="E580">
        <f t="shared" si="58"/>
        <v>3</v>
      </c>
      <c r="F580" t="str">
        <f t="shared" si="59"/>
        <v>D</v>
      </c>
      <c r="G580" s="115" t="s">
        <v>25</v>
      </c>
      <c r="H580" s="54">
        <v>10021.84</v>
      </c>
      <c r="I580" s="54">
        <v>10021.84</v>
      </c>
      <c r="J580" s="115" t="s">
        <v>25</v>
      </c>
      <c r="K580" t="str">
        <f t="shared" si="60"/>
        <v>D</v>
      </c>
      <c r="L580" s="173">
        <f t="shared" si="61"/>
        <v>0</v>
      </c>
    </row>
    <row r="581" spans="1:12" x14ac:dyDescent="0.3">
      <c r="A581" t="s">
        <v>3197</v>
      </c>
      <c r="B581" t="s">
        <v>1893</v>
      </c>
      <c r="C581">
        <f t="shared" si="56"/>
        <v>16</v>
      </c>
      <c r="D581" t="str">
        <f t="shared" si="57"/>
        <v>Norm</v>
      </c>
      <c r="E581">
        <f t="shared" si="58"/>
        <v>3</v>
      </c>
      <c r="F581" t="str">
        <f t="shared" si="59"/>
        <v>D</v>
      </c>
      <c r="G581" s="115" t="s">
        <v>25</v>
      </c>
      <c r="H581" s="54">
        <v>154571.70000000001</v>
      </c>
      <c r="I581" s="54">
        <v>154571.70000000001</v>
      </c>
      <c r="J581" s="115" t="s">
        <v>25</v>
      </c>
      <c r="K581" t="str">
        <f t="shared" si="60"/>
        <v>D</v>
      </c>
      <c r="L581" s="173">
        <f t="shared" si="61"/>
        <v>0</v>
      </c>
    </row>
    <row r="582" spans="1:12" x14ac:dyDescent="0.3">
      <c r="A582" t="s">
        <v>3198</v>
      </c>
      <c r="B582" t="s">
        <v>1896</v>
      </c>
      <c r="C582">
        <f t="shared" si="56"/>
        <v>16</v>
      </c>
      <c r="D582" t="str">
        <f t="shared" si="57"/>
        <v>Norm</v>
      </c>
      <c r="E582">
        <f t="shared" si="58"/>
        <v>3</v>
      </c>
      <c r="F582" t="str">
        <f t="shared" si="59"/>
        <v>D</v>
      </c>
      <c r="G582" s="115" t="s">
        <v>25</v>
      </c>
      <c r="H582" s="54">
        <v>33259.03</v>
      </c>
      <c r="I582" s="54">
        <v>33259.03</v>
      </c>
      <c r="J582" s="115" t="s">
        <v>25</v>
      </c>
      <c r="K582" t="str">
        <f t="shared" si="60"/>
        <v>D</v>
      </c>
      <c r="L582" s="173">
        <f t="shared" si="61"/>
        <v>0</v>
      </c>
    </row>
    <row r="583" spans="1:12" x14ac:dyDescent="0.3">
      <c r="A583" t="s">
        <v>3199</v>
      </c>
      <c r="B583" t="s">
        <v>1899</v>
      </c>
      <c r="C583">
        <f t="shared" si="56"/>
        <v>16</v>
      </c>
      <c r="D583" t="str">
        <f t="shared" si="57"/>
        <v>Norm</v>
      </c>
      <c r="E583">
        <f t="shared" si="58"/>
        <v>3</v>
      </c>
      <c r="F583" t="str">
        <f t="shared" si="59"/>
        <v>D</v>
      </c>
      <c r="G583" s="115" t="s">
        <v>25</v>
      </c>
      <c r="H583" s="54">
        <v>260985.21</v>
      </c>
      <c r="I583" s="54">
        <v>260985.21</v>
      </c>
      <c r="J583" s="115" t="s">
        <v>25</v>
      </c>
      <c r="K583" t="str">
        <f t="shared" si="60"/>
        <v>D</v>
      </c>
      <c r="L583" s="173">
        <f t="shared" si="61"/>
        <v>0</v>
      </c>
    </row>
    <row r="584" spans="1:12" x14ac:dyDescent="0.3">
      <c r="A584" t="s">
        <v>3200</v>
      </c>
      <c r="B584" t="s">
        <v>1902</v>
      </c>
      <c r="C584">
        <f t="shared" si="56"/>
        <v>3</v>
      </c>
      <c r="D584" t="str">
        <f t="shared" si="57"/>
        <v>Norm</v>
      </c>
      <c r="E584">
        <f t="shared" si="58"/>
        <v>4</v>
      </c>
      <c r="F584" t="str">
        <f t="shared" si="59"/>
        <v>C</v>
      </c>
      <c r="G584" s="115" t="s">
        <v>884</v>
      </c>
      <c r="H584" s="54">
        <v>31730681.25</v>
      </c>
      <c r="I584" s="54">
        <v>31730681.25</v>
      </c>
      <c r="J584" s="115" t="s">
        <v>884</v>
      </c>
      <c r="K584" t="str">
        <f t="shared" si="60"/>
        <v>C</v>
      </c>
      <c r="L584" s="173">
        <f t="shared" si="61"/>
        <v>0</v>
      </c>
    </row>
    <row r="585" spans="1:12" x14ac:dyDescent="0.3">
      <c r="A585" t="s">
        <v>3201</v>
      </c>
      <c r="B585" t="s">
        <v>1904</v>
      </c>
      <c r="C585">
        <f t="shared" si="56"/>
        <v>5</v>
      </c>
      <c r="D585" t="str">
        <f t="shared" si="57"/>
        <v>Norm</v>
      </c>
      <c r="E585">
        <f t="shared" si="58"/>
        <v>4</v>
      </c>
      <c r="F585" t="str">
        <f t="shared" si="59"/>
        <v>C</v>
      </c>
      <c r="G585" s="115">
        <v>0</v>
      </c>
      <c r="H585" s="54">
        <v>9173890.1999999993</v>
      </c>
      <c r="I585" s="54">
        <v>9173890.1999999993</v>
      </c>
      <c r="J585" s="115">
        <v>0</v>
      </c>
      <c r="K585" t="str">
        <f t="shared" si="60"/>
        <v>0</v>
      </c>
      <c r="L585" s="173">
        <f t="shared" si="61"/>
        <v>0</v>
      </c>
    </row>
    <row r="586" spans="1:12" x14ac:dyDescent="0.3">
      <c r="A586" t="s">
        <v>3202</v>
      </c>
      <c r="B586" t="s">
        <v>1907</v>
      </c>
      <c r="C586">
        <f t="shared" si="56"/>
        <v>8</v>
      </c>
      <c r="D586" t="str">
        <f t="shared" si="57"/>
        <v>Norm</v>
      </c>
      <c r="E586">
        <f t="shared" si="58"/>
        <v>4</v>
      </c>
      <c r="F586" t="str">
        <f t="shared" si="59"/>
        <v>C</v>
      </c>
      <c r="G586" s="115" t="s">
        <v>884</v>
      </c>
      <c r="H586" s="54">
        <v>9173890.1999999993</v>
      </c>
      <c r="I586" s="54">
        <v>9173890.1999999993</v>
      </c>
      <c r="J586" s="115" t="s">
        <v>884</v>
      </c>
      <c r="K586" t="str">
        <f t="shared" si="60"/>
        <v>C</v>
      </c>
      <c r="L586" s="173">
        <f t="shared" si="61"/>
        <v>0</v>
      </c>
    </row>
    <row r="587" spans="1:12" x14ac:dyDescent="0.3">
      <c r="A587" t="s">
        <v>3203</v>
      </c>
      <c r="B587" t="s">
        <v>1910</v>
      </c>
      <c r="C587">
        <f t="shared" si="56"/>
        <v>11</v>
      </c>
      <c r="D587" t="str">
        <f t="shared" si="57"/>
        <v>Norm</v>
      </c>
      <c r="E587">
        <f t="shared" si="58"/>
        <v>4</v>
      </c>
      <c r="F587" t="str">
        <f t="shared" si="59"/>
        <v>C</v>
      </c>
      <c r="G587" s="115" t="s">
        <v>884</v>
      </c>
      <c r="H587" s="54">
        <v>9173890.1999999993</v>
      </c>
      <c r="I587" s="54">
        <v>9173890.1999999993</v>
      </c>
      <c r="J587" s="115" t="s">
        <v>884</v>
      </c>
      <c r="K587" t="str">
        <f t="shared" si="60"/>
        <v>C</v>
      </c>
      <c r="L587" s="173">
        <f t="shared" si="61"/>
        <v>0</v>
      </c>
    </row>
    <row r="588" spans="1:12" x14ac:dyDescent="0.3">
      <c r="A588" t="s">
        <v>3204</v>
      </c>
      <c r="B588" t="s">
        <v>1912</v>
      </c>
      <c r="C588">
        <f t="shared" si="56"/>
        <v>16</v>
      </c>
      <c r="D588" t="str">
        <f t="shared" si="57"/>
        <v>Norm</v>
      </c>
      <c r="E588">
        <f t="shared" si="58"/>
        <v>4</v>
      </c>
      <c r="F588" t="str">
        <f t="shared" si="59"/>
        <v>C</v>
      </c>
      <c r="G588" s="115" t="s">
        <v>884</v>
      </c>
      <c r="H588" s="54">
        <v>4491125.5</v>
      </c>
      <c r="I588" s="54">
        <v>4491125.5</v>
      </c>
      <c r="J588" s="115" t="s">
        <v>884</v>
      </c>
      <c r="K588" t="str">
        <f t="shared" si="60"/>
        <v>C</v>
      </c>
      <c r="L588" s="173">
        <f t="shared" si="61"/>
        <v>0</v>
      </c>
    </row>
    <row r="589" spans="1:12" x14ac:dyDescent="0.3">
      <c r="A589" t="s">
        <v>3205</v>
      </c>
      <c r="B589" t="s">
        <v>1915</v>
      </c>
      <c r="C589">
        <f t="shared" ref="C589:C652" si="62">LEN(B589)</f>
        <v>16</v>
      </c>
      <c r="D589" t="str">
        <f t="shared" ref="D589:D652" si="63">IF(LEFT(TRIM(A589),1)="(","Red.","Norm")</f>
        <v>Norm</v>
      </c>
      <c r="E589">
        <f t="shared" ref="E589:E652" si="64">LEFT(SUBSTITUTE(B589,"[","",1),1)+0</f>
        <v>4</v>
      </c>
      <c r="F589" t="str">
        <f t="shared" ref="F589:F652" si="65">IF(AND(OR(E589=1,E589=3,E589=5),D589="Norm"),"D",
IF(AND(OR(E589=1,E589=3,E589=5),D589="Red."),"C",
IF(AND(OR(E589=2,E589=4,E589=6),D589="Norm"),"C",
IF(AND(OR(E589=2,E589=4,E589=6),D589="Red."),"D"))))</f>
        <v>C</v>
      </c>
      <c r="G589" s="115" t="s">
        <v>884</v>
      </c>
      <c r="H589" s="54">
        <v>4682764.7</v>
      </c>
      <c r="I589" s="54">
        <v>4682764.7</v>
      </c>
      <c r="J589" s="115" t="s">
        <v>884</v>
      </c>
      <c r="K589" t="str">
        <f t="shared" si="60"/>
        <v>C</v>
      </c>
      <c r="L589" s="173">
        <f t="shared" si="61"/>
        <v>0</v>
      </c>
    </row>
    <row r="590" spans="1:12" x14ac:dyDescent="0.3">
      <c r="A590" t="s">
        <v>3206</v>
      </c>
      <c r="B590" t="s">
        <v>1926</v>
      </c>
      <c r="C590">
        <f t="shared" si="62"/>
        <v>5</v>
      </c>
      <c r="D590" t="str">
        <f t="shared" si="63"/>
        <v>Norm</v>
      </c>
      <c r="E590">
        <f t="shared" si="64"/>
        <v>4</v>
      </c>
      <c r="F590" t="str">
        <f t="shared" si="65"/>
        <v>C</v>
      </c>
      <c r="G590" s="115">
        <v>0</v>
      </c>
      <c r="H590" s="54">
        <v>21729661.850000001</v>
      </c>
      <c r="I590" s="54">
        <v>21729661.850000001</v>
      </c>
      <c r="J590" s="115">
        <v>0</v>
      </c>
      <c r="K590" t="str">
        <f t="shared" si="60"/>
        <v>0</v>
      </c>
      <c r="L590" s="173">
        <f t="shared" si="61"/>
        <v>0</v>
      </c>
    </row>
    <row r="591" spans="1:12" x14ac:dyDescent="0.3">
      <c r="A591" t="s">
        <v>3207</v>
      </c>
      <c r="B591" t="s">
        <v>1929</v>
      </c>
      <c r="C591">
        <f t="shared" si="62"/>
        <v>8</v>
      </c>
      <c r="D591" t="str">
        <f t="shared" si="63"/>
        <v>Norm</v>
      </c>
      <c r="E591">
        <f t="shared" si="64"/>
        <v>4</v>
      </c>
      <c r="F591" t="str">
        <f t="shared" si="65"/>
        <v>C</v>
      </c>
      <c r="G591" s="115" t="s">
        <v>884</v>
      </c>
      <c r="H591" s="54">
        <v>1917986.65</v>
      </c>
      <c r="I591" s="54">
        <v>1917986.65</v>
      </c>
      <c r="J591" s="115" t="s">
        <v>884</v>
      </c>
      <c r="K591" t="str">
        <f t="shared" si="60"/>
        <v>C</v>
      </c>
      <c r="L591" s="173">
        <f t="shared" si="61"/>
        <v>0</v>
      </c>
    </row>
    <row r="592" spans="1:12" x14ac:dyDescent="0.3">
      <c r="A592" t="s">
        <v>3208</v>
      </c>
      <c r="B592" t="s">
        <v>1932</v>
      </c>
      <c r="C592">
        <f t="shared" si="62"/>
        <v>11</v>
      </c>
      <c r="D592" t="str">
        <f t="shared" si="63"/>
        <v>Norm</v>
      </c>
      <c r="E592">
        <f t="shared" si="64"/>
        <v>4</v>
      </c>
      <c r="F592" t="str">
        <f t="shared" si="65"/>
        <v>C</v>
      </c>
      <c r="G592" s="115" t="s">
        <v>884</v>
      </c>
      <c r="H592" s="54">
        <v>1917986.65</v>
      </c>
      <c r="I592" s="54">
        <v>1917986.65</v>
      </c>
      <c r="J592" s="115" t="s">
        <v>884</v>
      </c>
      <c r="K592" t="str">
        <f t="shared" si="60"/>
        <v>C</v>
      </c>
      <c r="L592" s="173">
        <f t="shared" si="61"/>
        <v>0</v>
      </c>
    </row>
    <row r="593" spans="1:12" x14ac:dyDescent="0.3">
      <c r="A593" t="s">
        <v>3209</v>
      </c>
      <c r="B593" t="s">
        <v>1934</v>
      </c>
      <c r="C593">
        <f t="shared" si="62"/>
        <v>16</v>
      </c>
      <c r="D593" t="str">
        <f t="shared" si="63"/>
        <v>Norm</v>
      </c>
      <c r="E593">
        <f t="shared" si="64"/>
        <v>4</v>
      </c>
      <c r="F593" t="str">
        <f t="shared" si="65"/>
        <v>C</v>
      </c>
      <c r="G593" s="115" t="s">
        <v>884</v>
      </c>
      <c r="H593" s="54">
        <v>1917986.65</v>
      </c>
      <c r="I593" s="54">
        <v>1917986.65</v>
      </c>
      <c r="J593" s="115" t="s">
        <v>884</v>
      </c>
      <c r="K593" t="str">
        <f t="shared" si="60"/>
        <v>C</v>
      </c>
      <c r="L593" s="173">
        <f t="shared" si="61"/>
        <v>0</v>
      </c>
    </row>
    <row r="594" spans="1:12" x14ac:dyDescent="0.3">
      <c r="A594" t="s">
        <v>3210</v>
      </c>
      <c r="B594" t="s">
        <v>1936</v>
      </c>
      <c r="C594">
        <f t="shared" si="62"/>
        <v>8</v>
      </c>
      <c r="D594" t="str">
        <f t="shared" si="63"/>
        <v>Norm</v>
      </c>
      <c r="E594">
        <f t="shared" si="64"/>
        <v>4</v>
      </c>
      <c r="F594" t="str">
        <f t="shared" si="65"/>
        <v>C</v>
      </c>
      <c r="G594" s="115" t="s">
        <v>884</v>
      </c>
      <c r="H594" s="115">
        <v>226.68</v>
      </c>
      <c r="I594" s="115">
        <v>226.68</v>
      </c>
      <c r="J594" s="115" t="s">
        <v>884</v>
      </c>
      <c r="K594" t="str">
        <f t="shared" si="60"/>
        <v>C</v>
      </c>
      <c r="L594" s="173">
        <f t="shared" si="61"/>
        <v>0</v>
      </c>
    </row>
    <row r="595" spans="1:12" x14ac:dyDescent="0.3">
      <c r="A595" t="s">
        <v>3211</v>
      </c>
      <c r="B595" t="s">
        <v>1939</v>
      </c>
      <c r="C595">
        <f t="shared" si="62"/>
        <v>11</v>
      </c>
      <c r="D595" t="str">
        <f t="shared" si="63"/>
        <v>Norm</v>
      </c>
      <c r="E595">
        <f t="shared" si="64"/>
        <v>4</v>
      </c>
      <c r="F595" t="str">
        <f t="shared" si="65"/>
        <v>C</v>
      </c>
      <c r="G595" s="115">
        <v>0</v>
      </c>
      <c r="H595" s="115">
        <v>226.68</v>
      </c>
      <c r="I595" s="115">
        <v>226.68</v>
      </c>
      <c r="J595" s="115">
        <v>0</v>
      </c>
      <c r="K595" t="str">
        <f t="shared" si="60"/>
        <v>0</v>
      </c>
      <c r="L595" s="173">
        <f t="shared" si="61"/>
        <v>0</v>
      </c>
    </row>
    <row r="596" spans="1:12" x14ac:dyDescent="0.3">
      <c r="A596" t="s">
        <v>3212</v>
      </c>
      <c r="B596" t="s">
        <v>1941</v>
      </c>
      <c r="C596">
        <f t="shared" si="62"/>
        <v>16</v>
      </c>
      <c r="D596" t="str">
        <f t="shared" si="63"/>
        <v>Norm</v>
      </c>
      <c r="E596">
        <f t="shared" si="64"/>
        <v>4</v>
      </c>
      <c r="F596" t="str">
        <f t="shared" si="65"/>
        <v>C</v>
      </c>
      <c r="G596" s="115">
        <v>0</v>
      </c>
      <c r="H596" s="115">
        <v>226.68</v>
      </c>
      <c r="I596" s="115">
        <v>226.68</v>
      </c>
      <c r="J596" s="115">
        <v>0</v>
      </c>
      <c r="K596" t="str">
        <f t="shared" si="60"/>
        <v>0</v>
      </c>
      <c r="L596" s="173">
        <f t="shared" si="61"/>
        <v>0</v>
      </c>
    </row>
    <row r="597" spans="1:12" x14ac:dyDescent="0.3">
      <c r="A597" t="s">
        <v>3213</v>
      </c>
      <c r="B597" t="s">
        <v>1943</v>
      </c>
      <c r="C597">
        <f t="shared" si="62"/>
        <v>8</v>
      </c>
      <c r="D597" t="str">
        <f t="shared" si="63"/>
        <v>Norm</v>
      </c>
      <c r="E597">
        <f t="shared" si="64"/>
        <v>4</v>
      </c>
      <c r="F597" t="str">
        <f t="shared" si="65"/>
        <v>C</v>
      </c>
      <c r="G597" s="115" t="s">
        <v>884</v>
      </c>
      <c r="H597" s="54">
        <v>18499206.469999999</v>
      </c>
      <c r="I597" s="54">
        <v>18499206.469999999</v>
      </c>
      <c r="J597" s="115" t="s">
        <v>884</v>
      </c>
      <c r="K597" t="str">
        <f t="shared" si="60"/>
        <v>C</v>
      </c>
      <c r="L597" s="173">
        <f t="shared" si="61"/>
        <v>0</v>
      </c>
    </row>
    <row r="598" spans="1:12" x14ac:dyDescent="0.3">
      <c r="A598" t="s">
        <v>3214</v>
      </c>
      <c r="B598" t="s">
        <v>1946</v>
      </c>
      <c r="C598">
        <f t="shared" si="62"/>
        <v>11</v>
      </c>
      <c r="D598" t="str">
        <f t="shared" si="63"/>
        <v>Norm</v>
      </c>
      <c r="E598">
        <f t="shared" si="64"/>
        <v>4</v>
      </c>
      <c r="F598" t="str">
        <f t="shared" si="65"/>
        <v>C</v>
      </c>
      <c r="G598" s="115" t="s">
        <v>884</v>
      </c>
      <c r="H598" s="54">
        <v>60032.06</v>
      </c>
      <c r="I598" s="54">
        <v>60032.06</v>
      </c>
      <c r="J598" s="115" t="s">
        <v>884</v>
      </c>
      <c r="K598" t="str">
        <f t="shared" si="60"/>
        <v>C</v>
      </c>
      <c r="L598" s="173">
        <f t="shared" si="61"/>
        <v>0</v>
      </c>
    </row>
    <row r="599" spans="1:12" x14ac:dyDescent="0.3">
      <c r="A599" t="s">
        <v>3215</v>
      </c>
      <c r="B599" t="s">
        <v>1949</v>
      </c>
      <c r="C599">
        <f t="shared" si="62"/>
        <v>16</v>
      </c>
      <c r="D599" t="str">
        <f t="shared" si="63"/>
        <v>Norm</v>
      </c>
      <c r="E599">
        <f t="shared" si="64"/>
        <v>4</v>
      </c>
      <c r="F599" t="str">
        <f t="shared" si="65"/>
        <v>C</v>
      </c>
      <c r="G599" s="115" t="s">
        <v>25</v>
      </c>
      <c r="H599" s="54">
        <v>60032.06</v>
      </c>
      <c r="I599" s="54">
        <v>60032.06</v>
      </c>
      <c r="J599" s="115" t="s">
        <v>25</v>
      </c>
      <c r="K599" t="str">
        <f t="shared" si="60"/>
        <v>D</v>
      </c>
      <c r="L599" s="173">
        <f t="shared" si="61"/>
        <v>0</v>
      </c>
    </row>
    <row r="600" spans="1:12" x14ac:dyDescent="0.3">
      <c r="A600" t="s">
        <v>3216</v>
      </c>
      <c r="B600" t="s">
        <v>1951</v>
      </c>
      <c r="C600">
        <f t="shared" si="62"/>
        <v>11</v>
      </c>
      <c r="D600" t="str">
        <f t="shared" si="63"/>
        <v>Norm</v>
      </c>
      <c r="E600">
        <f t="shared" si="64"/>
        <v>4</v>
      </c>
      <c r="F600" t="str">
        <f t="shared" si="65"/>
        <v>C</v>
      </c>
      <c r="G600" s="115" t="s">
        <v>25</v>
      </c>
      <c r="H600" s="54">
        <v>18439174.41</v>
      </c>
      <c r="I600" s="54">
        <v>18439174.41</v>
      </c>
      <c r="J600" s="115" t="s">
        <v>25</v>
      </c>
      <c r="K600" t="str">
        <f t="shared" si="60"/>
        <v>D</v>
      </c>
      <c r="L600" s="173">
        <f t="shared" si="61"/>
        <v>0</v>
      </c>
    </row>
    <row r="601" spans="1:12" x14ac:dyDescent="0.3">
      <c r="A601" t="s">
        <v>3217</v>
      </c>
      <c r="B601" t="s">
        <v>1954</v>
      </c>
      <c r="C601">
        <f t="shared" si="62"/>
        <v>16</v>
      </c>
      <c r="D601" t="str">
        <f t="shared" si="63"/>
        <v>Norm</v>
      </c>
      <c r="E601">
        <f t="shared" si="64"/>
        <v>4</v>
      </c>
      <c r="F601" t="str">
        <f t="shared" si="65"/>
        <v>C</v>
      </c>
      <c r="G601" s="115">
        <v>0</v>
      </c>
      <c r="H601" s="54">
        <v>18439174.41</v>
      </c>
      <c r="I601" s="54">
        <v>18439174.41</v>
      </c>
      <c r="J601" s="115">
        <v>0</v>
      </c>
      <c r="K601" t="str">
        <f t="shared" si="60"/>
        <v>0</v>
      </c>
      <c r="L601" s="173">
        <f t="shared" si="61"/>
        <v>0</v>
      </c>
    </row>
    <row r="602" spans="1:12" x14ac:dyDescent="0.3">
      <c r="A602" t="s">
        <v>3218</v>
      </c>
      <c r="B602" t="s">
        <v>1956</v>
      </c>
      <c r="C602">
        <f t="shared" si="62"/>
        <v>8</v>
      </c>
      <c r="D602" t="str">
        <f t="shared" si="63"/>
        <v>Norm</v>
      </c>
      <c r="E602">
        <f t="shared" si="64"/>
        <v>4</v>
      </c>
      <c r="F602" t="str">
        <f t="shared" si="65"/>
        <v>C</v>
      </c>
      <c r="G602" s="115" t="s">
        <v>884</v>
      </c>
      <c r="H602" s="54">
        <v>1312242.05</v>
      </c>
      <c r="I602" s="54">
        <v>1312242.05</v>
      </c>
      <c r="J602" s="115" t="s">
        <v>884</v>
      </c>
      <c r="K602" t="str">
        <f t="shared" si="60"/>
        <v>C</v>
      </c>
      <c r="L602" s="173">
        <f t="shared" si="61"/>
        <v>0</v>
      </c>
    </row>
    <row r="603" spans="1:12" x14ac:dyDescent="0.3">
      <c r="A603" t="s">
        <v>3219</v>
      </c>
      <c r="B603" t="s">
        <v>1959</v>
      </c>
      <c r="C603">
        <f t="shared" si="62"/>
        <v>11</v>
      </c>
      <c r="D603" t="str">
        <f t="shared" si="63"/>
        <v>Norm</v>
      </c>
      <c r="E603">
        <f t="shared" si="64"/>
        <v>4</v>
      </c>
      <c r="F603" t="str">
        <f t="shared" si="65"/>
        <v>C</v>
      </c>
      <c r="G603" s="115" t="s">
        <v>884</v>
      </c>
      <c r="H603" s="54">
        <v>1285.06</v>
      </c>
      <c r="I603" s="54">
        <v>1285.06</v>
      </c>
      <c r="J603" s="115" t="s">
        <v>884</v>
      </c>
      <c r="K603" t="str">
        <f t="shared" si="60"/>
        <v>C</v>
      </c>
      <c r="L603" s="173">
        <f t="shared" si="61"/>
        <v>0</v>
      </c>
    </row>
    <row r="604" spans="1:12" x14ac:dyDescent="0.3">
      <c r="A604" t="s">
        <v>3220</v>
      </c>
      <c r="B604" t="s">
        <v>1962</v>
      </c>
      <c r="C604">
        <f t="shared" si="62"/>
        <v>16</v>
      </c>
      <c r="D604" t="str">
        <f t="shared" si="63"/>
        <v>Norm</v>
      </c>
      <c r="E604">
        <f t="shared" si="64"/>
        <v>4</v>
      </c>
      <c r="F604" t="str">
        <f t="shared" si="65"/>
        <v>C</v>
      </c>
      <c r="G604" s="115" t="s">
        <v>884</v>
      </c>
      <c r="H604" s="54">
        <v>1285.06</v>
      </c>
      <c r="I604" s="54">
        <v>1285.06</v>
      </c>
      <c r="J604" s="115" t="s">
        <v>884</v>
      </c>
      <c r="K604" t="str">
        <f t="shared" si="60"/>
        <v>C</v>
      </c>
      <c r="L604" s="173">
        <f t="shared" si="61"/>
        <v>0</v>
      </c>
    </row>
    <row r="605" spans="1:12" x14ac:dyDescent="0.3">
      <c r="A605" t="s">
        <v>3221</v>
      </c>
      <c r="B605" t="s">
        <v>1965</v>
      </c>
      <c r="C605">
        <f t="shared" si="62"/>
        <v>11</v>
      </c>
      <c r="D605" t="str">
        <f t="shared" si="63"/>
        <v>Norm</v>
      </c>
      <c r="E605">
        <f t="shared" si="64"/>
        <v>4</v>
      </c>
      <c r="F605" t="str">
        <f t="shared" si="65"/>
        <v>C</v>
      </c>
      <c r="G605" s="115" t="s">
        <v>884</v>
      </c>
      <c r="H605" s="54">
        <v>1310956.99</v>
      </c>
      <c r="I605" s="54">
        <v>1310956.99</v>
      </c>
      <c r="J605" s="115" t="s">
        <v>884</v>
      </c>
      <c r="K605" t="str">
        <f t="shared" si="60"/>
        <v>C</v>
      </c>
      <c r="L605" s="173">
        <f t="shared" si="61"/>
        <v>0</v>
      </c>
    </row>
    <row r="606" spans="1:12" x14ac:dyDescent="0.3">
      <c r="A606" t="s">
        <v>3222</v>
      </c>
      <c r="B606" t="s">
        <v>2328</v>
      </c>
      <c r="C606">
        <f t="shared" si="62"/>
        <v>16</v>
      </c>
      <c r="D606" t="str">
        <f t="shared" si="63"/>
        <v>Norm</v>
      </c>
      <c r="E606">
        <f t="shared" si="64"/>
        <v>4</v>
      </c>
      <c r="F606" t="str">
        <f t="shared" si="65"/>
        <v>C</v>
      </c>
      <c r="G606" s="115" t="s">
        <v>884</v>
      </c>
      <c r="H606" s="115">
        <v>109.34</v>
      </c>
      <c r="I606" s="115">
        <v>109.34</v>
      </c>
      <c r="J606" s="115" t="s">
        <v>884</v>
      </c>
      <c r="K606" t="str">
        <f t="shared" si="60"/>
        <v>C</v>
      </c>
      <c r="L606" s="173">
        <f t="shared" si="61"/>
        <v>0</v>
      </c>
    </row>
    <row r="607" spans="1:12" x14ac:dyDescent="0.3">
      <c r="A607" t="s">
        <v>3223</v>
      </c>
      <c r="B607" t="s">
        <v>1972</v>
      </c>
      <c r="C607">
        <f t="shared" si="62"/>
        <v>16</v>
      </c>
      <c r="D607" t="str">
        <f t="shared" si="63"/>
        <v>Norm</v>
      </c>
      <c r="E607">
        <f t="shared" si="64"/>
        <v>4</v>
      </c>
      <c r="F607" t="str">
        <f t="shared" si="65"/>
        <v>C</v>
      </c>
      <c r="G607" s="115" t="s">
        <v>884</v>
      </c>
      <c r="H607" s="54">
        <v>179266.55</v>
      </c>
      <c r="I607" s="54">
        <v>179266.55</v>
      </c>
      <c r="J607" s="115" t="s">
        <v>884</v>
      </c>
      <c r="K607" t="str">
        <f t="shared" si="60"/>
        <v>C</v>
      </c>
      <c r="L607" s="173">
        <f t="shared" si="61"/>
        <v>0</v>
      </c>
    </row>
    <row r="608" spans="1:12" x14ac:dyDescent="0.3">
      <c r="A608" t="s">
        <v>3224</v>
      </c>
      <c r="B608" t="s">
        <v>2329</v>
      </c>
      <c r="C608">
        <f t="shared" si="62"/>
        <v>16</v>
      </c>
      <c r="D608" t="str">
        <f t="shared" si="63"/>
        <v>Norm</v>
      </c>
      <c r="E608">
        <f t="shared" si="64"/>
        <v>4</v>
      </c>
      <c r="F608" t="str">
        <f t="shared" si="65"/>
        <v>C</v>
      </c>
      <c r="G608" s="115" t="s">
        <v>884</v>
      </c>
      <c r="H608" s="54">
        <v>635254.31999999995</v>
      </c>
      <c r="I608" s="54">
        <v>635254.31999999995</v>
      </c>
      <c r="J608" s="115" t="s">
        <v>884</v>
      </c>
      <c r="K608" t="str">
        <f t="shared" si="60"/>
        <v>C</v>
      </c>
      <c r="L608" s="173">
        <f t="shared" si="61"/>
        <v>0</v>
      </c>
    </row>
    <row r="609" spans="1:12" x14ac:dyDescent="0.3">
      <c r="A609" t="s">
        <v>3225</v>
      </c>
      <c r="B609" t="s">
        <v>1975</v>
      </c>
      <c r="C609">
        <f t="shared" si="62"/>
        <v>16</v>
      </c>
      <c r="D609" t="str">
        <f t="shared" si="63"/>
        <v>Norm</v>
      </c>
      <c r="E609">
        <f t="shared" si="64"/>
        <v>4</v>
      </c>
      <c r="F609" t="str">
        <f t="shared" si="65"/>
        <v>C</v>
      </c>
      <c r="G609" s="115" t="s">
        <v>884</v>
      </c>
      <c r="H609" s="115">
        <v>87.66</v>
      </c>
      <c r="I609" s="115">
        <v>87.66</v>
      </c>
      <c r="J609" s="115" t="s">
        <v>884</v>
      </c>
      <c r="K609" t="str">
        <f t="shared" si="60"/>
        <v>C</v>
      </c>
      <c r="L609" s="173">
        <f t="shared" si="61"/>
        <v>0</v>
      </c>
    </row>
    <row r="610" spans="1:12" x14ac:dyDescent="0.3">
      <c r="A610" t="s">
        <v>3226</v>
      </c>
      <c r="B610" t="s">
        <v>1978</v>
      </c>
      <c r="C610">
        <f t="shared" si="62"/>
        <v>16</v>
      </c>
      <c r="D610" t="str">
        <f t="shared" si="63"/>
        <v>Norm</v>
      </c>
      <c r="E610">
        <f t="shared" si="64"/>
        <v>4</v>
      </c>
      <c r="F610" t="str">
        <f t="shared" si="65"/>
        <v>C</v>
      </c>
      <c r="G610" s="115" t="s">
        <v>884</v>
      </c>
      <c r="H610" s="115">
        <v>799.25</v>
      </c>
      <c r="I610" s="115">
        <v>799.25</v>
      </c>
      <c r="J610" s="115" t="s">
        <v>884</v>
      </c>
      <c r="K610" t="str">
        <f t="shared" si="60"/>
        <v>C</v>
      </c>
      <c r="L610" s="173">
        <f t="shared" si="61"/>
        <v>0</v>
      </c>
    </row>
    <row r="611" spans="1:12" x14ac:dyDescent="0.3">
      <c r="A611" t="s">
        <v>3227</v>
      </c>
      <c r="B611" t="s">
        <v>1980</v>
      </c>
      <c r="C611">
        <f t="shared" si="62"/>
        <v>16</v>
      </c>
      <c r="D611" t="str">
        <f t="shared" si="63"/>
        <v>Norm</v>
      </c>
      <c r="E611">
        <f t="shared" si="64"/>
        <v>4</v>
      </c>
      <c r="F611" t="str">
        <f t="shared" si="65"/>
        <v>C</v>
      </c>
      <c r="G611" s="115" t="s">
        <v>884</v>
      </c>
      <c r="H611" s="54">
        <v>4918.4399999999996</v>
      </c>
      <c r="I611" s="54">
        <v>4918.4399999999996</v>
      </c>
      <c r="J611" s="115" t="s">
        <v>884</v>
      </c>
      <c r="K611" t="str">
        <f t="shared" si="60"/>
        <v>C</v>
      </c>
      <c r="L611" s="173">
        <f t="shared" si="61"/>
        <v>0</v>
      </c>
    </row>
    <row r="612" spans="1:12" x14ac:dyDescent="0.3">
      <c r="A612" t="s">
        <v>3228</v>
      </c>
      <c r="B612" t="s">
        <v>2330</v>
      </c>
      <c r="C612">
        <f t="shared" si="62"/>
        <v>16</v>
      </c>
      <c r="D612" t="str">
        <f t="shared" si="63"/>
        <v>Norm</v>
      </c>
      <c r="E612">
        <f t="shared" si="64"/>
        <v>4</v>
      </c>
      <c r="F612" t="str">
        <f t="shared" si="65"/>
        <v>C</v>
      </c>
      <c r="G612" s="115" t="s">
        <v>884</v>
      </c>
      <c r="H612" s="54">
        <v>490521.43</v>
      </c>
      <c r="I612" s="54">
        <v>490521.43</v>
      </c>
      <c r="J612" s="115" t="s">
        <v>884</v>
      </c>
      <c r="K612" t="str">
        <f t="shared" si="60"/>
        <v>C</v>
      </c>
      <c r="L612" s="173">
        <f t="shared" si="61"/>
        <v>0</v>
      </c>
    </row>
    <row r="613" spans="1:12" x14ac:dyDescent="0.3">
      <c r="A613" t="s">
        <v>3229</v>
      </c>
      <c r="B613" t="s">
        <v>1982</v>
      </c>
      <c r="C613">
        <f t="shared" si="62"/>
        <v>5</v>
      </c>
      <c r="D613" t="str">
        <f t="shared" si="63"/>
        <v>Norm</v>
      </c>
      <c r="E613">
        <f t="shared" si="64"/>
        <v>4</v>
      </c>
      <c r="F613" t="str">
        <f t="shared" si="65"/>
        <v>C</v>
      </c>
      <c r="G613" s="115">
        <v>0</v>
      </c>
      <c r="H613" s="54">
        <v>827129.2</v>
      </c>
      <c r="I613" s="54">
        <v>827129.2</v>
      </c>
      <c r="J613" s="115">
        <v>0</v>
      </c>
      <c r="K613" t="str">
        <f t="shared" si="60"/>
        <v>0</v>
      </c>
      <c r="L613" s="173">
        <f t="shared" si="61"/>
        <v>0</v>
      </c>
    </row>
    <row r="614" spans="1:12" x14ac:dyDescent="0.3">
      <c r="A614" t="s">
        <v>3230</v>
      </c>
      <c r="B614" t="s">
        <v>1985</v>
      </c>
      <c r="C614">
        <f t="shared" si="62"/>
        <v>8</v>
      </c>
      <c r="D614" t="str">
        <f t="shared" si="63"/>
        <v>Norm</v>
      </c>
      <c r="E614">
        <f t="shared" si="64"/>
        <v>4</v>
      </c>
      <c r="F614" t="str">
        <f t="shared" si="65"/>
        <v>C</v>
      </c>
      <c r="G614" s="115">
        <v>0</v>
      </c>
      <c r="H614" s="54">
        <v>827129.2</v>
      </c>
      <c r="I614" s="54">
        <v>827129.2</v>
      </c>
      <c r="J614" s="115">
        <v>0</v>
      </c>
      <c r="K614" t="str">
        <f t="shared" si="60"/>
        <v>0</v>
      </c>
      <c r="L614" s="173">
        <f t="shared" si="61"/>
        <v>0</v>
      </c>
    </row>
    <row r="615" spans="1:12" x14ac:dyDescent="0.3">
      <c r="A615" t="s">
        <v>3231</v>
      </c>
      <c r="B615" t="s">
        <v>1988</v>
      </c>
      <c r="C615">
        <f t="shared" si="62"/>
        <v>11</v>
      </c>
      <c r="D615" t="str">
        <f t="shared" si="63"/>
        <v>Norm</v>
      </c>
      <c r="E615">
        <f t="shared" si="64"/>
        <v>4</v>
      </c>
      <c r="F615" t="str">
        <f t="shared" si="65"/>
        <v>C</v>
      </c>
      <c r="G615" s="115">
        <v>0</v>
      </c>
      <c r="H615" s="54">
        <v>89642.5</v>
      </c>
      <c r="I615" s="54">
        <v>89642.5</v>
      </c>
      <c r="J615" s="115">
        <v>0</v>
      </c>
      <c r="K615" t="str">
        <f t="shared" si="60"/>
        <v>0</v>
      </c>
      <c r="L615" s="173">
        <f t="shared" si="61"/>
        <v>0</v>
      </c>
    </row>
    <row r="616" spans="1:12" x14ac:dyDescent="0.3">
      <c r="A616" t="s">
        <v>3232</v>
      </c>
      <c r="B616" t="s">
        <v>1991</v>
      </c>
      <c r="C616">
        <f t="shared" si="62"/>
        <v>16</v>
      </c>
      <c r="D616" t="str">
        <f t="shared" si="63"/>
        <v>Norm</v>
      </c>
      <c r="E616">
        <f t="shared" si="64"/>
        <v>4</v>
      </c>
      <c r="F616" t="str">
        <f t="shared" si="65"/>
        <v>C</v>
      </c>
      <c r="G616" s="115">
        <v>0</v>
      </c>
      <c r="H616" s="54">
        <v>89642.5</v>
      </c>
      <c r="I616" s="54">
        <v>89642.5</v>
      </c>
      <c r="J616" s="115">
        <v>0</v>
      </c>
      <c r="K616" t="str">
        <f t="shared" si="60"/>
        <v>0</v>
      </c>
      <c r="L616" s="173">
        <f t="shared" si="61"/>
        <v>0</v>
      </c>
    </row>
    <row r="617" spans="1:12" x14ac:dyDescent="0.3">
      <c r="A617" t="s">
        <v>3233</v>
      </c>
      <c r="B617" t="s">
        <v>1993</v>
      </c>
      <c r="C617">
        <f t="shared" si="62"/>
        <v>11</v>
      </c>
      <c r="D617" t="str">
        <f t="shared" si="63"/>
        <v>Norm</v>
      </c>
      <c r="E617">
        <f t="shared" si="64"/>
        <v>4</v>
      </c>
      <c r="F617" t="str">
        <f t="shared" si="65"/>
        <v>C</v>
      </c>
      <c r="G617" s="115">
        <v>0</v>
      </c>
      <c r="H617" s="54">
        <v>737486.7</v>
      </c>
      <c r="I617" s="54">
        <v>737486.7</v>
      </c>
      <c r="J617" s="115">
        <v>0</v>
      </c>
      <c r="K617" t="str">
        <f t="shared" si="60"/>
        <v>0</v>
      </c>
      <c r="L617" s="173">
        <f t="shared" si="61"/>
        <v>0</v>
      </c>
    </row>
    <row r="618" spans="1:12" x14ac:dyDescent="0.3">
      <c r="A618" t="s">
        <v>3234</v>
      </c>
      <c r="B618" t="s">
        <v>1996</v>
      </c>
      <c r="C618">
        <f t="shared" si="62"/>
        <v>16</v>
      </c>
      <c r="D618" t="str">
        <f t="shared" si="63"/>
        <v>Norm</v>
      </c>
      <c r="E618">
        <f t="shared" si="64"/>
        <v>4</v>
      </c>
      <c r="F618" t="str">
        <f t="shared" si="65"/>
        <v>C</v>
      </c>
      <c r="G618" s="115">
        <v>0</v>
      </c>
      <c r="H618" s="54">
        <v>605935.03</v>
      </c>
      <c r="I618" s="54">
        <v>605935.03</v>
      </c>
      <c r="J618" s="115">
        <v>0</v>
      </c>
      <c r="K618" t="str">
        <f t="shared" si="60"/>
        <v>0</v>
      </c>
      <c r="L618" s="173">
        <f t="shared" si="61"/>
        <v>0</v>
      </c>
    </row>
    <row r="619" spans="1:12" x14ac:dyDescent="0.3">
      <c r="A619" t="s">
        <v>3235</v>
      </c>
      <c r="B619" t="s">
        <v>1999</v>
      </c>
      <c r="C619">
        <f t="shared" si="62"/>
        <v>16</v>
      </c>
      <c r="D619" t="str">
        <f t="shared" si="63"/>
        <v>Norm</v>
      </c>
      <c r="E619">
        <f t="shared" si="64"/>
        <v>4</v>
      </c>
      <c r="F619" t="str">
        <f t="shared" si="65"/>
        <v>C</v>
      </c>
      <c r="G619" s="115">
        <v>0</v>
      </c>
      <c r="H619" s="54">
        <v>131551.67000000001</v>
      </c>
      <c r="I619" s="54">
        <v>131551.67000000001</v>
      </c>
      <c r="J619" s="115">
        <v>0</v>
      </c>
      <c r="K619" t="str">
        <f t="shared" si="60"/>
        <v>0</v>
      </c>
      <c r="L619" s="173">
        <f t="shared" si="61"/>
        <v>0</v>
      </c>
    </row>
    <row r="620" spans="1:12" x14ac:dyDescent="0.3">
      <c r="A620" t="s">
        <v>3236</v>
      </c>
      <c r="B620" t="s">
        <v>2002</v>
      </c>
      <c r="C620">
        <f t="shared" si="62"/>
        <v>3</v>
      </c>
      <c r="D620" t="str">
        <f t="shared" si="63"/>
        <v>Norm</v>
      </c>
      <c r="E620">
        <f t="shared" si="64"/>
        <v>5</v>
      </c>
      <c r="F620" t="str">
        <f t="shared" si="65"/>
        <v>D</v>
      </c>
      <c r="G620" s="115" t="s">
        <v>884</v>
      </c>
      <c r="H620" s="54">
        <v>9786155.4700000007</v>
      </c>
      <c r="I620" s="54">
        <v>9786155.4700000007</v>
      </c>
      <c r="J620" s="115" t="s">
        <v>884</v>
      </c>
      <c r="K620" t="str">
        <f t="shared" si="60"/>
        <v>C</v>
      </c>
      <c r="L620" s="173">
        <f t="shared" si="61"/>
        <v>0</v>
      </c>
    </row>
    <row r="621" spans="1:12" x14ac:dyDescent="0.3">
      <c r="A621" t="s">
        <v>3237</v>
      </c>
      <c r="B621" t="s">
        <v>2005</v>
      </c>
      <c r="C621">
        <f t="shared" si="62"/>
        <v>5</v>
      </c>
      <c r="D621" t="str">
        <f t="shared" si="63"/>
        <v>Norm</v>
      </c>
      <c r="E621">
        <f t="shared" si="64"/>
        <v>5</v>
      </c>
      <c r="F621" t="str">
        <f t="shared" si="65"/>
        <v>D</v>
      </c>
      <c r="G621" s="115">
        <v>0</v>
      </c>
      <c r="H621" s="54">
        <v>9786155.4700000007</v>
      </c>
      <c r="I621" s="54">
        <v>9786155.4700000007</v>
      </c>
      <c r="J621" s="115">
        <v>0</v>
      </c>
      <c r="K621" t="str">
        <f t="shared" si="60"/>
        <v>0</v>
      </c>
      <c r="L621" s="173">
        <f t="shared" si="61"/>
        <v>0</v>
      </c>
    </row>
    <row r="622" spans="1:12" x14ac:dyDescent="0.3">
      <c r="A622" t="s">
        <v>3238</v>
      </c>
      <c r="B622" t="s">
        <v>2007</v>
      </c>
      <c r="C622">
        <f t="shared" si="62"/>
        <v>8</v>
      </c>
      <c r="D622" t="str">
        <f t="shared" si="63"/>
        <v>Norm</v>
      </c>
      <c r="E622">
        <f t="shared" si="64"/>
        <v>5</v>
      </c>
      <c r="F622" t="str">
        <f t="shared" si="65"/>
        <v>D</v>
      </c>
      <c r="G622" s="115" t="s">
        <v>884</v>
      </c>
      <c r="H622" s="54">
        <v>8862250.3499999996</v>
      </c>
      <c r="I622" s="54">
        <v>8862250.3499999996</v>
      </c>
      <c r="J622" s="115" t="s">
        <v>884</v>
      </c>
      <c r="K622" t="str">
        <f t="shared" si="60"/>
        <v>C</v>
      </c>
      <c r="L622" s="173">
        <f t="shared" si="61"/>
        <v>0</v>
      </c>
    </row>
    <row r="623" spans="1:12" x14ac:dyDescent="0.3">
      <c r="A623" t="s">
        <v>3239</v>
      </c>
      <c r="B623" t="s">
        <v>2010</v>
      </c>
      <c r="C623">
        <f t="shared" si="62"/>
        <v>11</v>
      </c>
      <c r="D623" t="str">
        <f t="shared" si="63"/>
        <v>Norm</v>
      </c>
      <c r="E623">
        <f t="shared" si="64"/>
        <v>5</v>
      </c>
      <c r="F623" t="str">
        <f t="shared" si="65"/>
        <v>D</v>
      </c>
      <c r="G623" s="115" t="s">
        <v>884</v>
      </c>
      <c r="H623" s="54">
        <v>8862250.3499999996</v>
      </c>
      <c r="I623" s="54">
        <v>8862250.3499999996</v>
      </c>
      <c r="J623" s="115" t="s">
        <v>884</v>
      </c>
      <c r="K623" t="str">
        <f t="shared" si="60"/>
        <v>C</v>
      </c>
      <c r="L623" s="173">
        <f t="shared" si="61"/>
        <v>0</v>
      </c>
    </row>
    <row r="624" spans="1:12" x14ac:dyDescent="0.3">
      <c r="A624" t="s">
        <v>3240</v>
      </c>
      <c r="B624" t="s">
        <v>2012</v>
      </c>
      <c r="C624">
        <f t="shared" si="62"/>
        <v>16</v>
      </c>
      <c r="D624" t="str">
        <f t="shared" si="63"/>
        <v>Norm</v>
      </c>
      <c r="E624">
        <f t="shared" si="64"/>
        <v>5</v>
      </c>
      <c r="F624" t="str">
        <f t="shared" si="65"/>
        <v>D</v>
      </c>
      <c r="G624" s="115" t="s">
        <v>884</v>
      </c>
      <c r="H624" s="54">
        <v>8862250.3499999996</v>
      </c>
      <c r="I624" s="54">
        <v>8862250.3499999996</v>
      </c>
      <c r="J624" s="115" t="s">
        <v>884</v>
      </c>
      <c r="K624" t="str">
        <f t="shared" si="60"/>
        <v>C</v>
      </c>
      <c r="L624" s="173">
        <f t="shared" si="61"/>
        <v>0</v>
      </c>
    </row>
    <row r="625" spans="1:12" x14ac:dyDescent="0.3">
      <c r="A625" t="s">
        <v>3241</v>
      </c>
      <c r="B625" t="s">
        <v>2014</v>
      </c>
      <c r="C625">
        <f t="shared" si="62"/>
        <v>8</v>
      </c>
      <c r="D625" t="str">
        <f t="shared" si="63"/>
        <v>Norm</v>
      </c>
      <c r="E625">
        <f t="shared" si="64"/>
        <v>5</v>
      </c>
      <c r="F625" t="str">
        <f t="shared" si="65"/>
        <v>D</v>
      </c>
      <c r="G625" s="115" t="s">
        <v>884</v>
      </c>
      <c r="H625" s="54">
        <v>923905.12</v>
      </c>
      <c r="I625" s="54">
        <v>923905.12</v>
      </c>
      <c r="J625" s="115" t="s">
        <v>884</v>
      </c>
      <c r="K625" t="str">
        <f t="shared" si="60"/>
        <v>C</v>
      </c>
      <c r="L625" s="173">
        <f t="shared" si="61"/>
        <v>0</v>
      </c>
    </row>
    <row r="626" spans="1:12" x14ac:dyDescent="0.3">
      <c r="A626" t="s">
        <v>3242</v>
      </c>
      <c r="B626" t="s">
        <v>2017</v>
      </c>
      <c r="C626">
        <f t="shared" si="62"/>
        <v>11</v>
      </c>
      <c r="D626" t="str">
        <f t="shared" si="63"/>
        <v>Norm</v>
      </c>
      <c r="E626">
        <f t="shared" si="64"/>
        <v>5</v>
      </c>
      <c r="F626" t="str">
        <f t="shared" si="65"/>
        <v>D</v>
      </c>
      <c r="G626" s="115" t="s">
        <v>884</v>
      </c>
      <c r="H626" s="54">
        <v>923905.12</v>
      </c>
      <c r="I626" s="54">
        <v>923905.12</v>
      </c>
      <c r="J626" s="115" t="s">
        <v>884</v>
      </c>
      <c r="K626" t="str">
        <f t="shared" si="60"/>
        <v>C</v>
      </c>
      <c r="L626" s="173">
        <f t="shared" si="61"/>
        <v>0</v>
      </c>
    </row>
    <row r="627" spans="1:12" x14ac:dyDescent="0.3">
      <c r="A627" t="s">
        <v>3243</v>
      </c>
      <c r="B627" t="s">
        <v>2332</v>
      </c>
      <c r="C627">
        <f t="shared" si="62"/>
        <v>16</v>
      </c>
      <c r="D627" t="str">
        <f t="shared" si="63"/>
        <v>Norm</v>
      </c>
      <c r="E627">
        <f t="shared" si="64"/>
        <v>5</v>
      </c>
      <c r="F627" t="str">
        <f t="shared" si="65"/>
        <v>D</v>
      </c>
      <c r="G627" s="115" t="s">
        <v>884</v>
      </c>
      <c r="H627" s="54">
        <v>120420.59</v>
      </c>
      <c r="I627" s="54">
        <v>120420.59</v>
      </c>
      <c r="J627" s="115" t="s">
        <v>884</v>
      </c>
      <c r="K627" t="str">
        <f t="shared" si="60"/>
        <v>C</v>
      </c>
      <c r="L627" s="173">
        <f t="shared" si="61"/>
        <v>0</v>
      </c>
    </row>
    <row r="628" spans="1:12" x14ac:dyDescent="0.3">
      <c r="A628" t="s">
        <v>3244</v>
      </c>
      <c r="B628" t="s">
        <v>2333</v>
      </c>
      <c r="C628">
        <f t="shared" si="62"/>
        <v>16</v>
      </c>
      <c r="D628" t="str">
        <f t="shared" si="63"/>
        <v>Norm</v>
      </c>
      <c r="E628">
        <f t="shared" si="64"/>
        <v>5</v>
      </c>
      <c r="F628" t="str">
        <f t="shared" si="65"/>
        <v>D</v>
      </c>
      <c r="G628" s="115" t="s">
        <v>884</v>
      </c>
      <c r="H628" s="115">
        <v>470.52</v>
      </c>
      <c r="I628" s="115">
        <v>470.52</v>
      </c>
      <c r="J628" s="115" t="s">
        <v>884</v>
      </c>
      <c r="K628" t="str">
        <f t="shared" si="60"/>
        <v>C</v>
      </c>
      <c r="L628" s="173">
        <f t="shared" si="61"/>
        <v>0</v>
      </c>
    </row>
    <row r="629" spans="1:12" x14ac:dyDescent="0.3">
      <c r="A629" t="s">
        <v>3245</v>
      </c>
      <c r="B629" t="s">
        <v>2334</v>
      </c>
      <c r="C629">
        <f t="shared" si="62"/>
        <v>16</v>
      </c>
      <c r="D629" t="str">
        <f t="shared" si="63"/>
        <v>Norm</v>
      </c>
      <c r="E629">
        <f t="shared" si="64"/>
        <v>5</v>
      </c>
      <c r="F629" t="str">
        <f t="shared" si="65"/>
        <v>D</v>
      </c>
      <c r="G629" s="115" t="s">
        <v>884</v>
      </c>
      <c r="H629" s="54">
        <v>2509.4699999999998</v>
      </c>
      <c r="I629" s="54">
        <v>2509.4699999999998</v>
      </c>
      <c r="J629" s="115" t="s">
        <v>884</v>
      </c>
      <c r="K629" t="str">
        <f t="shared" si="60"/>
        <v>C</v>
      </c>
      <c r="L629" s="173">
        <f t="shared" si="61"/>
        <v>0</v>
      </c>
    </row>
    <row r="630" spans="1:12" x14ac:dyDescent="0.3">
      <c r="A630" t="s">
        <v>3246</v>
      </c>
      <c r="B630" t="s">
        <v>2335</v>
      </c>
      <c r="C630">
        <f t="shared" si="62"/>
        <v>16</v>
      </c>
      <c r="D630" t="str">
        <f t="shared" si="63"/>
        <v>Norm</v>
      </c>
      <c r="E630">
        <f t="shared" si="64"/>
        <v>5</v>
      </c>
      <c r="F630" t="str">
        <f t="shared" si="65"/>
        <v>D</v>
      </c>
      <c r="G630" s="115" t="s">
        <v>884</v>
      </c>
      <c r="H630" s="115">
        <v>588.16</v>
      </c>
      <c r="I630" s="115">
        <v>588.16</v>
      </c>
      <c r="J630" s="115" t="s">
        <v>884</v>
      </c>
      <c r="K630" t="str">
        <f t="shared" si="60"/>
        <v>C</v>
      </c>
      <c r="L630" s="173">
        <f t="shared" si="61"/>
        <v>0</v>
      </c>
    </row>
    <row r="631" spans="1:12" x14ac:dyDescent="0.3">
      <c r="A631" t="s">
        <v>3247</v>
      </c>
      <c r="B631" t="s">
        <v>2336</v>
      </c>
      <c r="C631">
        <f t="shared" si="62"/>
        <v>16</v>
      </c>
      <c r="D631" t="str">
        <f t="shared" si="63"/>
        <v>Norm</v>
      </c>
      <c r="E631">
        <f t="shared" si="64"/>
        <v>5</v>
      </c>
      <c r="F631" t="str">
        <f t="shared" si="65"/>
        <v>D</v>
      </c>
      <c r="G631" s="115" t="s">
        <v>884</v>
      </c>
      <c r="H631" s="115">
        <v>901.84</v>
      </c>
      <c r="I631" s="115">
        <v>901.84</v>
      </c>
      <c r="J631" s="115" t="s">
        <v>884</v>
      </c>
      <c r="K631" t="str">
        <f t="shared" si="60"/>
        <v>C</v>
      </c>
      <c r="L631" s="173">
        <f t="shared" si="61"/>
        <v>0</v>
      </c>
    </row>
    <row r="632" spans="1:12" x14ac:dyDescent="0.3">
      <c r="A632" t="s">
        <v>3248</v>
      </c>
      <c r="B632" t="s">
        <v>2337</v>
      </c>
      <c r="C632">
        <f t="shared" si="62"/>
        <v>16</v>
      </c>
      <c r="D632" t="str">
        <f t="shared" si="63"/>
        <v>Norm</v>
      </c>
      <c r="E632">
        <f t="shared" si="64"/>
        <v>5</v>
      </c>
      <c r="F632" t="str">
        <f t="shared" si="65"/>
        <v>D</v>
      </c>
      <c r="G632" s="115" t="s">
        <v>884</v>
      </c>
      <c r="H632" s="115">
        <v>313.68</v>
      </c>
      <c r="I632" s="115">
        <v>313.68</v>
      </c>
      <c r="J632" s="115" t="s">
        <v>884</v>
      </c>
      <c r="K632" t="str">
        <f t="shared" si="60"/>
        <v>C</v>
      </c>
      <c r="L632" s="173">
        <f t="shared" si="61"/>
        <v>0</v>
      </c>
    </row>
    <row r="633" spans="1:12" x14ac:dyDescent="0.3">
      <c r="A633" t="s">
        <v>3249</v>
      </c>
      <c r="B633" t="s">
        <v>2338</v>
      </c>
      <c r="C633">
        <f t="shared" si="62"/>
        <v>16</v>
      </c>
      <c r="D633" t="str">
        <f t="shared" si="63"/>
        <v>Norm</v>
      </c>
      <c r="E633">
        <f t="shared" si="64"/>
        <v>5</v>
      </c>
      <c r="F633" t="str">
        <f t="shared" si="65"/>
        <v>D</v>
      </c>
      <c r="G633" s="115" t="s">
        <v>884</v>
      </c>
      <c r="H633" s="54">
        <v>2156.59</v>
      </c>
      <c r="I633" s="54">
        <v>2156.59</v>
      </c>
      <c r="J633" s="115" t="s">
        <v>884</v>
      </c>
      <c r="K633" t="str">
        <f t="shared" si="60"/>
        <v>C</v>
      </c>
      <c r="L633" s="173">
        <f t="shared" si="61"/>
        <v>0</v>
      </c>
    </row>
    <row r="634" spans="1:12" x14ac:dyDescent="0.3">
      <c r="A634" t="s">
        <v>3250</v>
      </c>
      <c r="B634" t="s">
        <v>2339</v>
      </c>
      <c r="C634">
        <f t="shared" si="62"/>
        <v>16</v>
      </c>
      <c r="D634" t="str">
        <f t="shared" si="63"/>
        <v>Norm</v>
      </c>
      <c r="E634">
        <f t="shared" si="64"/>
        <v>5</v>
      </c>
      <c r="F634" t="str">
        <f t="shared" si="65"/>
        <v>D</v>
      </c>
      <c r="G634" s="115" t="s">
        <v>884</v>
      </c>
      <c r="H634" s="54">
        <v>1764.47</v>
      </c>
      <c r="I634" s="54">
        <v>1764.47</v>
      </c>
      <c r="J634" s="115" t="s">
        <v>884</v>
      </c>
      <c r="K634" t="str">
        <f t="shared" si="60"/>
        <v>C</v>
      </c>
      <c r="L634" s="173">
        <f t="shared" si="61"/>
        <v>0</v>
      </c>
    </row>
    <row r="635" spans="1:12" x14ac:dyDescent="0.3">
      <c r="A635" t="s">
        <v>3251</v>
      </c>
      <c r="B635" t="s">
        <v>2340</v>
      </c>
      <c r="C635">
        <f t="shared" si="62"/>
        <v>16</v>
      </c>
      <c r="D635" t="str">
        <f t="shared" si="63"/>
        <v>Norm</v>
      </c>
      <c r="E635">
        <f t="shared" si="64"/>
        <v>5</v>
      </c>
      <c r="F635" t="str">
        <f t="shared" si="65"/>
        <v>D</v>
      </c>
      <c r="G635" s="115" t="s">
        <v>884</v>
      </c>
      <c r="H635" s="54">
        <v>1176.33</v>
      </c>
      <c r="I635" s="54">
        <v>1176.33</v>
      </c>
      <c r="J635" s="115" t="s">
        <v>884</v>
      </c>
      <c r="K635" t="str">
        <f t="shared" si="60"/>
        <v>C</v>
      </c>
      <c r="L635" s="173">
        <f t="shared" si="61"/>
        <v>0</v>
      </c>
    </row>
    <row r="636" spans="1:12" x14ac:dyDescent="0.3">
      <c r="A636" t="s">
        <v>3252</v>
      </c>
      <c r="B636" t="s">
        <v>2341</v>
      </c>
      <c r="C636">
        <f t="shared" si="62"/>
        <v>16</v>
      </c>
      <c r="D636" t="str">
        <f t="shared" si="63"/>
        <v>Norm</v>
      </c>
      <c r="E636">
        <f t="shared" si="64"/>
        <v>5</v>
      </c>
      <c r="F636" t="str">
        <f t="shared" si="65"/>
        <v>D</v>
      </c>
      <c r="G636" s="115">
        <v>0</v>
      </c>
      <c r="H636" s="54">
        <v>2548.6799999999998</v>
      </c>
      <c r="I636" s="54">
        <v>2548.6799999999998</v>
      </c>
      <c r="J636" s="115">
        <v>0</v>
      </c>
      <c r="K636" t="str">
        <f t="shared" si="60"/>
        <v>0</v>
      </c>
      <c r="L636" s="173">
        <f t="shared" si="61"/>
        <v>0</v>
      </c>
    </row>
    <row r="637" spans="1:12" x14ac:dyDescent="0.3">
      <c r="A637" t="s">
        <v>3253</v>
      </c>
      <c r="B637" t="s">
        <v>2342</v>
      </c>
      <c r="C637">
        <f t="shared" si="62"/>
        <v>16</v>
      </c>
      <c r="D637" t="str">
        <f t="shared" si="63"/>
        <v>Norm</v>
      </c>
      <c r="E637">
        <f t="shared" si="64"/>
        <v>5</v>
      </c>
      <c r="F637" t="str">
        <f t="shared" si="65"/>
        <v>D</v>
      </c>
      <c r="G637" s="115">
        <v>0</v>
      </c>
      <c r="H637" s="54">
        <v>1568.43</v>
      </c>
      <c r="I637" s="54">
        <v>1568.43</v>
      </c>
      <c r="J637" s="115">
        <v>0</v>
      </c>
      <c r="K637" t="str">
        <f t="shared" si="60"/>
        <v>0</v>
      </c>
      <c r="L637" s="173">
        <f t="shared" si="61"/>
        <v>0</v>
      </c>
    </row>
    <row r="638" spans="1:12" x14ac:dyDescent="0.3">
      <c r="A638" t="s">
        <v>3254</v>
      </c>
      <c r="B638" t="s">
        <v>2343</v>
      </c>
      <c r="C638">
        <f t="shared" si="62"/>
        <v>16</v>
      </c>
      <c r="D638" t="str">
        <f t="shared" si="63"/>
        <v>Norm</v>
      </c>
      <c r="E638">
        <f t="shared" si="64"/>
        <v>5</v>
      </c>
      <c r="F638" t="str">
        <f t="shared" si="65"/>
        <v>D</v>
      </c>
      <c r="G638" s="115">
        <v>0</v>
      </c>
      <c r="H638" s="54">
        <v>605938.4</v>
      </c>
      <c r="I638" s="54">
        <v>605938.4</v>
      </c>
      <c r="J638" s="115">
        <v>0</v>
      </c>
      <c r="K638" t="str">
        <f t="shared" si="60"/>
        <v>0</v>
      </c>
      <c r="L638" s="173">
        <f t="shared" si="61"/>
        <v>0</v>
      </c>
    </row>
    <row r="639" spans="1:12" x14ac:dyDescent="0.3">
      <c r="A639" t="s">
        <v>3255</v>
      </c>
      <c r="B639" t="s">
        <v>2019</v>
      </c>
      <c r="C639">
        <f t="shared" si="62"/>
        <v>16</v>
      </c>
      <c r="D639" t="str">
        <f t="shared" si="63"/>
        <v>Norm</v>
      </c>
      <c r="E639">
        <f t="shared" si="64"/>
        <v>5</v>
      </c>
      <c r="F639" t="str">
        <f t="shared" si="65"/>
        <v>D</v>
      </c>
      <c r="G639" s="115">
        <v>0</v>
      </c>
      <c r="H639" s="54">
        <v>29274.86</v>
      </c>
      <c r="I639" s="54">
        <v>29274.86</v>
      </c>
      <c r="J639" s="115">
        <v>0</v>
      </c>
      <c r="K639" t="str">
        <f t="shared" si="60"/>
        <v>0</v>
      </c>
      <c r="L639" s="173">
        <f t="shared" si="61"/>
        <v>0</v>
      </c>
    </row>
    <row r="640" spans="1:12" x14ac:dyDescent="0.3">
      <c r="A640" t="s">
        <v>3256</v>
      </c>
      <c r="B640" t="s">
        <v>2025</v>
      </c>
      <c r="C640">
        <f t="shared" si="62"/>
        <v>16</v>
      </c>
      <c r="D640" t="str">
        <f t="shared" si="63"/>
        <v>Norm</v>
      </c>
      <c r="E640">
        <f t="shared" si="64"/>
        <v>5</v>
      </c>
      <c r="F640" t="str">
        <f t="shared" si="65"/>
        <v>D</v>
      </c>
      <c r="G640" s="115">
        <v>0</v>
      </c>
      <c r="H640" s="115">
        <v>217.9</v>
      </c>
      <c r="I640" s="115">
        <v>217.9</v>
      </c>
      <c r="J640" s="115">
        <v>0</v>
      </c>
      <c r="K640" t="str">
        <f t="shared" si="60"/>
        <v>0</v>
      </c>
      <c r="L640" s="173">
        <f t="shared" si="61"/>
        <v>0</v>
      </c>
    </row>
    <row r="641" spans="1:12" x14ac:dyDescent="0.3">
      <c r="A641" t="s">
        <v>3257</v>
      </c>
      <c r="B641" t="s">
        <v>2344</v>
      </c>
      <c r="C641">
        <f t="shared" si="62"/>
        <v>16</v>
      </c>
      <c r="D641" t="str">
        <f t="shared" si="63"/>
        <v>Norm</v>
      </c>
      <c r="E641">
        <f t="shared" si="64"/>
        <v>5</v>
      </c>
      <c r="F641" t="str">
        <f t="shared" si="65"/>
        <v>D</v>
      </c>
      <c r="G641" s="115">
        <v>0</v>
      </c>
      <c r="H641" s="54">
        <v>58815.75</v>
      </c>
      <c r="I641" s="54">
        <v>58815.75</v>
      </c>
      <c r="J641" s="115">
        <v>0</v>
      </c>
      <c r="K641" t="str">
        <f t="shared" si="60"/>
        <v>0</v>
      </c>
      <c r="L641" s="173">
        <f t="shared" si="61"/>
        <v>0</v>
      </c>
    </row>
    <row r="642" spans="1:12" x14ac:dyDescent="0.3">
      <c r="A642" t="s">
        <v>3258</v>
      </c>
      <c r="B642" t="s">
        <v>2028</v>
      </c>
      <c r="C642">
        <f t="shared" si="62"/>
        <v>16</v>
      </c>
      <c r="D642" t="str">
        <f t="shared" si="63"/>
        <v>Norm</v>
      </c>
      <c r="E642">
        <f t="shared" si="64"/>
        <v>5</v>
      </c>
      <c r="F642" t="str">
        <f t="shared" si="65"/>
        <v>D</v>
      </c>
      <c r="G642" s="115">
        <v>0</v>
      </c>
      <c r="H642" s="54">
        <v>20365.12</v>
      </c>
      <c r="I642" s="54">
        <v>20365.12</v>
      </c>
      <c r="J642" s="115">
        <v>0</v>
      </c>
      <c r="K642" t="str">
        <f t="shared" si="60"/>
        <v>0</v>
      </c>
      <c r="L642" s="173">
        <f t="shared" si="61"/>
        <v>0</v>
      </c>
    </row>
    <row r="643" spans="1:12" x14ac:dyDescent="0.3">
      <c r="A643" t="s">
        <v>3259</v>
      </c>
      <c r="B643" t="s">
        <v>2345</v>
      </c>
      <c r="C643">
        <f t="shared" si="62"/>
        <v>16</v>
      </c>
      <c r="D643" t="str">
        <f t="shared" si="63"/>
        <v>Norm</v>
      </c>
      <c r="E643">
        <f t="shared" si="64"/>
        <v>5</v>
      </c>
      <c r="F643" t="str">
        <f t="shared" si="65"/>
        <v>D</v>
      </c>
      <c r="G643" s="115">
        <v>0</v>
      </c>
      <c r="H643" s="54">
        <v>2545.64</v>
      </c>
      <c r="I643" s="54">
        <v>2545.64</v>
      </c>
      <c r="J643" s="115">
        <v>0</v>
      </c>
      <c r="K643" t="str">
        <f t="shared" ref="K643:K706" si="66">RIGHT(J643,1)</f>
        <v>0</v>
      </c>
      <c r="L643" s="173">
        <f t="shared" ref="L643:L706" si="67">IF(J643=0,0,LEFT(J643,LEN(J643)-1)+0)</f>
        <v>0</v>
      </c>
    </row>
    <row r="644" spans="1:12" x14ac:dyDescent="0.3">
      <c r="A644" t="s">
        <v>3260</v>
      </c>
      <c r="B644" t="s">
        <v>2346</v>
      </c>
      <c r="C644">
        <f t="shared" si="62"/>
        <v>16</v>
      </c>
      <c r="D644" t="str">
        <f t="shared" si="63"/>
        <v>Norm</v>
      </c>
      <c r="E644">
        <f t="shared" si="64"/>
        <v>5</v>
      </c>
      <c r="F644" t="str">
        <f t="shared" si="65"/>
        <v>D</v>
      </c>
      <c r="G644" s="115">
        <v>0</v>
      </c>
      <c r="H644" s="115">
        <v>980.26</v>
      </c>
      <c r="I644" s="115">
        <v>980.26</v>
      </c>
      <c r="J644" s="115">
        <v>0</v>
      </c>
      <c r="K644" t="str">
        <f t="shared" si="66"/>
        <v>0</v>
      </c>
      <c r="L644" s="173">
        <f t="shared" si="67"/>
        <v>0</v>
      </c>
    </row>
    <row r="645" spans="1:12" x14ac:dyDescent="0.3">
      <c r="A645" t="s">
        <v>3261</v>
      </c>
      <c r="B645" t="s">
        <v>2347</v>
      </c>
      <c r="C645">
        <f t="shared" si="62"/>
        <v>16</v>
      </c>
      <c r="D645" t="str">
        <f t="shared" si="63"/>
        <v>Norm</v>
      </c>
      <c r="E645">
        <f t="shared" si="64"/>
        <v>5</v>
      </c>
      <c r="F645" t="str">
        <f t="shared" si="65"/>
        <v>D</v>
      </c>
      <c r="G645" s="115">
        <v>0</v>
      </c>
      <c r="H645" s="115">
        <v>196.05</v>
      </c>
      <c r="I645" s="115">
        <v>196.05</v>
      </c>
      <c r="J645" s="115">
        <v>0</v>
      </c>
      <c r="K645" t="str">
        <f t="shared" si="66"/>
        <v>0</v>
      </c>
      <c r="L645" s="173">
        <f t="shared" si="67"/>
        <v>0</v>
      </c>
    </row>
    <row r="646" spans="1:12" x14ac:dyDescent="0.3">
      <c r="A646" t="s">
        <v>3262</v>
      </c>
      <c r="B646" t="s">
        <v>2348</v>
      </c>
      <c r="C646">
        <f t="shared" si="62"/>
        <v>16</v>
      </c>
      <c r="D646" t="str">
        <f t="shared" si="63"/>
        <v>Norm</v>
      </c>
      <c r="E646">
        <f t="shared" si="64"/>
        <v>5</v>
      </c>
      <c r="F646" t="str">
        <f t="shared" si="65"/>
        <v>D</v>
      </c>
      <c r="G646" s="115">
        <v>0</v>
      </c>
      <c r="H646" s="54">
        <v>2352.64</v>
      </c>
      <c r="I646" s="54">
        <v>2352.64</v>
      </c>
      <c r="J646" s="115">
        <v>0</v>
      </c>
      <c r="K646" t="str">
        <f t="shared" si="66"/>
        <v>0</v>
      </c>
      <c r="L646" s="173">
        <f t="shared" si="67"/>
        <v>0</v>
      </c>
    </row>
    <row r="647" spans="1:12" x14ac:dyDescent="0.3">
      <c r="A647" t="s">
        <v>3263</v>
      </c>
      <c r="B647" t="s">
        <v>2349</v>
      </c>
      <c r="C647">
        <f t="shared" si="62"/>
        <v>16</v>
      </c>
      <c r="D647" t="str">
        <f t="shared" si="63"/>
        <v>Norm</v>
      </c>
      <c r="E647">
        <f t="shared" si="64"/>
        <v>5</v>
      </c>
      <c r="F647" t="str">
        <f t="shared" si="65"/>
        <v>D</v>
      </c>
      <c r="G647" s="115">
        <v>0</v>
      </c>
      <c r="H647" s="54">
        <v>1568.42</v>
      </c>
      <c r="I647" s="54">
        <v>1568.42</v>
      </c>
      <c r="J647" s="115">
        <v>0</v>
      </c>
      <c r="K647" t="str">
        <f t="shared" si="66"/>
        <v>0</v>
      </c>
      <c r="L647" s="173">
        <f t="shared" si="67"/>
        <v>0</v>
      </c>
    </row>
    <row r="648" spans="1:12" x14ac:dyDescent="0.3">
      <c r="A648" t="s">
        <v>3264</v>
      </c>
      <c r="B648" t="s">
        <v>2350</v>
      </c>
      <c r="C648">
        <f t="shared" si="62"/>
        <v>16</v>
      </c>
      <c r="D648" t="str">
        <f t="shared" si="63"/>
        <v>Norm</v>
      </c>
      <c r="E648">
        <f t="shared" si="64"/>
        <v>5</v>
      </c>
      <c r="F648" t="str">
        <f t="shared" si="65"/>
        <v>D</v>
      </c>
      <c r="G648" s="115">
        <v>0</v>
      </c>
      <c r="H648" s="115">
        <v>627.37</v>
      </c>
      <c r="I648" s="115">
        <v>627.37</v>
      </c>
      <c r="J648" s="115">
        <v>0</v>
      </c>
      <c r="K648" t="str">
        <f t="shared" si="66"/>
        <v>0</v>
      </c>
      <c r="L648" s="173">
        <f t="shared" si="67"/>
        <v>0</v>
      </c>
    </row>
    <row r="649" spans="1:12" x14ac:dyDescent="0.3">
      <c r="A649" t="s">
        <v>3265</v>
      </c>
      <c r="B649" t="s">
        <v>2351</v>
      </c>
      <c r="C649">
        <f t="shared" si="62"/>
        <v>16</v>
      </c>
      <c r="D649" t="str">
        <f t="shared" si="63"/>
        <v>Norm</v>
      </c>
      <c r="E649">
        <f t="shared" si="64"/>
        <v>5</v>
      </c>
      <c r="F649" t="str">
        <f t="shared" si="65"/>
        <v>D</v>
      </c>
      <c r="G649" s="115">
        <v>0</v>
      </c>
      <c r="H649" s="54">
        <v>1058.68</v>
      </c>
      <c r="I649" s="54">
        <v>1058.68</v>
      </c>
      <c r="J649" s="115">
        <v>0</v>
      </c>
      <c r="K649" t="str">
        <f t="shared" si="66"/>
        <v>0</v>
      </c>
      <c r="L649" s="173">
        <f t="shared" si="67"/>
        <v>0</v>
      </c>
    </row>
    <row r="650" spans="1:12" x14ac:dyDescent="0.3">
      <c r="A650" t="s">
        <v>3266</v>
      </c>
      <c r="B650" t="s">
        <v>2352</v>
      </c>
      <c r="C650">
        <f t="shared" si="62"/>
        <v>16</v>
      </c>
      <c r="D650" t="str">
        <f t="shared" si="63"/>
        <v>Norm</v>
      </c>
      <c r="E650">
        <f t="shared" si="64"/>
        <v>5</v>
      </c>
      <c r="F650" t="str">
        <f t="shared" si="65"/>
        <v>D</v>
      </c>
      <c r="G650" s="115">
        <v>0</v>
      </c>
      <c r="H650" s="54">
        <v>3054.76</v>
      </c>
      <c r="I650" s="54">
        <v>3054.76</v>
      </c>
      <c r="J650" s="115">
        <v>0</v>
      </c>
      <c r="K650" t="str">
        <f t="shared" si="66"/>
        <v>0</v>
      </c>
      <c r="L650" s="173">
        <f t="shared" si="67"/>
        <v>0</v>
      </c>
    </row>
    <row r="651" spans="1:12" x14ac:dyDescent="0.3">
      <c r="A651" t="s">
        <v>3267</v>
      </c>
      <c r="B651" t="s">
        <v>2353</v>
      </c>
      <c r="C651">
        <f t="shared" si="62"/>
        <v>16</v>
      </c>
      <c r="D651" t="str">
        <f t="shared" si="63"/>
        <v>Norm</v>
      </c>
      <c r="E651">
        <f t="shared" si="64"/>
        <v>5</v>
      </c>
      <c r="F651" t="str">
        <f t="shared" si="65"/>
        <v>D</v>
      </c>
      <c r="G651" s="115">
        <v>0</v>
      </c>
      <c r="H651" s="115">
        <v>588.16</v>
      </c>
      <c r="I651" s="115">
        <v>588.16</v>
      </c>
      <c r="J651" s="115">
        <v>0</v>
      </c>
      <c r="K651" t="str">
        <f t="shared" si="66"/>
        <v>0</v>
      </c>
      <c r="L651" s="173">
        <f t="shared" si="67"/>
        <v>0</v>
      </c>
    </row>
    <row r="652" spans="1:12" x14ac:dyDescent="0.3">
      <c r="A652" t="s">
        <v>3268</v>
      </c>
      <c r="B652" t="s">
        <v>2354</v>
      </c>
      <c r="C652">
        <f t="shared" si="62"/>
        <v>16</v>
      </c>
      <c r="D652" t="str">
        <f t="shared" si="63"/>
        <v>Norm</v>
      </c>
      <c r="E652">
        <f t="shared" si="64"/>
        <v>5</v>
      </c>
      <c r="F652" t="str">
        <f t="shared" si="65"/>
        <v>D</v>
      </c>
      <c r="G652" s="115">
        <v>0</v>
      </c>
      <c r="H652" s="54">
        <v>15910.25</v>
      </c>
      <c r="I652" s="54">
        <v>15910.25</v>
      </c>
      <c r="J652" s="115">
        <v>0</v>
      </c>
      <c r="K652" t="str">
        <f t="shared" si="66"/>
        <v>0</v>
      </c>
      <c r="L652" s="173">
        <f t="shared" si="67"/>
        <v>0</v>
      </c>
    </row>
    <row r="653" spans="1:12" x14ac:dyDescent="0.3">
      <c r="A653" t="s">
        <v>3269</v>
      </c>
      <c r="B653" t="s">
        <v>2355</v>
      </c>
      <c r="C653">
        <f t="shared" ref="C653:C710" si="68">LEN(B653)</f>
        <v>16</v>
      </c>
      <c r="D653" t="str">
        <f t="shared" ref="D653:D710" si="69">IF(LEFT(TRIM(A653),1)="(","Red.","Norm")</f>
        <v>Norm</v>
      </c>
      <c r="E653">
        <f t="shared" ref="E653:E710" si="70">LEFT(SUBSTITUTE(B653,"[","",1),1)+0</f>
        <v>5</v>
      </c>
      <c r="F653" t="str">
        <f t="shared" ref="F653:F710" si="71">IF(AND(OR(E653=1,E653=3,E653=5),D653="Norm"),"D",
IF(AND(OR(E653=1,E653=3,E653=5),D653="Red."),"C",
IF(AND(OR(E653=2,E653=4,E653=6),D653="Norm"),"C",
IF(AND(OR(E653=2,E653=4,E653=6),D653="Red."),"D"))))</f>
        <v>D</v>
      </c>
      <c r="G653" s="115">
        <v>0</v>
      </c>
      <c r="H653" s="115">
        <v>784.21</v>
      </c>
      <c r="I653" s="115">
        <v>784.21</v>
      </c>
      <c r="J653" s="115">
        <v>0</v>
      </c>
      <c r="K653" t="str">
        <f t="shared" si="66"/>
        <v>0</v>
      </c>
      <c r="L653" s="173">
        <f t="shared" si="67"/>
        <v>0</v>
      </c>
    </row>
    <row r="654" spans="1:12" x14ac:dyDescent="0.3">
      <c r="A654" t="s">
        <v>3270</v>
      </c>
      <c r="B654" t="s">
        <v>2356</v>
      </c>
      <c r="C654">
        <f t="shared" si="68"/>
        <v>16</v>
      </c>
      <c r="D654" t="str">
        <f t="shared" si="69"/>
        <v>Norm</v>
      </c>
      <c r="E654">
        <f t="shared" si="70"/>
        <v>5</v>
      </c>
      <c r="F654" t="str">
        <f t="shared" si="71"/>
        <v>D</v>
      </c>
      <c r="G654" s="115">
        <v>0</v>
      </c>
      <c r="H654" s="54">
        <v>1568.42</v>
      </c>
      <c r="I654" s="54">
        <v>1568.42</v>
      </c>
      <c r="J654" s="115">
        <v>0</v>
      </c>
      <c r="K654" t="str">
        <f t="shared" si="66"/>
        <v>0</v>
      </c>
      <c r="L654" s="173">
        <f t="shared" si="67"/>
        <v>0</v>
      </c>
    </row>
    <row r="655" spans="1:12" x14ac:dyDescent="0.3">
      <c r="A655" t="s">
        <v>3271</v>
      </c>
      <c r="B655" t="s">
        <v>2357</v>
      </c>
      <c r="C655">
        <f t="shared" si="68"/>
        <v>16</v>
      </c>
      <c r="D655" t="str">
        <f t="shared" si="69"/>
        <v>Norm</v>
      </c>
      <c r="E655">
        <f t="shared" si="70"/>
        <v>5</v>
      </c>
      <c r="F655" t="str">
        <f t="shared" si="71"/>
        <v>D</v>
      </c>
      <c r="G655" s="115">
        <v>0</v>
      </c>
      <c r="H655" s="115">
        <v>588.16</v>
      </c>
      <c r="I655" s="115">
        <v>588.16</v>
      </c>
      <c r="J655" s="115">
        <v>0</v>
      </c>
      <c r="K655" t="str">
        <f t="shared" si="66"/>
        <v>0</v>
      </c>
      <c r="L655" s="173">
        <f t="shared" si="67"/>
        <v>0</v>
      </c>
    </row>
    <row r="656" spans="1:12" x14ac:dyDescent="0.3">
      <c r="A656" t="s">
        <v>3272</v>
      </c>
      <c r="B656" t="s">
        <v>2358</v>
      </c>
      <c r="C656">
        <f t="shared" si="68"/>
        <v>16</v>
      </c>
      <c r="D656" t="str">
        <f t="shared" si="69"/>
        <v>Norm</v>
      </c>
      <c r="E656">
        <f t="shared" si="70"/>
        <v>5</v>
      </c>
      <c r="F656" t="str">
        <f t="shared" si="71"/>
        <v>D</v>
      </c>
      <c r="G656" s="115">
        <v>0</v>
      </c>
      <c r="H656" s="54">
        <v>1527.38</v>
      </c>
      <c r="I656" s="54">
        <v>1527.38</v>
      </c>
      <c r="J656" s="115">
        <v>0</v>
      </c>
      <c r="K656" t="str">
        <f t="shared" si="66"/>
        <v>0</v>
      </c>
      <c r="L656" s="173">
        <f t="shared" si="67"/>
        <v>0</v>
      </c>
    </row>
    <row r="657" spans="1:12" x14ac:dyDescent="0.3">
      <c r="A657" t="s">
        <v>3273</v>
      </c>
      <c r="B657" t="s">
        <v>2359</v>
      </c>
      <c r="C657">
        <f t="shared" si="68"/>
        <v>16</v>
      </c>
      <c r="D657" t="str">
        <f t="shared" si="69"/>
        <v>Norm</v>
      </c>
      <c r="E657">
        <f t="shared" si="70"/>
        <v>5</v>
      </c>
      <c r="F657" t="str">
        <f t="shared" si="71"/>
        <v>D</v>
      </c>
      <c r="G657" s="115">
        <v>0</v>
      </c>
      <c r="H657" s="54">
        <v>5293.42</v>
      </c>
      <c r="I657" s="54">
        <v>5293.42</v>
      </c>
      <c r="J657" s="115">
        <v>0</v>
      </c>
      <c r="K657" t="str">
        <f t="shared" si="66"/>
        <v>0</v>
      </c>
      <c r="L657" s="173">
        <f t="shared" si="67"/>
        <v>0</v>
      </c>
    </row>
    <row r="658" spans="1:12" x14ac:dyDescent="0.3">
      <c r="A658" t="s">
        <v>3274</v>
      </c>
      <c r="B658" t="s">
        <v>2360</v>
      </c>
      <c r="C658">
        <f t="shared" si="68"/>
        <v>16</v>
      </c>
      <c r="D658" t="str">
        <f t="shared" si="69"/>
        <v>Norm</v>
      </c>
      <c r="E658">
        <f t="shared" si="70"/>
        <v>5</v>
      </c>
      <c r="F658" t="str">
        <f t="shared" si="71"/>
        <v>D</v>
      </c>
      <c r="G658" s="115">
        <v>0</v>
      </c>
      <c r="H658" s="54">
        <v>2352.63</v>
      </c>
      <c r="I658" s="54">
        <v>2352.63</v>
      </c>
      <c r="J658" s="115">
        <v>0</v>
      </c>
      <c r="K658" t="str">
        <f t="shared" si="66"/>
        <v>0</v>
      </c>
      <c r="L658" s="173">
        <f t="shared" si="67"/>
        <v>0</v>
      </c>
    </row>
    <row r="659" spans="1:12" x14ac:dyDescent="0.3">
      <c r="A659" t="s">
        <v>3275</v>
      </c>
      <c r="B659" t="s">
        <v>2361</v>
      </c>
      <c r="C659">
        <f t="shared" si="68"/>
        <v>16</v>
      </c>
      <c r="D659" t="str">
        <f t="shared" si="69"/>
        <v>Norm</v>
      </c>
      <c r="E659">
        <f t="shared" si="70"/>
        <v>5</v>
      </c>
      <c r="F659" t="str">
        <f t="shared" si="71"/>
        <v>D</v>
      </c>
      <c r="G659" s="115">
        <v>0</v>
      </c>
      <c r="H659" s="115">
        <v>941.05</v>
      </c>
      <c r="I659" s="115">
        <v>941.05</v>
      </c>
      <c r="J659" s="115">
        <v>0</v>
      </c>
      <c r="K659" t="str">
        <f t="shared" si="66"/>
        <v>0</v>
      </c>
      <c r="L659" s="173">
        <f t="shared" si="67"/>
        <v>0</v>
      </c>
    </row>
    <row r="660" spans="1:12" x14ac:dyDescent="0.3">
      <c r="A660" t="s">
        <v>3276</v>
      </c>
      <c r="B660" t="s">
        <v>2362</v>
      </c>
      <c r="C660">
        <f t="shared" si="68"/>
        <v>16</v>
      </c>
      <c r="D660" t="str">
        <f t="shared" si="69"/>
        <v>Norm</v>
      </c>
      <c r="E660">
        <f t="shared" si="70"/>
        <v>5</v>
      </c>
      <c r="F660" t="str">
        <f t="shared" si="71"/>
        <v>D</v>
      </c>
      <c r="G660" s="115">
        <v>0</v>
      </c>
      <c r="H660" s="54">
        <v>1960.53</v>
      </c>
      <c r="I660" s="54">
        <v>1960.53</v>
      </c>
      <c r="J660" s="115">
        <v>0</v>
      </c>
      <c r="K660" t="str">
        <f t="shared" si="66"/>
        <v>0</v>
      </c>
      <c r="L660" s="173">
        <f t="shared" si="67"/>
        <v>0</v>
      </c>
    </row>
    <row r="661" spans="1:12" x14ac:dyDescent="0.3">
      <c r="A661" t="s">
        <v>3277</v>
      </c>
      <c r="B661" t="s">
        <v>2363</v>
      </c>
      <c r="C661">
        <f t="shared" si="68"/>
        <v>16</v>
      </c>
      <c r="D661" t="str">
        <f t="shared" si="69"/>
        <v>Norm</v>
      </c>
      <c r="E661">
        <f t="shared" si="70"/>
        <v>5</v>
      </c>
      <c r="F661" t="str">
        <f t="shared" si="71"/>
        <v>D</v>
      </c>
      <c r="G661" s="115">
        <v>0</v>
      </c>
      <c r="H661" s="54">
        <v>1960.53</v>
      </c>
      <c r="I661" s="54">
        <v>1960.53</v>
      </c>
      <c r="J661" s="115">
        <v>0</v>
      </c>
      <c r="K661" t="str">
        <f t="shared" si="66"/>
        <v>0</v>
      </c>
      <c r="L661" s="173">
        <f t="shared" si="67"/>
        <v>0</v>
      </c>
    </row>
    <row r="662" spans="1:12" x14ac:dyDescent="0.3">
      <c r="A662" t="s">
        <v>3278</v>
      </c>
      <c r="B662" t="s">
        <v>2364</v>
      </c>
      <c r="C662">
        <f t="shared" si="68"/>
        <v>16</v>
      </c>
      <c r="D662" t="str">
        <f t="shared" si="69"/>
        <v>Norm</v>
      </c>
      <c r="E662">
        <f t="shared" si="70"/>
        <v>5</v>
      </c>
      <c r="F662" t="str">
        <f t="shared" si="71"/>
        <v>D</v>
      </c>
      <c r="G662" s="115">
        <v>0</v>
      </c>
      <c r="H662" s="54">
        <v>29015.77</v>
      </c>
      <c r="I662" s="54">
        <v>29015.77</v>
      </c>
      <c r="J662" s="115">
        <v>0</v>
      </c>
      <c r="K662" t="str">
        <f t="shared" si="66"/>
        <v>0</v>
      </c>
      <c r="L662" s="173">
        <f t="shared" si="67"/>
        <v>0</v>
      </c>
    </row>
    <row r="663" spans="1:12" x14ac:dyDescent="0.3">
      <c r="A663" t="s">
        <v>3279</v>
      </c>
      <c r="B663" t="s">
        <v>2031</v>
      </c>
      <c r="C663">
        <f t="shared" si="68"/>
        <v>3</v>
      </c>
      <c r="D663" t="str">
        <f t="shared" si="69"/>
        <v>Norm</v>
      </c>
      <c r="E663">
        <f t="shared" si="70"/>
        <v>6</v>
      </c>
      <c r="F663" t="str">
        <f t="shared" si="71"/>
        <v>C</v>
      </c>
      <c r="G663" s="115" t="s">
        <v>884</v>
      </c>
      <c r="H663" s="54">
        <v>9786155.4700000007</v>
      </c>
      <c r="I663" s="54">
        <v>9786155.4700000007</v>
      </c>
      <c r="J663" s="115" t="s">
        <v>884</v>
      </c>
      <c r="K663" t="str">
        <f t="shared" si="66"/>
        <v>C</v>
      </c>
      <c r="L663" s="173">
        <f t="shared" si="67"/>
        <v>0</v>
      </c>
    </row>
    <row r="664" spans="1:12" x14ac:dyDescent="0.3">
      <c r="A664" t="s">
        <v>3280</v>
      </c>
      <c r="B664" t="s">
        <v>2034</v>
      </c>
      <c r="C664">
        <f t="shared" si="68"/>
        <v>5</v>
      </c>
      <c r="D664" t="str">
        <f t="shared" si="69"/>
        <v>Norm</v>
      </c>
      <c r="E664">
        <f t="shared" si="70"/>
        <v>6</v>
      </c>
      <c r="F664" t="str">
        <f t="shared" si="71"/>
        <v>C</v>
      </c>
      <c r="G664" s="115">
        <v>0</v>
      </c>
      <c r="H664" s="54">
        <v>9786155.4700000007</v>
      </c>
      <c r="I664" s="54">
        <v>9786155.4700000007</v>
      </c>
      <c r="J664" s="115">
        <v>0</v>
      </c>
      <c r="K664" t="str">
        <f t="shared" si="66"/>
        <v>0</v>
      </c>
      <c r="L664" s="173">
        <f t="shared" si="67"/>
        <v>0</v>
      </c>
    </row>
    <row r="665" spans="1:12" x14ac:dyDescent="0.3">
      <c r="A665" t="s">
        <v>3281</v>
      </c>
      <c r="B665" t="s">
        <v>2036</v>
      </c>
      <c r="C665">
        <f t="shared" si="68"/>
        <v>8</v>
      </c>
      <c r="D665" t="str">
        <f t="shared" si="69"/>
        <v>Norm</v>
      </c>
      <c r="E665">
        <f t="shared" si="70"/>
        <v>6</v>
      </c>
      <c r="F665" t="str">
        <f t="shared" si="71"/>
        <v>C</v>
      </c>
      <c r="G665" s="115" t="s">
        <v>884</v>
      </c>
      <c r="H665" s="54">
        <v>8862250.3499999996</v>
      </c>
      <c r="I665" s="54">
        <v>8862250.3499999996</v>
      </c>
      <c r="J665" s="115" t="s">
        <v>884</v>
      </c>
      <c r="K665" t="str">
        <f t="shared" si="66"/>
        <v>C</v>
      </c>
      <c r="L665" s="173">
        <f t="shared" si="67"/>
        <v>0</v>
      </c>
    </row>
    <row r="666" spans="1:12" x14ac:dyDescent="0.3">
      <c r="A666" t="s">
        <v>3282</v>
      </c>
      <c r="B666" t="s">
        <v>2039</v>
      </c>
      <c r="C666">
        <f t="shared" si="68"/>
        <v>11</v>
      </c>
      <c r="D666" t="str">
        <f t="shared" si="69"/>
        <v>Norm</v>
      </c>
      <c r="E666">
        <f t="shared" si="70"/>
        <v>6</v>
      </c>
      <c r="F666" t="str">
        <f t="shared" si="71"/>
        <v>C</v>
      </c>
      <c r="G666" s="115" t="s">
        <v>884</v>
      </c>
      <c r="H666" s="54">
        <v>8862250.3499999996</v>
      </c>
      <c r="I666" s="54">
        <v>8862250.3499999996</v>
      </c>
      <c r="J666" s="115" t="s">
        <v>884</v>
      </c>
      <c r="K666" t="str">
        <f t="shared" si="66"/>
        <v>C</v>
      </c>
      <c r="L666" s="173">
        <f t="shared" si="67"/>
        <v>0</v>
      </c>
    </row>
    <row r="667" spans="1:12" x14ac:dyDescent="0.3">
      <c r="A667" t="s">
        <v>3283</v>
      </c>
      <c r="B667" t="s">
        <v>2041</v>
      </c>
      <c r="C667">
        <f t="shared" si="68"/>
        <v>16</v>
      </c>
      <c r="D667" t="str">
        <f t="shared" si="69"/>
        <v>Norm</v>
      </c>
      <c r="E667">
        <f t="shared" si="70"/>
        <v>6</v>
      </c>
      <c r="F667" t="str">
        <f t="shared" si="71"/>
        <v>C</v>
      </c>
      <c r="G667" s="115" t="s">
        <v>884</v>
      </c>
      <c r="H667" s="54">
        <v>8862250.3499999996</v>
      </c>
      <c r="I667" s="54">
        <v>8862250.3499999996</v>
      </c>
      <c r="J667" s="115" t="s">
        <v>884</v>
      </c>
      <c r="K667" t="str">
        <f t="shared" si="66"/>
        <v>C</v>
      </c>
      <c r="L667" s="173">
        <f t="shared" si="67"/>
        <v>0</v>
      </c>
    </row>
    <row r="668" spans="1:12" x14ac:dyDescent="0.3">
      <c r="A668" t="s">
        <v>3284</v>
      </c>
      <c r="B668" t="s">
        <v>2043</v>
      </c>
      <c r="C668">
        <f t="shared" si="68"/>
        <v>8</v>
      </c>
      <c r="D668" t="str">
        <f t="shared" si="69"/>
        <v>Norm</v>
      </c>
      <c r="E668">
        <f t="shared" si="70"/>
        <v>6</v>
      </c>
      <c r="F668" t="str">
        <f t="shared" si="71"/>
        <v>C</v>
      </c>
      <c r="G668" s="115" t="s">
        <v>884</v>
      </c>
      <c r="H668" s="54">
        <v>923905.12</v>
      </c>
      <c r="I668" s="54">
        <v>923905.12</v>
      </c>
      <c r="J668" s="115" t="s">
        <v>884</v>
      </c>
      <c r="K668" t="str">
        <f t="shared" si="66"/>
        <v>C</v>
      </c>
      <c r="L668" s="173">
        <f t="shared" si="67"/>
        <v>0</v>
      </c>
    </row>
    <row r="669" spans="1:12" x14ac:dyDescent="0.3">
      <c r="A669" t="s">
        <v>3285</v>
      </c>
      <c r="B669" t="s">
        <v>2046</v>
      </c>
      <c r="C669">
        <f t="shared" si="68"/>
        <v>11</v>
      </c>
      <c r="D669" t="str">
        <f t="shared" si="69"/>
        <v>Norm</v>
      </c>
      <c r="E669">
        <f t="shared" si="70"/>
        <v>6</v>
      </c>
      <c r="F669" t="str">
        <f t="shared" si="71"/>
        <v>C</v>
      </c>
      <c r="G669" s="115" t="s">
        <v>884</v>
      </c>
      <c r="H669" s="54">
        <v>923905.12</v>
      </c>
      <c r="I669" s="54">
        <v>923905.12</v>
      </c>
      <c r="J669" s="115" t="s">
        <v>884</v>
      </c>
      <c r="K669" t="str">
        <f t="shared" si="66"/>
        <v>C</v>
      </c>
      <c r="L669" s="173">
        <f t="shared" si="67"/>
        <v>0</v>
      </c>
    </row>
    <row r="670" spans="1:12" x14ac:dyDescent="0.3">
      <c r="A670" t="s">
        <v>3286</v>
      </c>
      <c r="B670" t="s">
        <v>2365</v>
      </c>
      <c r="C670">
        <f t="shared" si="68"/>
        <v>16</v>
      </c>
      <c r="D670" t="str">
        <f t="shared" si="69"/>
        <v>Norm</v>
      </c>
      <c r="E670">
        <f t="shared" si="70"/>
        <v>6</v>
      </c>
      <c r="F670" t="str">
        <f t="shared" si="71"/>
        <v>C</v>
      </c>
      <c r="G670" s="115" t="s">
        <v>884</v>
      </c>
      <c r="H670" s="54">
        <v>120420.59</v>
      </c>
      <c r="I670" s="54">
        <v>120420.59</v>
      </c>
      <c r="J670" s="115" t="s">
        <v>884</v>
      </c>
      <c r="K670" t="str">
        <f t="shared" si="66"/>
        <v>C</v>
      </c>
      <c r="L670" s="173">
        <f t="shared" si="67"/>
        <v>0</v>
      </c>
    </row>
    <row r="671" spans="1:12" x14ac:dyDescent="0.3">
      <c r="A671" t="s">
        <v>3287</v>
      </c>
      <c r="B671" t="s">
        <v>2366</v>
      </c>
      <c r="C671">
        <f t="shared" si="68"/>
        <v>16</v>
      </c>
      <c r="D671" t="str">
        <f t="shared" si="69"/>
        <v>Norm</v>
      </c>
      <c r="E671">
        <f t="shared" si="70"/>
        <v>6</v>
      </c>
      <c r="F671" t="str">
        <f t="shared" si="71"/>
        <v>C</v>
      </c>
      <c r="G671" s="115" t="s">
        <v>884</v>
      </c>
      <c r="H671" s="115">
        <v>470.52</v>
      </c>
      <c r="I671" s="115">
        <v>470.52</v>
      </c>
      <c r="J671" s="115" t="s">
        <v>884</v>
      </c>
      <c r="K671" t="str">
        <f t="shared" si="66"/>
        <v>C</v>
      </c>
      <c r="L671" s="173">
        <f t="shared" si="67"/>
        <v>0</v>
      </c>
    </row>
    <row r="672" spans="1:12" x14ac:dyDescent="0.3">
      <c r="A672" t="s">
        <v>3288</v>
      </c>
      <c r="B672" t="s">
        <v>2367</v>
      </c>
      <c r="C672">
        <f t="shared" si="68"/>
        <v>16</v>
      </c>
      <c r="D672" t="str">
        <f t="shared" si="69"/>
        <v>Norm</v>
      </c>
      <c r="E672">
        <f t="shared" si="70"/>
        <v>6</v>
      </c>
      <c r="F672" t="str">
        <f t="shared" si="71"/>
        <v>C</v>
      </c>
      <c r="G672" s="115" t="s">
        <v>884</v>
      </c>
      <c r="H672" s="54">
        <v>3097.63</v>
      </c>
      <c r="I672" s="54">
        <v>3097.63</v>
      </c>
      <c r="J672" s="115" t="s">
        <v>884</v>
      </c>
      <c r="K672" t="str">
        <f t="shared" si="66"/>
        <v>C</v>
      </c>
      <c r="L672" s="173">
        <f t="shared" si="67"/>
        <v>0</v>
      </c>
    </row>
    <row r="673" spans="1:12" x14ac:dyDescent="0.3">
      <c r="A673" t="s">
        <v>3289</v>
      </c>
      <c r="B673" t="s">
        <v>2368</v>
      </c>
      <c r="C673">
        <f t="shared" si="68"/>
        <v>16</v>
      </c>
      <c r="D673" t="str">
        <f t="shared" si="69"/>
        <v>Norm</v>
      </c>
      <c r="E673">
        <f t="shared" si="70"/>
        <v>6</v>
      </c>
      <c r="F673" t="str">
        <f t="shared" si="71"/>
        <v>C</v>
      </c>
      <c r="G673" s="115" t="s">
        <v>884</v>
      </c>
      <c r="H673" s="115">
        <v>588.16</v>
      </c>
      <c r="I673" s="115">
        <v>588.16</v>
      </c>
      <c r="J673" s="115" t="s">
        <v>884</v>
      </c>
      <c r="K673" t="str">
        <f t="shared" si="66"/>
        <v>C</v>
      </c>
      <c r="L673" s="173">
        <f t="shared" si="67"/>
        <v>0</v>
      </c>
    </row>
    <row r="674" spans="1:12" x14ac:dyDescent="0.3">
      <c r="A674" t="s">
        <v>3290</v>
      </c>
      <c r="B674" t="s">
        <v>2369</v>
      </c>
      <c r="C674">
        <f t="shared" si="68"/>
        <v>16</v>
      </c>
      <c r="D674" t="str">
        <f t="shared" si="69"/>
        <v>Norm</v>
      </c>
      <c r="E674">
        <f t="shared" si="70"/>
        <v>6</v>
      </c>
      <c r="F674" t="str">
        <f t="shared" si="71"/>
        <v>C</v>
      </c>
      <c r="G674" s="115" t="s">
        <v>884</v>
      </c>
      <c r="H674" s="115">
        <v>901.84</v>
      </c>
      <c r="I674" s="115">
        <v>901.84</v>
      </c>
      <c r="J674" s="115" t="s">
        <v>884</v>
      </c>
      <c r="K674" t="str">
        <f t="shared" si="66"/>
        <v>C</v>
      </c>
      <c r="L674" s="173">
        <f t="shared" si="67"/>
        <v>0</v>
      </c>
    </row>
    <row r="675" spans="1:12" x14ac:dyDescent="0.3">
      <c r="A675" t="s">
        <v>3291</v>
      </c>
      <c r="B675" t="s">
        <v>2370</v>
      </c>
      <c r="C675">
        <f t="shared" si="68"/>
        <v>16</v>
      </c>
      <c r="D675" t="str">
        <f t="shared" si="69"/>
        <v>Norm</v>
      </c>
      <c r="E675">
        <f t="shared" si="70"/>
        <v>6</v>
      </c>
      <c r="F675" t="str">
        <f t="shared" si="71"/>
        <v>C</v>
      </c>
      <c r="G675" s="115" t="s">
        <v>884</v>
      </c>
      <c r="H675" s="115">
        <v>313.68</v>
      </c>
      <c r="I675" s="115">
        <v>313.68</v>
      </c>
      <c r="J675" s="115" t="s">
        <v>884</v>
      </c>
      <c r="K675" t="str">
        <f t="shared" si="66"/>
        <v>C</v>
      </c>
      <c r="L675" s="173">
        <f t="shared" si="67"/>
        <v>0</v>
      </c>
    </row>
    <row r="676" spans="1:12" x14ac:dyDescent="0.3">
      <c r="A676" t="s">
        <v>3292</v>
      </c>
      <c r="B676" t="s">
        <v>2371</v>
      </c>
      <c r="C676">
        <f t="shared" si="68"/>
        <v>16</v>
      </c>
      <c r="D676" t="str">
        <f t="shared" si="69"/>
        <v>Norm</v>
      </c>
      <c r="E676">
        <f t="shared" si="70"/>
        <v>6</v>
      </c>
      <c r="F676" t="str">
        <f t="shared" si="71"/>
        <v>C</v>
      </c>
      <c r="G676" s="115" t="s">
        <v>884</v>
      </c>
      <c r="H676" s="54">
        <v>1568.43</v>
      </c>
      <c r="I676" s="54">
        <v>1568.43</v>
      </c>
      <c r="J676" s="115" t="s">
        <v>884</v>
      </c>
      <c r="K676" t="str">
        <f t="shared" si="66"/>
        <v>C</v>
      </c>
      <c r="L676" s="173">
        <f t="shared" si="67"/>
        <v>0</v>
      </c>
    </row>
    <row r="677" spans="1:12" x14ac:dyDescent="0.3">
      <c r="A677" t="s">
        <v>3293</v>
      </c>
      <c r="B677" t="s">
        <v>2372</v>
      </c>
      <c r="C677">
        <f t="shared" si="68"/>
        <v>16</v>
      </c>
      <c r="D677" t="str">
        <f t="shared" si="69"/>
        <v>Norm</v>
      </c>
      <c r="E677">
        <f t="shared" si="70"/>
        <v>6</v>
      </c>
      <c r="F677" t="str">
        <f t="shared" si="71"/>
        <v>C</v>
      </c>
      <c r="G677" s="115" t="s">
        <v>884</v>
      </c>
      <c r="H677" s="54">
        <v>1764.47</v>
      </c>
      <c r="I677" s="54">
        <v>1764.47</v>
      </c>
      <c r="J677" s="115" t="s">
        <v>884</v>
      </c>
      <c r="K677" t="str">
        <f t="shared" si="66"/>
        <v>C</v>
      </c>
      <c r="L677" s="173">
        <f t="shared" si="67"/>
        <v>0</v>
      </c>
    </row>
    <row r="678" spans="1:12" x14ac:dyDescent="0.3">
      <c r="A678" t="s">
        <v>3294</v>
      </c>
      <c r="B678" t="s">
        <v>2373</v>
      </c>
      <c r="C678">
        <f t="shared" si="68"/>
        <v>16</v>
      </c>
      <c r="D678" t="str">
        <f t="shared" si="69"/>
        <v>Norm</v>
      </c>
      <c r="E678">
        <f t="shared" si="70"/>
        <v>6</v>
      </c>
      <c r="F678" t="str">
        <f t="shared" si="71"/>
        <v>C</v>
      </c>
      <c r="G678" s="115" t="s">
        <v>884</v>
      </c>
      <c r="H678" s="54">
        <v>1176.33</v>
      </c>
      <c r="I678" s="54">
        <v>1176.33</v>
      </c>
      <c r="J678" s="115" t="s">
        <v>884</v>
      </c>
      <c r="K678" t="str">
        <f t="shared" si="66"/>
        <v>C</v>
      </c>
      <c r="L678" s="173">
        <f t="shared" si="67"/>
        <v>0</v>
      </c>
    </row>
    <row r="679" spans="1:12" x14ac:dyDescent="0.3">
      <c r="A679" t="s">
        <v>3295</v>
      </c>
      <c r="B679" t="s">
        <v>2374</v>
      </c>
      <c r="C679">
        <f t="shared" si="68"/>
        <v>16</v>
      </c>
      <c r="D679" t="str">
        <f t="shared" si="69"/>
        <v>Norm</v>
      </c>
      <c r="E679">
        <f t="shared" si="70"/>
        <v>6</v>
      </c>
      <c r="F679" t="str">
        <f t="shared" si="71"/>
        <v>C</v>
      </c>
      <c r="G679" s="115">
        <v>0</v>
      </c>
      <c r="H679" s="54">
        <v>2548.6799999999998</v>
      </c>
      <c r="I679" s="54">
        <v>2548.6799999999998</v>
      </c>
      <c r="J679" s="115">
        <v>0</v>
      </c>
      <c r="K679" t="str">
        <f t="shared" si="66"/>
        <v>0</v>
      </c>
      <c r="L679" s="173">
        <f t="shared" si="67"/>
        <v>0</v>
      </c>
    </row>
    <row r="680" spans="1:12" x14ac:dyDescent="0.3">
      <c r="A680" t="s">
        <v>3296</v>
      </c>
      <c r="B680" t="s">
        <v>2375</v>
      </c>
      <c r="C680">
        <f t="shared" si="68"/>
        <v>16</v>
      </c>
      <c r="D680" t="str">
        <f t="shared" si="69"/>
        <v>Norm</v>
      </c>
      <c r="E680">
        <f t="shared" si="70"/>
        <v>6</v>
      </c>
      <c r="F680" t="str">
        <f t="shared" si="71"/>
        <v>C</v>
      </c>
      <c r="G680" s="115">
        <v>0</v>
      </c>
      <c r="H680" s="54">
        <v>1568.43</v>
      </c>
      <c r="I680" s="54">
        <v>1568.43</v>
      </c>
      <c r="J680" s="115">
        <v>0</v>
      </c>
      <c r="K680" t="str">
        <f t="shared" si="66"/>
        <v>0</v>
      </c>
      <c r="L680" s="173">
        <f t="shared" si="67"/>
        <v>0</v>
      </c>
    </row>
    <row r="681" spans="1:12" x14ac:dyDescent="0.3">
      <c r="A681" t="s">
        <v>3297</v>
      </c>
      <c r="B681" t="s">
        <v>2376</v>
      </c>
      <c r="C681">
        <f t="shared" si="68"/>
        <v>16</v>
      </c>
      <c r="D681" t="str">
        <f t="shared" si="69"/>
        <v>Norm</v>
      </c>
      <c r="E681">
        <f t="shared" si="70"/>
        <v>6</v>
      </c>
      <c r="F681" t="str">
        <f t="shared" si="71"/>
        <v>C</v>
      </c>
      <c r="G681" s="115">
        <v>0</v>
      </c>
      <c r="H681" s="54">
        <v>605938.4</v>
      </c>
      <c r="I681" s="54">
        <v>605938.4</v>
      </c>
      <c r="J681" s="115">
        <v>0</v>
      </c>
      <c r="K681" t="str">
        <f t="shared" si="66"/>
        <v>0</v>
      </c>
      <c r="L681" s="173">
        <f t="shared" si="67"/>
        <v>0</v>
      </c>
    </row>
    <row r="682" spans="1:12" x14ac:dyDescent="0.3">
      <c r="A682" t="s">
        <v>3298</v>
      </c>
      <c r="B682" t="s">
        <v>2048</v>
      </c>
      <c r="C682">
        <f t="shared" si="68"/>
        <v>16</v>
      </c>
      <c r="D682" t="str">
        <f t="shared" si="69"/>
        <v>Norm</v>
      </c>
      <c r="E682">
        <f t="shared" si="70"/>
        <v>6</v>
      </c>
      <c r="F682" t="str">
        <f t="shared" si="71"/>
        <v>C</v>
      </c>
      <c r="G682" s="115">
        <v>0</v>
      </c>
      <c r="H682" s="54">
        <v>29274.86</v>
      </c>
      <c r="I682" s="54">
        <v>29274.86</v>
      </c>
      <c r="J682" s="115">
        <v>0</v>
      </c>
      <c r="K682" t="str">
        <f t="shared" si="66"/>
        <v>0</v>
      </c>
      <c r="L682" s="173">
        <f t="shared" si="67"/>
        <v>0</v>
      </c>
    </row>
    <row r="683" spans="1:12" x14ac:dyDescent="0.3">
      <c r="A683" t="s">
        <v>3299</v>
      </c>
      <c r="B683" t="s">
        <v>2054</v>
      </c>
      <c r="C683">
        <f t="shared" si="68"/>
        <v>16</v>
      </c>
      <c r="D683" t="str">
        <f t="shared" si="69"/>
        <v>Norm</v>
      </c>
      <c r="E683">
        <f t="shared" si="70"/>
        <v>6</v>
      </c>
      <c r="F683" t="str">
        <f t="shared" si="71"/>
        <v>C</v>
      </c>
      <c r="G683" s="115">
        <v>0</v>
      </c>
      <c r="H683" s="115">
        <v>217.9</v>
      </c>
      <c r="I683" s="115">
        <v>217.9</v>
      </c>
      <c r="J683" s="115">
        <v>0</v>
      </c>
      <c r="K683" t="str">
        <f t="shared" si="66"/>
        <v>0</v>
      </c>
      <c r="L683" s="173">
        <f t="shared" si="67"/>
        <v>0</v>
      </c>
    </row>
    <row r="684" spans="1:12" x14ac:dyDescent="0.3">
      <c r="A684" t="s">
        <v>3300</v>
      </c>
      <c r="B684" t="s">
        <v>2377</v>
      </c>
      <c r="C684">
        <f t="shared" si="68"/>
        <v>16</v>
      </c>
      <c r="D684" t="str">
        <f t="shared" si="69"/>
        <v>Norm</v>
      </c>
      <c r="E684">
        <f t="shared" si="70"/>
        <v>6</v>
      </c>
      <c r="F684" t="str">
        <f t="shared" si="71"/>
        <v>C</v>
      </c>
      <c r="G684" s="115">
        <v>0</v>
      </c>
      <c r="H684" s="54">
        <v>58815.75</v>
      </c>
      <c r="I684" s="54">
        <v>58815.75</v>
      </c>
      <c r="J684" s="115">
        <v>0</v>
      </c>
      <c r="K684" t="str">
        <f t="shared" si="66"/>
        <v>0</v>
      </c>
      <c r="L684" s="173">
        <f t="shared" si="67"/>
        <v>0</v>
      </c>
    </row>
    <row r="685" spans="1:12" x14ac:dyDescent="0.3">
      <c r="A685" t="s">
        <v>3301</v>
      </c>
      <c r="B685" t="s">
        <v>2057</v>
      </c>
      <c r="C685">
        <f t="shared" si="68"/>
        <v>16</v>
      </c>
      <c r="D685" t="str">
        <f t="shared" si="69"/>
        <v>Norm</v>
      </c>
      <c r="E685">
        <f t="shared" si="70"/>
        <v>6</v>
      </c>
      <c r="F685" t="str">
        <f t="shared" si="71"/>
        <v>C</v>
      </c>
      <c r="G685" s="115">
        <v>0</v>
      </c>
      <c r="H685" s="54">
        <v>20365.12</v>
      </c>
      <c r="I685" s="54">
        <v>20365.12</v>
      </c>
      <c r="J685" s="115">
        <v>0</v>
      </c>
      <c r="K685" t="str">
        <f t="shared" si="66"/>
        <v>0</v>
      </c>
      <c r="L685" s="173">
        <f t="shared" si="67"/>
        <v>0</v>
      </c>
    </row>
    <row r="686" spans="1:12" x14ac:dyDescent="0.3">
      <c r="A686" t="s">
        <v>3302</v>
      </c>
      <c r="B686" t="s">
        <v>2378</v>
      </c>
      <c r="C686">
        <f t="shared" si="68"/>
        <v>16</v>
      </c>
      <c r="D686" t="str">
        <f t="shared" si="69"/>
        <v>Norm</v>
      </c>
      <c r="E686">
        <f t="shared" si="70"/>
        <v>6</v>
      </c>
      <c r="F686" t="str">
        <f t="shared" si="71"/>
        <v>C</v>
      </c>
      <c r="G686" s="115">
        <v>0</v>
      </c>
      <c r="H686" s="54">
        <v>2545.64</v>
      </c>
      <c r="I686" s="54">
        <v>2545.64</v>
      </c>
      <c r="J686" s="115">
        <v>0</v>
      </c>
      <c r="K686" t="str">
        <f t="shared" si="66"/>
        <v>0</v>
      </c>
      <c r="L686" s="173">
        <f t="shared" si="67"/>
        <v>0</v>
      </c>
    </row>
    <row r="687" spans="1:12" x14ac:dyDescent="0.3">
      <c r="A687" t="s">
        <v>3303</v>
      </c>
      <c r="B687" t="s">
        <v>2379</v>
      </c>
      <c r="C687">
        <f t="shared" si="68"/>
        <v>16</v>
      </c>
      <c r="D687" t="str">
        <f t="shared" si="69"/>
        <v>Norm</v>
      </c>
      <c r="E687">
        <f t="shared" si="70"/>
        <v>6</v>
      </c>
      <c r="F687" t="str">
        <f t="shared" si="71"/>
        <v>C</v>
      </c>
      <c r="G687" s="115">
        <v>0</v>
      </c>
      <c r="H687" s="115">
        <v>980.26</v>
      </c>
      <c r="I687" s="115">
        <v>980.26</v>
      </c>
      <c r="J687" s="115">
        <v>0</v>
      </c>
      <c r="K687" t="str">
        <f t="shared" si="66"/>
        <v>0</v>
      </c>
      <c r="L687" s="173">
        <f t="shared" si="67"/>
        <v>0</v>
      </c>
    </row>
    <row r="688" spans="1:12" x14ac:dyDescent="0.3">
      <c r="A688" t="s">
        <v>3304</v>
      </c>
      <c r="B688" t="s">
        <v>2380</v>
      </c>
      <c r="C688">
        <f t="shared" si="68"/>
        <v>16</v>
      </c>
      <c r="D688" t="str">
        <f t="shared" si="69"/>
        <v>Norm</v>
      </c>
      <c r="E688">
        <f t="shared" si="70"/>
        <v>6</v>
      </c>
      <c r="F688" t="str">
        <f t="shared" si="71"/>
        <v>C</v>
      </c>
      <c r="G688" s="115">
        <v>0</v>
      </c>
      <c r="H688" s="115">
        <v>196.05</v>
      </c>
      <c r="I688" s="115">
        <v>196.05</v>
      </c>
      <c r="J688" s="115">
        <v>0</v>
      </c>
      <c r="K688" t="str">
        <f t="shared" si="66"/>
        <v>0</v>
      </c>
      <c r="L688" s="173">
        <f t="shared" si="67"/>
        <v>0</v>
      </c>
    </row>
    <row r="689" spans="1:12" x14ac:dyDescent="0.3">
      <c r="A689" t="s">
        <v>3305</v>
      </c>
      <c r="B689" t="s">
        <v>2381</v>
      </c>
      <c r="C689">
        <f t="shared" si="68"/>
        <v>16</v>
      </c>
      <c r="D689" t="str">
        <f t="shared" si="69"/>
        <v>Norm</v>
      </c>
      <c r="E689">
        <f t="shared" si="70"/>
        <v>6</v>
      </c>
      <c r="F689" t="str">
        <f t="shared" si="71"/>
        <v>C</v>
      </c>
      <c r="G689" s="115">
        <v>0</v>
      </c>
      <c r="H689" s="54">
        <v>2352.64</v>
      </c>
      <c r="I689" s="54">
        <v>2352.64</v>
      </c>
      <c r="J689" s="115">
        <v>0</v>
      </c>
      <c r="K689" t="str">
        <f t="shared" si="66"/>
        <v>0</v>
      </c>
      <c r="L689" s="173">
        <f t="shared" si="67"/>
        <v>0</v>
      </c>
    </row>
    <row r="690" spans="1:12" x14ac:dyDescent="0.3">
      <c r="A690" t="s">
        <v>3306</v>
      </c>
      <c r="B690" t="s">
        <v>2382</v>
      </c>
      <c r="C690">
        <f t="shared" si="68"/>
        <v>16</v>
      </c>
      <c r="D690" t="str">
        <f t="shared" si="69"/>
        <v>Norm</v>
      </c>
      <c r="E690">
        <f t="shared" si="70"/>
        <v>6</v>
      </c>
      <c r="F690" t="str">
        <f t="shared" si="71"/>
        <v>C</v>
      </c>
      <c r="G690" s="115">
        <v>0</v>
      </c>
      <c r="H690" s="54">
        <v>1568.42</v>
      </c>
      <c r="I690" s="54">
        <v>1568.42</v>
      </c>
      <c r="J690" s="115">
        <v>0</v>
      </c>
      <c r="K690" t="str">
        <f t="shared" si="66"/>
        <v>0</v>
      </c>
      <c r="L690" s="173">
        <f t="shared" si="67"/>
        <v>0</v>
      </c>
    </row>
    <row r="691" spans="1:12" x14ac:dyDescent="0.3">
      <c r="A691" t="s">
        <v>3307</v>
      </c>
      <c r="B691" t="s">
        <v>2383</v>
      </c>
      <c r="C691">
        <f t="shared" si="68"/>
        <v>16</v>
      </c>
      <c r="D691" t="str">
        <f t="shared" si="69"/>
        <v>Norm</v>
      </c>
      <c r="E691">
        <f t="shared" si="70"/>
        <v>6</v>
      </c>
      <c r="F691" t="str">
        <f t="shared" si="71"/>
        <v>C</v>
      </c>
      <c r="G691" s="115">
        <v>0</v>
      </c>
      <c r="H691" s="115">
        <v>627.37</v>
      </c>
      <c r="I691" s="115">
        <v>627.37</v>
      </c>
      <c r="J691" s="115">
        <v>0</v>
      </c>
      <c r="K691" t="str">
        <f t="shared" si="66"/>
        <v>0</v>
      </c>
      <c r="L691" s="173">
        <f t="shared" si="67"/>
        <v>0</v>
      </c>
    </row>
    <row r="692" spans="1:12" x14ac:dyDescent="0.3">
      <c r="A692" t="s">
        <v>3308</v>
      </c>
      <c r="B692" t="s">
        <v>2384</v>
      </c>
      <c r="C692">
        <f t="shared" si="68"/>
        <v>16</v>
      </c>
      <c r="D692" t="str">
        <f t="shared" si="69"/>
        <v>Norm</v>
      </c>
      <c r="E692">
        <f t="shared" si="70"/>
        <v>6</v>
      </c>
      <c r="F692" t="str">
        <f t="shared" si="71"/>
        <v>C</v>
      </c>
      <c r="G692" s="115">
        <v>0</v>
      </c>
      <c r="H692" s="54">
        <v>1058.68</v>
      </c>
      <c r="I692" s="54">
        <v>1058.68</v>
      </c>
      <c r="J692" s="115">
        <v>0</v>
      </c>
      <c r="K692" t="str">
        <f t="shared" si="66"/>
        <v>0</v>
      </c>
      <c r="L692" s="173">
        <f t="shared" si="67"/>
        <v>0</v>
      </c>
    </row>
    <row r="693" spans="1:12" x14ac:dyDescent="0.3">
      <c r="A693" t="s">
        <v>3309</v>
      </c>
      <c r="B693" t="s">
        <v>2385</v>
      </c>
      <c r="C693">
        <f t="shared" si="68"/>
        <v>16</v>
      </c>
      <c r="D693" t="str">
        <f t="shared" si="69"/>
        <v>Norm</v>
      </c>
      <c r="E693">
        <f t="shared" si="70"/>
        <v>6</v>
      </c>
      <c r="F693" t="str">
        <f t="shared" si="71"/>
        <v>C</v>
      </c>
      <c r="G693" s="115">
        <v>0</v>
      </c>
      <c r="H693" s="54">
        <v>3054.76</v>
      </c>
      <c r="I693" s="54">
        <v>3054.76</v>
      </c>
      <c r="J693" s="115">
        <v>0</v>
      </c>
      <c r="K693" t="str">
        <f t="shared" si="66"/>
        <v>0</v>
      </c>
      <c r="L693" s="173">
        <f t="shared" si="67"/>
        <v>0</v>
      </c>
    </row>
    <row r="694" spans="1:12" x14ac:dyDescent="0.3">
      <c r="A694" t="s">
        <v>3310</v>
      </c>
      <c r="B694" t="s">
        <v>2386</v>
      </c>
      <c r="C694">
        <f t="shared" si="68"/>
        <v>16</v>
      </c>
      <c r="D694" t="str">
        <f t="shared" si="69"/>
        <v>Norm</v>
      </c>
      <c r="E694">
        <f t="shared" si="70"/>
        <v>6</v>
      </c>
      <c r="F694" t="str">
        <f t="shared" si="71"/>
        <v>C</v>
      </c>
      <c r="G694" s="115">
        <v>0</v>
      </c>
      <c r="H694" s="115">
        <v>588.16</v>
      </c>
      <c r="I694" s="115">
        <v>588.16</v>
      </c>
      <c r="J694" s="115">
        <v>0</v>
      </c>
      <c r="K694" t="str">
        <f t="shared" si="66"/>
        <v>0</v>
      </c>
      <c r="L694" s="173">
        <f t="shared" si="67"/>
        <v>0</v>
      </c>
    </row>
    <row r="695" spans="1:12" x14ac:dyDescent="0.3">
      <c r="A695" t="s">
        <v>3311</v>
      </c>
      <c r="B695" t="s">
        <v>2387</v>
      </c>
      <c r="C695">
        <f t="shared" si="68"/>
        <v>16</v>
      </c>
      <c r="D695" t="str">
        <f t="shared" si="69"/>
        <v>Norm</v>
      </c>
      <c r="E695">
        <f t="shared" si="70"/>
        <v>6</v>
      </c>
      <c r="F695" t="str">
        <f t="shared" si="71"/>
        <v>C</v>
      </c>
      <c r="G695" s="115">
        <v>0</v>
      </c>
      <c r="H695" s="54">
        <v>15910.25</v>
      </c>
      <c r="I695" s="54">
        <v>15910.25</v>
      </c>
      <c r="J695" s="115">
        <v>0</v>
      </c>
      <c r="K695" t="str">
        <f t="shared" si="66"/>
        <v>0</v>
      </c>
      <c r="L695" s="173">
        <f t="shared" si="67"/>
        <v>0</v>
      </c>
    </row>
    <row r="696" spans="1:12" x14ac:dyDescent="0.3">
      <c r="A696" t="s">
        <v>3312</v>
      </c>
      <c r="B696" t="s">
        <v>2388</v>
      </c>
      <c r="C696">
        <f t="shared" si="68"/>
        <v>16</v>
      </c>
      <c r="D696" t="str">
        <f t="shared" si="69"/>
        <v>Norm</v>
      </c>
      <c r="E696">
        <f t="shared" si="70"/>
        <v>6</v>
      </c>
      <c r="F696" t="str">
        <f t="shared" si="71"/>
        <v>C</v>
      </c>
      <c r="G696" s="115">
        <v>0</v>
      </c>
      <c r="H696" s="115">
        <v>784.21</v>
      </c>
      <c r="I696" s="115">
        <v>784.21</v>
      </c>
      <c r="J696" s="115">
        <v>0</v>
      </c>
      <c r="K696" t="str">
        <f t="shared" si="66"/>
        <v>0</v>
      </c>
      <c r="L696" s="173">
        <f t="shared" si="67"/>
        <v>0</v>
      </c>
    </row>
    <row r="697" spans="1:12" x14ac:dyDescent="0.3">
      <c r="A697" t="s">
        <v>3313</v>
      </c>
      <c r="B697" t="s">
        <v>2389</v>
      </c>
      <c r="C697">
        <f t="shared" si="68"/>
        <v>16</v>
      </c>
      <c r="D697" t="str">
        <f t="shared" si="69"/>
        <v>Norm</v>
      </c>
      <c r="E697">
        <f t="shared" si="70"/>
        <v>6</v>
      </c>
      <c r="F697" t="str">
        <f t="shared" si="71"/>
        <v>C</v>
      </c>
      <c r="G697" s="115">
        <v>0</v>
      </c>
      <c r="H697" s="54">
        <v>1568.42</v>
      </c>
      <c r="I697" s="54">
        <v>1568.42</v>
      </c>
      <c r="J697" s="115">
        <v>0</v>
      </c>
      <c r="K697" t="str">
        <f t="shared" si="66"/>
        <v>0</v>
      </c>
      <c r="L697" s="173">
        <f t="shared" si="67"/>
        <v>0</v>
      </c>
    </row>
    <row r="698" spans="1:12" x14ac:dyDescent="0.3">
      <c r="A698" t="s">
        <v>3314</v>
      </c>
      <c r="B698" t="s">
        <v>2390</v>
      </c>
      <c r="C698">
        <f t="shared" si="68"/>
        <v>16</v>
      </c>
      <c r="D698" t="str">
        <f t="shared" si="69"/>
        <v>Norm</v>
      </c>
      <c r="E698">
        <f t="shared" si="70"/>
        <v>6</v>
      </c>
      <c r="F698" t="str">
        <f t="shared" si="71"/>
        <v>C</v>
      </c>
      <c r="G698" s="115">
        <v>0</v>
      </c>
      <c r="H698" s="115">
        <v>588.16</v>
      </c>
      <c r="I698" s="115">
        <v>588.16</v>
      </c>
      <c r="J698" s="115">
        <v>0</v>
      </c>
      <c r="K698" t="str">
        <f t="shared" si="66"/>
        <v>0</v>
      </c>
      <c r="L698" s="173">
        <f t="shared" si="67"/>
        <v>0</v>
      </c>
    </row>
    <row r="699" spans="1:12" x14ac:dyDescent="0.3">
      <c r="A699" t="s">
        <v>3315</v>
      </c>
      <c r="B699" t="s">
        <v>2391</v>
      </c>
      <c r="C699">
        <f t="shared" si="68"/>
        <v>16</v>
      </c>
      <c r="D699" t="str">
        <f t="shared" si="69"/>
        <v>Norm</v>
      </c>
      <c r="E699">
        <f t="shared" si="70"/>
        <v>6</v>
      </c>
      <c r="F699" t="str">
        <f t="shared" si="71"/>
        <v>C</v>
      </c>
      <c r="G699" s="115">
        <v>0</v>
      </c>
      <c r="H699" s="54">
        <v>1527.38</v>
      </c>
      <c r="I699" s="54">
        <v>1527.38</v>
      </c>
      <c r="J699" s="115">
        <v>0</v>
      </c>
      <c r="K699" t="str">
        <f t="shared" si="66"/>
        <v>0</v>
      </c>
      <c r="L699" s="173">
        <f t="shared" si="67"/>
        <v>0</v>
      </c>
    </row>
    <row r="700" spans="1:12" x14ac:dyDescent="0.3">
      <c r="A700" t="s">
        <v>3316</v>
      </c>
      <c r="B700" t="s">
        <v>2392</v>
      </c>
      <c r="C700">
        <f t="shared" si="68"/>
        <v>16</v>
      </c>
      <c r="D700" t="str">
        <f t="shared" si="69"/>
        <v>Norm</v>
      </c>
      <c r="E700">
        <f t="shared" si="70"/>
        <v>6</v>
      </c>
      <c r="F700" t="str">
        <f t="shared" si="71"/>
        <v>C</v>
      </c>
      <c r="G700" s="115">
        <v>0</v>
      </c>
      <c r="H700" s="54">
        <v>5293.42</v>
      </c>
      <c r="I700" s="54">
        <v>5293.42</v>
      </c>
      <c r="J700" s="115">
        <v>0</v>
      </c>
      <c r="K700" t="str">
        <f t="shared" si="66"/>
        <v>0</v>
      </c>
      <c r="L700" s="173">
        <f t="shared" si="67"/>
        <v>0</v>
      </c>
    </row>
    <row r="701" spans="1:12" x14ac:dyDescent="0.3">
      <c r="A701" t="s">
        <v>3317</v>
      </c>
      <c r="B701" t="s">
        <v>2393</v>
      </c>
      <c r="C701">
        <f t="shared" si="68"/>
        <v>16</v>
      </c>
      <c r="D701" t="str">
        <f t="shared" si="69"/>
        <v>Norm</v>
      </c>
      <c r="E701">
        <f t="shared" si="70"/>
        <v>6</v>
      </c>
      <c r="F701" t="str">
        <f t="shared" si="71"/>
        <v>C</v>
      </c>
      <c r="G701" s="115">
        <v>0</v>
      </c>
      <c r="H701" s="54">
        <v>2352.63</v>
      </c>
      <c r="I701" s="54">
        <v>2352.63</v>
      </c>
      <c r="J701" s="115">
        <v>0</v>
      </c>
      <c r="K701" t="str">
        <f t="shared" si="66"/>
        <v>0</v>
      </c>
      <c r="L701" s="173">
        <f t="shared" si="67"/>
        <v>0</v>
      </c>
    </row>
    <row r="702" spans="1:12" x14ac:dyDescent="0.3">
      <c r="A702" t="s">
        <v>3318</v>
      </c>
      <c r="B702" t="s">
        <v>2394</v>
      </c>
      <c r="C702">
        <f t="shared" si="68"/>
        <v>16</v>
      </c>
      <c r="D702" t="str">
        <f t="shared" si="69"/>
        <v>Norm</v>
      </c>
      <c r="E702">
        <f t="shared" si="70"/>
        <v>6</v>
      </c>
      <c r="F702" t="str">
        <f t="shared" si="71"/>
        <v>C</v>
      </c>
      <c r="G702" s="115">
        <v>0</v>
      </c>
      <c r="H702" s="115">
        <v>941.05</v>
      </c>
      <c r="I702" s="115">
        <v>941.05</v>
      </c>
      <c r="J702" s="115">
        <v>0</v>
      </c>
      <c r="K702" t="str">
        <f t="shared" si="66"/>
        <v>0</v>
      </c>
      <c r="L702" s="173">
        <f t="shared" si="67"/>
        <v>0</v>
      </c>
    </row>
    <row r="703" spans="1:12" x14ac:dyDescent="0.3">
      <c r="A703" t="s">
        <v>3319</v>
      </c>
      <c r="B703" t="s">
        <v>2395</v>
      </c>
      <c r="C703">
        <f t="shared" si="68"/>
        <v>16</v>
      </c>
      <c r="D703" t="str">
        <f t="shared" si="69"/>
        <v>Norm</v>
      </c>
      <c r="E703">
        <f t="shared" si="70"/>
        <v>6</v>
      </c>
      <c r="F703" t="str">
        <f t="shared" si="71"/>
        <v>C</v>
      </c>
      <c r="G703" s="115">
        <v>0</v>
      </c>
      <c r="H703" s="54">
        <v>1960.53</v>
      </c>
      <c r="I703" s="54">
        <v>1960.53</v>
      </c>
      <c r="J703" s="115">
        <v>0</v>
      </c>
      <c r="K703" t="str">
        <f t="shared" si="66"/>
        <v>0</v>
      </c>
      <c r="L703" s="173">
        <f t="shared" si="67"/>
        <v>0</v>
      </c>
    </row>
    <row r="704" spans="1:12" x14ac:dyDescent="0.3">
      <c r="A704" t="s">
        <v>3320</v>
      </c>
      <c r="B704" t="s">
        <v>2396</v>
      </c>
      <c r="C704">
        <f t="shared" si="68"/>
        <v>16</v>
      </c>
      <c r="D704" t="str">
        <f t="shared" si="69"/>
        <v>Norm</v>
      </c>
      <c r="E704">
        <f t="shared" si="70"/>
        <v>6</v>
      </c>
      <c r="F704" t="str">
        <f t="shared" si="71"/>
        <v>C</v>
      </c>
      <c r="G704" s="115">
        <v>0</v>
      </c>
      <c r="H704" s="54">
        <v>1960.53</v>
      </c>
      <c r="I704" s="54">
        <v>1960.53</v>
      </c>
      <c r="J704" s="115">
        <v>0</v>
      </c>
      <c r="K704" t="str">
        <f t="shared" si="66"/>
        <v>0</v>
      </c>
      <c r="L704" s="173">
        <f t="shared" si="67"/>
        <v>0</v>
      </c>
    </row>
    <row r="705" spans="1:12" x14ac:dyDescent="0.3">
      <c r="A705" t="s">
        <v>3321</v>
      </c>
      <c r="B705" t="s">
        <v>2397</v>
      </c>
      <c r="C705">
        <f t="shared" si="68"/>
        <v>16</v>
      </c>
      <c r="D705" t="str">
        <f t="shared" si="69"/>
        <v>Norm</v>
      </c>
      <c r="E705">
        <f t="shared" si="70"/>
        <v>6</v>
      </c>
      <c r="F705" t="str">
        <f t="shared" si="71"/>
        <v>C</v>
      </c>
      <c r="G705" s="115">
        <v>0</v>
      </c>
      <c r="H705" s="54">
        <v>29015.77</v>
      </c>
      <c r="I705" s="54">
        <v>29015.77</v>
      </c>
      <c r="J705" s="115">
        <v>0</v>
      </c>
      <c r="K705" t="str">
        <f t="shared" si="66"/>
        <v>0</v>
      </c>
      <c r="L705" s="173">
        <f t="shared" si="67"/>
        <v>0</v>
      </c>
    </row>
    <row r="706" spans="1:12" x14ac:dyDescent="0.3">
      <c r="A706" t="s">
        <v>3322</v>
      </c>
      <c r="B706" t="s">
        <v>3323</v>
      </c>
      <c r="C706">
        <f t="shared" si="68"/>
        <v>3</v>
      </c>
      <c r="D706" t="str">
        <f t="shared" si="69"/>
        <v>Norm</v>
      </c>
      <c r="E706">
        <f t="shared" si="70"/>
        <v>8</v>
      </c>
      <c r="F706" t="b">
        <f t="shared" si="71"/>
        <v>0</v>
      </c>
      <c r="G706" s="115">
        <v>0</v>
      </c>
      <c r="H706" s="54">
        <v>54822591.869999997</v>
      </c>
      <c r="I706" s="54">
        <v>54822591.869999997</v>
      </c>
      <c r="J706" s="115">
        <v>0</v>
      </c>
      <c r="K706" t="str">
        <f t="shared" si="66"/>
        <v>0</v>
      </c>
      <c r="L706" s="173">
        <f t="shared" si="67"/>
        <v>0</v>
      </c>
    </row>
    <row r="707" spans="1:12" x14ac:dyDescent="0.3">
      <c r="A707" t="s">
        <v>3324</v>
      </c>
      <c r="B707" t="s">
        <v>3325</v>
      </c>
      <c r="C707">
        <f t="shared" si="68"/>
        <v>5</v>
      </c>
      <c r="D707" t="str">
        <f t="shared" si="69"/>
        <v>Norm</v>
      </c>
      <c r="E707">
        <f t="shared" si="70"/>
        <v>8</v>
      </c>
      <c r="F707" t="b">
        <f t="shared" si="71"/>
        <v>0</v>
      </c>
      <c r="G707" s="115">
        <v>0</v>
      </c>
      <c r="H707" s="54">
        <v>54822591.869999997</v>
      </c>
      <c r="I707" s="54">
        <v>54822591.869999997</v>
      </c>
      <c r="J707" s="115">
        <v>0</v>
      </c>
      <c r="K707" t="str">
        <f>RIGHT(J707,1)</f>
        <v>0</v>
      </c>
      <c r="L707" s="173">
        <f>IF(J707=0,0,LEFT(J707,LEN(J707)-1)+0)</f>
        <v>0</v>
      </c>
    </row>
    <row r="708" spans="1:12" x14ac:dyDescent="0.3">
      <c r="A708" t="s">
        <v>3326</v>
      </c>
      <c r="B708" t="s">
        <v>3327</v>
      </c>
      <c r="C708">
        <f t="shared" si="68"/>
        <v>8</v>
      </c>
      <c r="D708" t="str">
        <f t="shared" si="69"/>
        <v>Norm</v>
      </c>
      <c r="E708">
        <f t="shared" si="70"/>
        <v>8</v>
      </c>
      <c r="F708" t="b">
        <f t="shared" si="71"/>
        <v>0</v>
      </c>
      <c r="G708" s="115">
        <v>0</v>
      </c>
      <c r="H708" s="54">
        <v>54822591.869999997</v>
      </c>
      <c r="I708" s="54">
        <v>54822591.869999997</v>
      </c>
      <c r="J708" s="115">
        <v>0</v>
      </c>
      <c r="K708" t="str">
        <f>RIGHT(J708,1)</f>
        <v>0</v>
      </c>
      <c r="L708" s="173">
        <f>IF(J708=0,0,LEFT(J708,LEN(J708)-1)+0)</f>
        <v>0</v>
      </c>
    </row>
    <row r="709" spans="1:12" x14ac:dyDescent="0.3">
      <c r="A709" t="s">
        <v>3328</v>
      </c>
      <c r="B709" t="s">
        <v>3329</v>
      </c>
      <c r="C709">
        <f t="shared" si="68"/>
        <v>11</v>
      </c>
      <c r="D709" t="str">
        <f t="shared" si="69"/>
        <v>Norm</v>
      </c>
      <c r="E709">
        <f t="shared" si="70"/>
        <v>8</v>
      </c>
      <c r="F709" t="b">
        <f t="shared" si="71"/>
        <v>0</v>
      </c>
      <c r="G709" s="115">
        <v>0</v>
      </c>
      <c r="H709" s="54">
        <v>54822591.869999997</v>
      </c>
      <c r="I709" s="54">
        <v>54822591.869999997</v>
      </c>
      <c r="J709" s="115">
        <v>0</v>
      </c>
      <c r="K709" t="str">
        <f>RIGHT(J709,1)</f>
        <v>0</v>
      </c>
      <c r="L709" s="173">
        <f>IF(J709=0,0,LEFT(J709,LEN(J709)-1)+0)</f>
        <v>0</v>
      </c>
    </row>
    <row r="710" spans="1:12" x14ac:dyDescent="0.3">
      <c r="A710" t="s">
        <v>3330</v>
      </c>
      <c r="B710" t="s">
        <v>3331</v>
      </c>
      <c r="C710">
        <f t="shared" si="68"/>
        <v>16</v>
      </c>
      <c r="D710" t="str">
        <f t="shared" si="69"/>
        <v>Norm</v>
      </c>
      <c r="E710">
        <f t="shared" si="70"/>
        <v>8</v>
      </c>
      <c r="F710" t="b">
        <f t="shared" si="71"/>
        <v>0</v>
      </c>
      <c r="G710" s="115">
        <v>0</v>
      </c>
      <c r="H710" s="54">
        <v>54822591.869999997</v>
      </c>
      <c r="I710" s="54">
        <v>54822591.869999997</v>
      </c>
      <c r="J710" s="115">
        <v>0</v>
      </c>
      <c r="K710" t="str">
        <f>RIGHT(J710,1)</f>
        <v>0</v>
      </c>
      <c r="L710" s="173">
        <f>IF(J710=0,0,LEFT(J710,LEN(J710)-1)+0)</f>
        <v>0</v>
      </c>
    </row>
  </sheetData>
  <autoFilter ref="A1:O710" xr:uid="{ACC6ED65-FE8D-4D13-A9A0-B5BCE60CC289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957CD-CB45-4F6F-BB5F-FD8B8235D4F7}">
  <sheetPr>
    <tabColor rgb="FF00B050"/>
  </sheetPr>
  <dimension ref="A2:I52"/>
  <sheetViews>
    <sheetView showGridLines="0" topLeftCell="A36" workbookViewId="0">
      <selection activeCell="F30" sqref="F30"/>
    </sheetView>
  </sheetViews>
  <sheetFormatPr defaultColWidth="9.109375" defaultRowHeight="14.4" x14ac:dyDescent="0.3"/>
  <cols>
    <col min="1" max="1" width="9.33203125" bestFit="1" customWidth="1"/>
    <col min="2" max="2" width="43" style="17" bestFit="1" customWidth="1"/>
    <col min="3" max="3" width="16.33203125" style="17" customWidth="1"/>
    <col min="4" max="4" width="3.109375" style="17" customWidth="1"/>
    <col min="5" max="5" width="16.33203125" style="17" customWidth="1"/>
    <col min="6" max="6" width="9.109375" style="17"/>
    <col min="7" max="7" width="15.109375" style="17" bestFit="1" customWidth="1"/>
    <col min="8" max="8" width="2" style="17" customWidth="1"/>
    <col min="9" max="9" width="19.88671875" style="17" bestFit="1" customWidth="1"/>
    <col min="10" max="16384" width="9.109375" style="17"/>
  </cols>
  <sheetData>
    <row r="2" spans="1:9" x14ac:dyDescent="0.3">
      <c r="A2">
        <v>21</v>
      </c>
    </row>
    <row r="3" spans="1:9" x14ac:dyDescent="0.3">
      <c r="B3" s="162" t="s">
        <v>2059</v>
      </c>
      <c r="C3" s="166" t="s">
        <v>2060</v>
      </c>
      <c r="D3" s="162"/>
      <c r="E3" s="166" t="s">
        <v>2061</v>
      </c>
    </row>
    <row r="4" spans="1:9" x14ac:dyDescent="0.3">
      <c r="B4" s="17" t="s">
        <v>2062</v>
      </c>
      <c r="C4" s="164">
        <v>3239421.94</v>
      </c>
      <c r="E4" s="17">
        <v>15177736.26</v>
      </c>
    </row>
    <row r="5" spans="1:9" ht="15" thickBot="1" x14ac:dyDescent="0.35">
      <c r="B5" s="17" t="s">
        <v>2063</v>
      </c>
      <c r="C5" s="17">
        <v>-1925126.71</v>
      </c>
      <c r="E5" s="160">
        <v>0</v>
      </c>
    </row>
    <row r="6" spans="1:9" ht="15.6" thickTop="1" thickBot="1" x14ac:dyDescent="0.35">
      <c r="B6" s="165" t="s">
        <v>2064</v>
      </c>
      <c r="C6" s="161">
        <f>SUM(C3:C5)</f>
        <v>1314295.23</v>
      </c>
      <c r="D6" s="165"/>
      <c r="E6" s="161">
        <f>SUM(E3:E5)</f>
        <v>15177736.26</v>
      </c>
    </row>
    <row r="7" spans="1:9" ht="15" thickTop="1" x14ac:dyDescent="0.3"/>
    <row r="11" spans="1:9" x14ac:dyDescent="0.3">
      <c r="A11">
        <v>22</v>
      </c>
      <c r="B11" s="162" t="s">
        <v>2065</v>
      </c>
    </row>
    <row r="12" spans="1:9" x14ac:dyDescent="0.3">
      <c r="C12" s="163" t="s">
        <v>2060</v>
      </c>
      <c r="D12" s="162"/>
      <c r="E12" s="166" t="s">
        <v>2061</v>
      </c>
    </row>
    <row r="13" spans="1:9" x14ac:dyDescent="0.3">
      <c r="B13" s="17" t="s">
        <v>2066</v>
      </c>
      <c r="C13" s="160" t="e">
        <f>-SUMIFS('BALANCETE 2022'!#REF!,'BALANCETE 2022'!M:M,'QUADROS QUE FALTARAM'!F13)</f>
        <v>#REF!</v>
      </c>
      <c r="E13" s="160">
        <v>-111175.98999999999</v>
      </c>
      <c r="F13" s="17" t="s">
        <v>2067</v>
      </c>
    </row>
    <row r="14" spans="1:9" x14ac:dyDescent="0.3">
      <c r="B14" s="17" t="s">
        <v>2068</v>
      </c>
      <c r="C14" s="160" t="e">
        <f>-SUMIFS('BALANCETE 2022'!#REF!,'BALANCETE 2022'!M:M,'QUADROS QUE FALTARAM'!F14)</f>
        <v>#REF!</v>
      </c>
      <c r="E14" s="160">
        <v>-20205451.030000001</v>
      </c>
      <c r="F14" s="17" t="s">
        <v>2069</v>
      </c>
      <c r="G14" s="187" t="e">
        <f>'BALANCETE 2022'!#REF!</f>
        <v>#REF!</v>
      </c>
      <c r="H14" s="187"/>
      <c r="I14" s="187" t="s">
        <v>3337</v>
      </c>
    </row>
    <row r="15" spans="1:9" x14ac:dyDescent="0.3">
      <c r="B15" s="17" t="s">
        <v>2070</v>
      </c>
      <c r="C15" s="160" t="e">
        <f>-SUMIFS('BALANCETE 2022'!#REF!,'BALANCETE 2022'!M:M,'QUADROS QUE FALTARAM'!F15)</f>
        <v>#REF!</v>
      </c>
      <c r="E15" s="160">
        <v>-3267071.01</v>
      </c>
      <c r="F15" s="17" t="s">
        <v>2071</v>
      </c>
    </row>
    <row r="16" spans="1:9" ht="15" thickBot="1" x14ac:dyDescent="0.35">
      <c r="B16" s="17" t="s">
        <v>2072</v>
      </c>
      <c r="C16" s="160" t="e">
        <f>-SUMIFS('BALANCETE 2022'!#REF!,'BALANCETE 2022'!M:M,'QUADROS QUE FALTARAM'!F16)</f>
        <v>#REF!</v>
      </c>
      <c r="E16" s="160">
        <v>-5491.86</v>
      </c>
      <c r="F16" s="17" t="s">
        <v>2073</v>
      </c>
    </row>
    <row r="17" spans="1:7" ht="15.6" thickTop="1" thickBot="1" x14ac:dyDescent="0.35">
      <c r="B17" s="165" t="s">
        <v>2064</v>
      </c>
      <c r="C17" s="161" t="e">
        <f>SUM(C13:C16)</f>
        <v>#REF!</v>
      </c>
      <c r="E17" s="161">
        <v>-23589189.890000001</v>
      </c>
    </row>
    <row r="18" spans="1:7" ht="15" thickTop="1" x14ac:dyDescent="0.3"/>
    <row r="20" spans="1:7" x14ac:dyDescent="0.3">
      <c r="A20">
        <v>23</v>
      </c>
      <c r="B20" s="56" t="s">
        <v>2074</v>
      </c>
    </row>
    <row r="21" spans="1:7" x14ac:dyDescent="0.3">
      <c r="C21" s="166" t="s">
        <v>2060</v>
      </c>
      <c r="D21" s="162"/>
      <c r="E21" s="166" t="s">
        <v>2061</v>
      </c>
      <c r="G21" s="166"/>
    </row>
    <row r="22" spans="1:7" x14ac:dyDescent="0.3">
      <c r="B22" s="67" t="s">
        <v>2075</v>
      </c>
      <c r="C22" s="167" t="e">
        <f>-SUMIFS('BALANCETE 2022'!#REF!,'BALANCETE 2022'!M:M,'QUADROS QUE FALTARAM'!F22)</f>
        <v>#REF!</v>
      </c>
      <c r="D22" s="168"/>
      <c r="E22" s="169">
        <v>-9262204.6799999997</v>
      </c>
      <c r="F22" s="17" t="s">
        <v>2076</v>
      </c>
      <c r="G22" s="170"/>
    </row>
    <row r="23" spans="1:7" x14ac:dyDescent="0.3">
      <c r="B23" t="s">
        <v>2077</v>
      </c>
      <c r="C23" s="160" t="e">
        <f>-SUMIFS('BALANCETE 2022'!#REF!,'BALANCETE 2022'!M:M,'QUADROS QUE FALTARAM'!F23)</f>
        <v>#REF!</v>
      </c>
      <c r="E23" s="170">
        <v>-332375.06</v>
      </c>
      <c r="F23" s="17" t="s">
        <v>2078</v>
      </c>
      <c r="G23" s="170"/>
    </row>
    <row r="24" spans="1:7" x14ac:dyDescent="0.3">
      <c r="B24" t="s">
        <v>2079</v>
      </c>
      <c r="C24" s="160" t="e">
        <f>-SUMIFS('BALANCETE 2022'!#REF!,'BALANCETE 2022'!M:M,'QUADROS QUE FALTARAM'!F24)</f>
        <v>#REF!</v>
      </c>
      <c r="E24" s="170">
        <v>-712785.1</v>
      </c>
      <c r="F24" s="17" t="s">
        <v>2080</v>
      </c>
      <c r="G24" s="170"/>
    </row>
    <row r="25" spans="1:7" x14ac:dyDescent="0.3">
      <c r="B25" t="s">
        <v>2081</v>
      </c>
      <c r="C25" s="160" t="e">
        <f>-SUMIFS('BALANCETE 2022'!#REF!,'BALANCETE 2022'!M:M,'QUADROS QUE FALTARAM'!F25)</f>
        <v>#REF!</v>
      </c>
      <c r="E25" s="170">
        <v>-345453.82</v>
      </c>
      <c r="F25" s="17" t="s">
        <v>2082</v>
      </c>
      <c r="G25" s="170"/>
    </row>
    <row r="26" spans="1:7" x14ac:dyDescent="0.3">
      <c r="B26" t="s">
        <v>2083</v>
      </c>
      <c r="C26" s="160" t="e">
        <f>-SUMIFS('BALANCETE 2022'!#REF!,'BALANCETE 2022'!M:M,'QUADROS QUE FALTARAM'!F26)</f>
        <v>#REF!</v>
      </c>
      <c r="E26" s="170">
        <v>-374575.97</v>
      </c>
      <c r="F26" s="17" t="s">
        <v>2084</v>
      </c>
      <c r="G26" s="170"/>
    </row>
    <row r="27" spans="1:7" x14ac:dyDescent="0.3">
      <c r="B27" t="s">
        <v>2085</v>
      </c>
      <c r="C27" s="160" t="e">
        <f>-SUMIFS('BALANCETE 2022'!#REF!,'BALANCETE 2022'!M:M,'QUADROS QUE FALTARAM'!F27)</f>
        <v>#REF!</v>
      </c>
      <c r="E27" s="170">
        <v>-57000.32</v>
      </c>
      <c r="F27" s="17" t="s">
        <v>2086</v>
      </c>
      <c r="G27" s="170"/>
    </row>
    <row r="28" spans="1:7" x14ac:dyDescent="0.3">
      <c r="B28" t="s">
        <v>2087</v>
      </c>
      <c r="C28" s="160" t="e">
        <f>-SUMIFS('BALANCETE 2022'!#REF!,'BALANCETE 2022'!M:M,'QUADROS QUE FALTARAM'!F28)</f>
        <v>#REF!</v>
      </c>
      <c r="E28" s="170">
        <v>-3795.4</v>
      </c>
      <c r="F28" s="17" t="s">
        <v>2088</v>
      </c>
      <c r="G28" s="170"/>
    </row>
    <row r="29" spans="1:7" x14ac:dyDescent="0.3">
      <c r="B29" t="s">
        <v>2089</v>
      </c>
      <c r="C29" s="160" t="e">
        <f>-SUMIFS('BALANCETE 2022'!#REF!,'BALANCETE 2022'!M:M,'QUADROS QUE FALTARAM'!F29)</f>
        <v>#REF!</v>
      </c>
      <c r="E29" s="170">
        <v>-30963.25</v>
      </c>
      <c r="F29" s="17" t="s">
        <v>2090</v>
      </c>
      <c r="G29" s="170"/>
    </row>
    <row r="30" spans="1:7" x14ac:dyDescent="0.3">
      <c r="B30" t="s">
        <v>2091</v>
      </c>
      <c r="C30" s="160" t="e">
        <f>-SUMIFS('BALANCETE 2022'!#REF!,'BALANCETE 2022'!M:M,'QUADROS QUE FALTARAM'!F30)</f>
        <v>#REF!</v>
      </c>
      <c r="E30" s="170">
        <v>-10599.05</v>
      </c>
      <c r="F30" s="17" t="s">
        <v>2092</v>
      </c>
      <c r="G30" s="170"/>
    </row>
    <row r="31" spans="1:7" x14ac:dyDescent="0.3">
      <c r="B31" t="s">
        <v>2093</v>
      </c>
      <c r="C31" s="160" t="e">
        <f>-SUMIFS('BALANCETE 2022'!#REF!,'BALANCETE 2022'!M:M,'QUADROS QUE FALTARAM'!F31)</f>
        <v>#REF!</v>
      </c>
      <c r="E31" s="170">
        <v>-556625</v>
      </c>
      <c r="F31" s="17" t="s">
        <v>2094</v>
      </c>
      <c r="G31" s="170"/>
    </row>
    <row r="32" spans="1:7" x14ac:dyDescent="0.3">
      <c r="B32" s="174" t="s">
        <v>2095</v>
      </c>
      <c r="C32" s="186" t="e">
        <f>-SUMIFS('BALANCETE 2022'!#REF!,'BALANCETE 2022'!M:M,'QUADROS QUE FALTARAM'!F32)</f>
        <v>#REF!</v>
      </c>
      <c r="E32" s="170">
        <v>0</v>
      </c>
      <c r="F32" s="17" t="s">
        <v>2096</v>
      </c>
      <c r="G32" s="170"/>
    </row>
    <row r="33" spans="1:7" ht="15" thickBot="1" x14ac:dyDescent="0.35">
      <c r="B33" s="174" t="s">
        <v>2097</v>
      </c>
      <c r="C33" s="186" t="e">
        <f>-SUMIFS('BALANCETE 2022'!#REF!,'BALANCETE 2022'!M:M,'QUADROS QUE FALTARAM'!F33)</f>
        <v>#REF!</v>
      </c>
      <c r="E33" s="170">
        <v>-558901.65</v>
      </c>
      <c r="F33" s="17" t="s">
        <v>2098</v>
      </c>
      <c r="G33" s="170"/>
    </row>
    <row r="34" spans="1:7" ht="15.6" thickTop="1" thickBot="1" x14ac:dyDescent="0.35">
      <c r="B34" s="1" t="s">
        <v>2064</v>
      </c>
      <c r="C34" s="171" t="e">
        <f>SUM(C22:C33)</f>
        <v>#REF!</v>
      </c>
      <c r="D34" s="172"/>
      <c r="E34" s="171">
        <v>-12245279.300000001</v>
      </c>
      <c r="G34" s="171"/>
    </row>
    <row r="35" spans="1:7" ht="15" thickTop="1" x14ac:dyDescent="0.3"/>
    <row r="37" spans="1:7" x14ac:dyDescent="0.3">
      <c r="A37">
        <v>24</v>
      </c>
      <c r="B37" s="113" t="s">
        <v>2099</v>
      </c>
    </row>
    <row r="38" spans="1:7" x14ac:dyDescent="0.3">
      <c r="C38" s="166" t="s">
        <v>2060</v>
      </c>
      <c r="D38" s="162"/>
      <c r="E38" s="166" t="s">
        <v>2061</v>
      </c>
    </row>
    <row r="39" spans="1:7" x14ac:dyDescent="0.3">
      <c r="B39" t="s">
        <v>2100</v>
      </c>
      <c r="C39" s="160" t="e">
        <f>-SUMIFS('BALANCETE 2022'!#REF!,'BALANCETE 2022'!M:M,'QUADROS QUE FALTARAM'!F39)</f>
        <v>#REF!</v>
      </c>
      <c r="E39" s="170">
        <v>-119907.20999999999</v>
      </c>
      <c r="F39" s="17" t="s">
        <v>2101</v>
      </c>
    </row>
    <row r="40" spans="1:7" x14ac:dyDescent="0.3">
      <c r="B40" t="s">
        <v>2102</v>
      </c>
      <c r="C40" s="160" t="e">
        <f>-SUMIFS('BALANCETE 2022'!#REF!,'BALANCETE 2022'!M:M,'QUADROS QUE FALTARAM'!F40)</f>
        <v>#REF!</v>
      </c>
      <c r="E40" s="170">
        <v>-14443.91</v>
      </c>
      <c r="F40" s="17" t="s">
        <v>2103</v>
      </c>
    </row>
    <row r="41" spans="1:7" ht="15" thickBot="1" x14ac:dyDescent="0.35">
      <c r="B41" t="s">
        <v>2104</v>
      </c>
      <c r="C41" s="160" t="e">
        <f>-SUMIFS('BALANCETE 2022'!#REF!,'BALANCETE 2022'!M:M,'QUADROS QUE FALTARAM'!F41)</f>
        <v>#REF!</v>
      </c>
      <c r="E41" s="170">
        <v>-192085.78000000003</v>
      </c>
      <c r="F41" s="17" t="s">
        <v>2105</v>
      </c>
    </row>
    <row r="42" spans="1:7" ht="15.6" thickTop="1" thickBot="1" x14ac:dyDescent="0.35">
      <c r="B42" s="56" t="s">
        <v>2064</v>
      </c>
      <c r="C42" s="171" t="e">
        <f>SUM(C39:C41)</f>
        <v>#REF!</v>
      </c>
      <c r="D42" s="172"/>
      <c r="E42" s="171">
        <v>-326436.90000000002</v>
      </c>
    </row>
    <row r="43" spans="1:7" ht="15" thickTop="1" x14ac:dyDescent="0.3"/>
    <row r="47" spans="1:7" x14ac:dyDescent="0.3">
      <c r="A47">
        <v>25</v>
      </c>
      <c r="B47" s="113" t="s">
        <v>2106</v>
      </c>
    </row>
    <row r="48" spans="1:7" x14ac:dyDescent="0.3">
      <c r="C48" s="166" t="s">
        <v>2060</v>
      </c>
      <c r="D48" s="162"/>
      <c r="E48" s="166" t="s">
        <v>2061</v>
      </c>
    </row>
    <row r="49" spans="2:6" x14ac:dyDescent="0.3">
      <c r="B49" t="s">
        <v>2107</v>
      </c>
      <c r="C49" s="164" t="e">
        <f>SUMIFS('BALANCETE 2022'!#REF!,'BALANCETE 2022'!M:M,'QUADROS QUE FALTARAM'!F49)</f>
        <v>#REF!</v>
      </c>
      <c r="E49" s="17">
        <v>60749.82</v>
      </c>
      <c r="F49" s="17" t="s">
        <v>2108</v>
      </c>
    </row>
    <row r="50" spans="2:6" ht="15" thickBot="1" x14ac:dyDescent="0.35">
      <c r="B50" t="s">
        <v>2109</v>
      </c>
      <c r="C50" s="17" t="e">
        <f>-SUMIFS('BALANCETE 2022'!#REF!,'BALANCETE 2022'!M:M,'QUADROS QUE FALTARAM'!F50)</f>
        <v>#REF!</v>
      </c>
      <c r="E50" s="160">
        <v>-838003.4</v>
      </c>
      <c r="F50" s="17" t="s">
        <v>2110</v>
      </c>
    </row>
    <row r="51" spans="2:6" ht="15.6" thickTop="1" thickBot="1" x14ac:dyDescent="0.35">
      <c r="B51" s="56" t="s">
        <v>2064</v>
      </c>
      <c r="C51" s="161" t="e">
        <f>SUM(C49:C50)</f>
        <v>#REF!</v>
      </c>
      <c r="D51" s="165"/>
      <c r="E51" s="161">
        <f>SUM(E49:E50)</f>
        <v>-777253.58000000007</v>
      </c>
    </row>
    <row r="52" spans="2:6" ht="15" thickTop="1" x14ac:dyDescent="0.3"/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B7:O115"/>
  <sheetViews>
    <sheetView showGridLines="0" zoomScaleNormal="100" workbookViewId="0">
      <selection activeCell="E22" sqref="E22"/>
    </sheetView>
  </sheetViews>
  <sheetFormatPr defaultColWidth="9.109375" defaultRowHeight="14.4" x14ac:dyDescent="0.3"/>
  <cols>
    <col min="1" max="1" width="9.109375" style="2"/>
    <col min="2" max="2" width="8" style="2" customWidth="1"/>
    <col min="3" max="3" width="4.6640625" style="2" customWidth="1"/>
    <col min="4" max="4" width="8.88671875" style="2" bestFit="1" customWidth="1"/>
    <col min="5" max="5" width="12.44140625" style="2" customWidth="1"/>
    <col min="6" max="6" width="11.5546875" style="2" customWidth="1"/>
    <col min="7" max="7" width="9.6640625" style="2" customWidth="1"/>
    <col min="8" max="8" width="16.44140625" style="254" customWidth="1"/>
    <col min="9" max="9" width="21.5546875" style="2" customWidth="1"/>
    <col min="10" max="10" width="15.6640625" style="2" customWidth="1"/>
    <col min="11" max="11" width="15.88671875" style="259" customWidth="1"/>
    <col min="12" max="12" width="19.33203125" style="3" customWidth="1"/>
    <col min="13" max="13" width="12.6640625" style="2" customWidth="1"/>
    <col min="14" max="14" width="13" style="2" customWidth="1"/>
    <col min="15" max="15" width="11.88671875" style="2" customWidth="1"/>
    <col min="16" max="16" width="10.33203125" style="2" customWidth="1"/>
    <col min="17" max="17" width="6" style="2" customWidth="1"/>
    <col min="18" max="18" width="7.109375" style="2" customWidth="1"/>
    <col min="19" max="19" width="16.33203125" style="2" customWidth="1"/>
    <col min="20" max="16384" width="9.109375" style="2"/>
  </cols>
  <sheetData>
    <row r="7" spans="2:12" x14ac:dyDescent="0.3">
      <c r="B7" s="707" t="s">
        <v>2398</v>
      </c>
      <c r="C7" s="707"/>
      <c r="D7" s="707"/>
      <c r="E7" s="707"/>
      <c r="F7" s="707"/>
      <c r="G7" s="707"/>
      <c r="H7" s="707"/>
      <c r="I7" s="707"/>
    </row>
    <row r="8" spans="2:12" x14ac:dyDescent="0.3">
      <c r="B8" s="707" t="s">
        <v>2399</v>
      </c>
      <c r="C8" s="707"/>
      <c r="D8" s="707"/>
      <c r="E8" s="707"/>
      <c r="F8" s="707"/>
      <c r="G8" s="707"/>
      <c r="H8" s="707"/>
      <c r="I8" s="707"/>
      <c r="J8" s="711" t="s">
        <v>3332</v>
      </c>
      <c r="K8" s="712"/>
    </row>
    <row r="9" spans="2:12" x14ac:dyDescent="0.3">
      <c r="B9" s="3"/>
      <c r="C9" s="3"/>
      <c r="D9" s="3"/>
      <c r="E9" s="3"/>
      <c r="F9" s="3"/>
      <c r="G9" s="3"/>
      <c r="H9" s="3"/>
      <c r="I9" s="3"/>
      <c r="J9" s="254">
        <f>I15</f>
        <v>6903819.0899999999</v>
      </c>
      <c r="K9" s="259" t="s">
        <v>2400</v>
      </c>
    </row>
    <row r="10" spans="2:12" x14ac:dyDescent="0.3">
      <c r="B10" s="707" t="s">
        <v>2401</v>
      </c>
      <c r="C10" s="707"/>
      <c r="D10" s="707"/>
      <c r="E10" s="707"/>
      <c r="F10" s="707"/>
      <c r="G10" s="707"/>
      <c r="H10" s="707"/>
      <c r="I10" s="707"/>
      <c r="J10" s="254">
        <f>H15</f>
        <v>2861198.37</v>
      </c>
      <c r="K10" s="259" t="s">
        <v>2402</v>
      </c>
    </row>
    <row r="11" spans="2:12" x14ac:dyDescent="0.3">
      <c r="B11" s="707" t="s">
        <v>2403</v>
      </c>
      <c r="C11" s="707"/>
      <c r="D11" s="707"/>
      <c r="E11" s="707"/>
      <c r="F11" s="707"/>
      <c r="G11" s="707"/>
      <c r="H11" s="707"/>
      <c r="I11" s="707"/>
      <c r="J11" s="254">
        <f>J10-J9</f>
        <v>-4042620.7199999997</v>
      </c>
      <c r="K11" s="259" t="s">
        <v>2404</v>
      </c>
    </row>
    <row r="12" spans="2:12" x14ac:dyDescent="0.3">
      <c r="B12" s="3"/>
      <c r="C12" s="3"/>
      <c r="D12" s="3"/>
      <c r="E12" s="3"/>
      <c r="F12" s="3"/>
      <c r="G12" s="3"/>
      <c r="H12" s="3"/>
      <c r="I12" s="3"/>
      <c r="K12" s="260"/>
    </row>
    <row r="13" spans="2:12" x14ac:dyDescent="0.3">
      <c r="B13" s="703" t="s">
        <v>2405</v>
      </c>
      <c r="C13" s="703"/>
      <c r="D13" s="246"/>
      <c r="E13" s="247"/>
      <c r="F13" s="247"/>
      <c r="G13" s="249" t="s">
        <v>2406</v>
      </c>
      <c r="H13" s="250" t="s">
        <v>2060</v>
      </c>
      <c r="I13" s="249">
        <v>2021</v>
      </c>
      <c r="J13" s="249"/>
      <c r="K13" s="261"/>
      <c r="L13" s="262"/>
    </row>
    <row r="14" spans="2:12" x14ac:dyDescent="0.3">
      <c r="B14" s="703" t="s">
        <v>2407</v>
      </c>
      <c r="C14" s="703"/>
      <c r="D14" s="703"/>
      <c r="E14" s="247"/>
      <c r="F14" s="247"/>
      <c r="G14" s="249"/>
      <c r="H14" s="248">
        <f>SUM(H15:H20)</f>
        <v>22601893.190000001</v>
      </c>
      <c r="I14" s="248">
        <f>SUM(I15:I20)</f>
        <v>23522890.947999995</v>
      </c>
      <c r="J14" s="252"/>
      <c r="K14" s="263"/>
    </row>
    <row r="15" spans="2:12" x14ac:dyDescent="0.3">
      <c r="B15" s="702"/>
      <c r="C15" s="702"/>
      <c r="D15" s="702" t="s">
        <v>2408</v>
      </c>
      <c r="E15" s="702"/>
      <c r="F15" s="702"/>
      <c r="G15" s="249">
        <v>4</v>
      </c>
      <c r="H15" s="251">
        <f>SUM('BALANCETE 2022'!F14)</f>
        <v>2861198.37</v>
      </c>
      <c r="I15" s="252">
        <f>SUM('BALANCETE 2021'!I12)</f>
        <v>6903819.0899999999</v>
      </c>
      <c r="J15" s="252">
        <f t="shared" ref="J15:J20" si="0">I15-H15</f>
        <v>4042620.7199999997</v>
      </c>
    </row>
    <row r="16" spans="2:12" x14ac:dyDescent="0.3">
      <c r="B16" s="253"/>
      <c r="D16" s="702" t="s">
        <v>2409</v>
      </c>
      <c r="E16" s="702"/>
      <c r="F16" s="247"/>
      <c r="G16" s="249">
        <v>5</v>
      </c>
      <c r="H16" s="251">
        <f>SUM('BALANCETE 2022'!F33)</f>
        <v>1889386.78</v>
      </c>
      <c r="I16" s="252">
        <f>SUM('BALANCETE 2021'!I30)</f>
        <v>7597374.3799999999</v>
      </c>
      <c r="J16" s="277">
        <f>I16-H16</f>
        <v>5707987.5999999996</v>
      </c>
      <c r="K16" s="264" t="s">
        <v>2410</v>
      </c>
      <c r="L16" s="262"/>
    </row>
    <row r="17" spans="2:15" x14ac:dyDescent="0.3">
      <c r="B17" s="704"/>
      <c r="C17" s="704"/>
      <c r="D17" s="702" t="s">
        <v>2411</v>
      </c>
      <c r="E17" s="702"/>
      <c r="F17" s="247"/>
      <c r="G17" s="249">
        <v>6</v>
      </c>
      <c r="H17" s="251">
        <f>SUM('BALANCETE 2022'!F105+'BALANCETE 2022'!F112)</f>
        <v>2332024.65</v>
      </c>
      <c r="I17" s="252">
        <f>SUM('BALANCETE 2021'!I168+'BALANCETE 2021'!I176)</f>
        <v>1269827.8799999999</v>
      </c>
      <c r="J17" s="277">
        <f t="shared" si="0"/>
        <v>-1062196.77</v>
      </c>
      <c r="K17" s="264" t="s">
        <v>2412</v>
      </c>
    </row>
    <row r="18" spans="2:15" x14ac:dyDescent="0.3">
      <c r="B18" s="702"/>
      <c r="C18" s="702"/>
      <c r="D18" s="702" t="s">
        <v>2413</v>
      </c>
      <c r="E18" s="702"/>
      <c r="F18" s="247"/>
      <c r="G18" s="249">
        <v>7</v>
      </c>
      <c r="H18" s="251">
        <f>SUM('BALANCETE 2022'!F102+'BALANCETE 2022'!F120)</f>
        <v>100920.1</v>
      </c>
      <c r="I18" s="252">
        <f>SUM('BALANCETE 2021'!I165+'BALANCETE 2021'!I184)</f>
        <v>488421.09</v>
      </c>
      <c r="J18" s="277">
        <f t="shared" si="0"/>
        <v>387500.99</v>
      </c>
      <c r="K18" s="264" t="s">
        <v>2414</v>
      </c>
    </row>
    <row r="19" spans="2:15" x14ac:dyDescent="0.3">
      <c r="B19" s="702"/>
      <c r="C19" s="702"/>
      <c r="D19" s="247" t="s">
        <v>2415</v>
      </c>
      <c r="E19" s="247"/>
      <c r="F19" s="247"/>
      <c r="G19" s="249">
        <v>8</v>
      </c>
      <c r="H19" s="251">
        <f>SUM('BALANCETE 2022'!F123+'BALANCETE 2022'!F138+'BALANCETE 2022'!F142+'BALANCETE 2022'!F146+'BALANCETE 2022'!F155)</f>
        <v>11843502.84</v>
      </c>
      <c r="I19" s="252">
        <f>SUM('BALANCETE 2021'!I187+'BALANCETE 2021'!I201+'BALANCETE 2021'!I204+'BALANCETE 2021'!I208)-0.01</f>
        <v>5738080.6280000005</v>
      </c>
      <c r="J19" s="277">
        <f t="shared" si="0"/>
        <v>-6105422.2119999994</v>
      </c>
      <c r="K19" s="264" t="s">
        <v>2416</v>
      </c>
    </row>
    <row r="20" spans="2:15" x14ac:dyDescent="0.3">
      <c r="B20" s="702"/>
      <c r="C20" s="702"/>
      <c r="D20" s="702" t="s">
        <v>2417</v>
      </c>
      <c r="E20" s="702"/>
      <c r="F20" s="247"/>
      <c r="G20" s="249">
        <v>9</v>
      </c>
      <c r="H20" s="251">
        <f>SUM('BALANCETE 2022'!F159)</f>
        <v>3574860.45</v>
      </c>
      <c r="I20" s="252">
        <f>SUM('BALANCETE 2021'!I212)</f>
        <v>1525367.88</v>
      </c>
      <c r="J20" s="277">
        <f t="shared" si="0"/>
        <v>-2049492.5700000003</v>
      </c>
      <c r="K20" s="264" t="s">
        <v>2418</v>
      </c>
      <c r="L20" s="262"/>
    </row>
    <row r="21" spans="2:15" x14ac:dyDescent="0.3">
      <c r="B21" s="702"/>
      <c r="C21" s="702"/>
      <c r="D21" s="247"/>
      <c r="E21" s="247"/>
      <c r="F21" s="247"/>
      <c r="G21" s="249"/>
      <c r="H21" s="251"/>
      <c r="I21" s="254"/>
      <c r="J21" s="278"/>
    </row>
    <row r="22" spans="2:15" x14ac:dyDescent="0.3">
      <c r="B22" s="703" t="s">
        <v>2419</v>
      </c>
      <c r="C22" s="703"/>
      <c r="D22" s="703"/>
      <c r="E22" s="246"/>
      <c r="F22" s="247"/>
      <c r="G22" s="249"/>
      <c r="H22" s="248">
        <f>SUM(H23:H25)</f>
        <v>35886327.490000002</v>
      </c>
      <c r="I22" s="248">
        <f>SUM(I23:I25)</f>
        <v>67568401.679999992</v>
      </c>
      <c r="J22" s="279"/>
      <c r="K22" s="261"/>
    </row>
    <row r="23" spans="2:15" x14ac:dyDescent="0.3">
      <c r="B23" s="702"/>
      <c r="C23" s="702"/>
      <c r="D23" s="702" t="s">
        <v>2420</v>
      </c>
      <c r="E23" s="702"/>
      <c r="F23" s="702"/>
      <c r="G23" s="249">
        <v>10</v>
      </c>
      <c r="H23" s="255">
        <f>SUM('BALANCETE 2022'!F165)</f>
        <v>7492499.2999999998</v>
      </c>
      <c r="I23" s="252">
        <f>SUM('BALANCETE 2021'!I216)</f>
        <v>6256695.2999999998</v>
      </c>
      <c r="J23" s="277">
        <f>I23-H23</f>
        <v>-1235804</v>
      </c>
      <c r="K23" s="264" t="s">
        <v>2421</v>
      </c>
    </row>
    <row r="24" spans="2:15" x14ac:dyDescent="0.3">
      <c r="B24" s="702"/>
      <c r="C24" s="702"/>
      <c r="D24" s="702" t="s">
        <v>2422</v>
      </c>
      <c r="E24" s="702"/>
      <c r="F24" s="247"/>
      <c r="G24" s="249" t="s">
        <v>627</v>
      </c>
      <c r="H24" s="255">
        <f>SUM('BALANCETE 2022'!F172)</f>
        <v>52634.400000000001</v>
      </c>
      <c r="I24" s="252">
        <f>SUM('BALANCETE 2021'!I223)</f>
        <v>52634.400000000001</v>
      </c>
      <c r="J24" s="252">
        <f>I24-H24</f>
        <v>0</v>
      </c>
    </row>
    <row r="25" spans="2:15" x14ac:dyDescent="0.3">
      <c r="B25" s="702"/>
      <c r="C25" s="702"/>
      <c r="D25" s="702" t="s">
        <v>2423</v>
      </c>
      <c r="E25" s="702"/>
      <c r="F25" s="247"/>
      <c r="G25" s="249">
        <v>11</v>
      </c>
      <c r="H25" s="255">
        <f>SUM('BALANCETE 2022'!F184)</f>
        <v>28341193.789999999</v>
      </c>
      <c r="I25" s="252">
        <f>SUM('BALANCETE 2021'!I235)</f>
        <v>61259071.979999997</v>
      </c>
      <c r="J25" s="281">
        <f>I25-H25</f>
        <v>32917878.189999998</v>
      </c>
      <c r="N25" s="2">
        <v>-376090.91</v>
      </c>
      <c r="O25" s="254">
        <f>J25+N25</f>
        <v>32541787.279999997</v>
      </c>
    </row>
    <row r="26" spans="2:15" x14ac:dyDescent="0.3">
      <c r="B26" s="247"/>
      <c r="C26" s="247"/>
      <c r="D26" s="247"/>
      <c r="E26" s="247"/>
      <c r="F26" s="247"/>
      <c r="G26" s="249"/>
      <c r="H26" s="256"/>
      <c r="I26" s="252"/>
      <c r="J26" s="252"/>
      <c r="K26" s="261"/>
    </row>
    <row r="27" spans="2:15" x14ac:dyDescent="0.3">
      <c r="B27" s="703" t="s">
        <v>2424</v>
      </c>
      <c r="C27" s="703"/>
      <c r="D27" s="703"/>
      <c r="E27" s="246"/>
      <c r="F27" s="247"/>
      <c r="G27" s="247"/>
      <c r="H27" s="248">
        <f>H14+H22</f>
        <v>58488220.680000007</v>
      </c>
      <c r="I27" s="248">
        <f>I22+I14</f>
        <v>91091292.627999991</v>
      </c>
      <c r="J27" s="248">
        <f>SUM(J14:J25)</f>
        <v>32603071.947999999</v>
      </c>
      <c r="K27" s="263">
        <f>I27-H27</f>
        <v>32603071.947999984</v>
      </c>
    </row>
    <row r="28" spans="2:15" x14ac:dyDescent="0.3">
      <c r="B28" s="703"/>
      <c r="C28" s="703"/>
      <c r="D28" s="703"/>
      <c r="E28" s="703"/>
      <c r="F28" s="703"/>
      <c r="G28" s="705"/>
      <c r="H28" s="257"/>
      <c r="I28" s="706">
        <f>SUM(I31:I36)-(I36)</f>
        <v>34168771.090000004</v>
      </c>
      <c r="J28" s="248"/>
    </row>
    <row r="29" spans="2:15" x14ac:dyDescent="0.3">
      <c r="B29" s="703" t="s">
        <v>2425</v>
      </c>
      <c r="C29" s="703"/>
      <c r="D29" s="703"/>
      <c r="E29" s="703"/>
      <c r="F29" s="703"/>
      <c r="G29" s="705"/>
      <c r="H29" s="258">
        <f>SUM(H31:H35)</f>
        <v>36773048.050000004</v>
      </c>
      <c r="I29" s="706"/>
      <c r="J29" s="248"/>
    </row>
    <row r="30" spans="2:15" x14ac:dyDescent="0.3">
      <c r="B30" s="703" t="s">
        <v>2407</v>
      </c>
      <c r="C30" s="703"/>
      <c r="D30" s="703"/>
      <c r="F30" s="703"/>
      <c r="G30" s="705"/>
      <c r="H30" s="258"/>
      <c r="I30" s="706"/>
      <c r="J30" s="248"/>
    </row>
    <row r="31" spans="2:15" x14ac:dyDescent="0.3">
      <c r="B31" s="702"/>
      <c r="C31" s="702"/>
      <c r="D31" s="702" t="s">
        <v>2426</v>
      </c>
      <c r="E31" s="702"/>
      <c r="F31" s="247"/>
      <c r="G31" s="249">
        <v>12</v>
      </c>
      <c r="H31" s="251">
        <f>-SUM('BALANCETE 2022'!F269)</f>
        <v>22911739.98</v>
      </c>
      <c r="I31" s="252">
        <f>SUM('BALANCETE 2021'!I311)</f>
        <v>22361297.760000002</v>
      </c>
      <c r="J31" s="277">
        <f>H31-I31</f>
        <v>550442.21999999881</v>
      </c>
      <c r="K31" s="264" t="s">
        <v>2427</v>
      </c>
    </row>
    <row r="32" spans="2:15" x14ac:dyDescent="0.3">
      <c r="B32" s="702"/>
      <c r="C32" s="702"/>
      <c r="D32" s="702" t="s">
        <v>2428</v>
      </c>
      <c r="E32" s="702"/>
      <c r="F32" s="702"/>
      <c r="G32" s="249">
        <v>13</v>
      </c>
      <c r="H32" s="251">
        <f>-SUM('BALANCETE 2022'!F383+'BALANCETE 2022'!F435)</f>
        <v>1088958.8800000001</v>
      </c>
      <c r="I32" s="252">
        <f>SUM('BALANCETE 2021'!I423+'BALANCETE 2021'!I476)</f>
        <v>1032217.08</v>
      </c>
      <c r="J32" s="277">
        <f>H32-I32</f>
        <v>56741.800000000163</v>
      </c>
      <c r="K32" s="264" t="s">
        <v>2429</v>
      </c>
    </row>
    <row r="33" spans="2:12" x14ac:dyDescent="0.3">
      <c r="B33" s="702"/>
      <c r="C33" s="702"/>
      <c r="D33" s="702" t="s">
        <v>2430</v>
      </c>
      <c r="E33" s="702"/>
      <c r="F33" s="702"/>
      <c r="G33" s="249">
        <v>14</v>
      </c>
      <c r="H33" s="251">
        <f>-SUM('BALANCETE 2022'!F402)</f>
        <v>1157924.8500000001</v>
      </c>
      <c r="I33" s="252">
        <f>SUM('BALANCETE 2021'!I441)</f>
        <v>913935.89</v>
      </c>
      <c r="J33" s="277">
        <f>H33-I33</f>
        <v>243988.96000000008</v>
      </c>
      <c r="K33" s="264" t="s">
        <v>2431</v>
      </c>
    </row>
    <row r="34" spans="2:12" x14ac:dyDescent="0.3">
      <c r="B34" s="702"/>
      <c r="C34" s="702"/>
      <c r="D34" s="702" t="s">
        <v>2432</v>
      </c>
      <c r="E34" s="702"/>
      <c r="F34" s="702"/>
      <c r="G34" s="249">
        <v>15</v>
      </c>
      <c r="H34" s="251">
        <f>-SUM('BALANCETE 2022'!F420)</f>
        <v>8816074.5700000003</v>
      </c>
      <c r="I34" s="252">
        <f>SUM('BALANCETE 2021'!I460)</f>
        <v>6020890.9400000004</v>
      </c>
      <c r="J34" s="277">
        <f>H34-I34</f>
        <v>2795183.63</v>
      </c>
      <c r="K34" s="264" t="s">
        <v>2433</v>
      </c>
    </row>
    <row r="35" spans="2:12" x14ac:dyDescent="0.3">
      <c r="B35" s="702"/>
      <c r="C35" s="702"/>
      <c r="D35" s="702" t="s">
        <v>2434</v>
      </c>
      <c r="E35" s="702"/>
      <c r="F35" s="247"/>
      <c r="G35" s="249">
        <v>16</v>
      </c>
      <c r="H35" s="251">
        <f>-SUM('BALANCETE 2022'!F425+'BALANCETE 2022'!F429+'BALANCETE 2022'!F441)</f>
        <v>2798349.77</v>
      </c>
      <c r="I35" s="252">
        <f>SUM('BALANCETE 2021'!I466+'BALANCETE 2021'!I470+'BALANCETE 2021'!I482)</f>
        <v>3840429.42</v>
      </c>
      <c r="J35" s="277">
        <f>H35-I35</f>
        <v>-1042079.6499999999</v>
      </c>
      <c r="K35" s="264" t="s">
        <v>2427</v>
      </c>
      <c r="L35" s="262"/>
    </row>
    <row r="36" spans="2:12" x14ac:dyDescent="0.3">
      <c r="B36" s="702"/>
      <c r="C36" s="702"/>
      <c r="D36" s="247"/>
      <c r="E36" s="247"/>
      <c r="F36" s="247"/>
      <c r="G36" s="249"/>
      <c r="H36" s="251"/>
      <c r="I36" s="254"/>
    </row>
    <row r="37" spans="2:12" x14ac:dyDescent="0.3">
      <c r="B37" s="703" t="s">
        <v>2435</v>
      </c>
      <c r="C37" s="703"/>
      <c r="D37" s="703"/>
      <c r="E37" s="703"/>
      <c r="F37" s="247"/>
      <c r="G37" s="249"/>
      <c r="H37" s="248">
        <f>SUM(H38:H41)</f>
        <v>48715220.960000001</v>
      </c>
      <c r="I37" s="248">
        <f>SUM(I38:I41)</f>
        <v>55060252.469999991</v>
      </c>
      <c r="J37" s="248"/>
    </row>
    <row r="38" spans="2:12" x14ac:dyDescent="0.3">
      <c r="B38" s="702"/>
      <c r="C38" s="702"/>
      <c r="D38" s="702" t="s">
        <v>2436</v>
      </c>
      <c r="E38" s="702"/>
      <c r="F38" s="702"/>
      <c r="G38" s="249">
        <v>17</v>
      </c>
      <c r="H38" s="251">
        <f>-SUM('BALANCETE 2022'!F447+'BALANCETE 2022'!F458)</f>
        <v>1807153.98</v>
      </c>
      <c r="I38" s="252">
        <f>SUM('BALANCETE 2021'!I489+'BALANCETE 2021'!I500)</f>
        <v>2008093.68</v>
      </c>
      <c r="J38" s="277">
        <f>H38-I38</f>
        <v>-200939.69999999995</v>
      </c>
      <c r="K38" s="264" t="s">
        <v>2437</v>
      </c>
    </row>
    <row r="39" spans="2:12" x14ac:dyDescent="0.3">
      <c r="B39" s="702"/>
      <c r="C39" s="702"/>
      <c r="D39" s="702" t="s">
        <v>2438</v>
      </c>
      <c r="E39" s="702"/>
      <c r="F39" s="702"/>
      <c r="G39" s="249">
        <v>18</v>
      </c>
      <c r="H39" s="251">
        <f>-SUM('BALANCETE 2022'!F449)</f>
        <v>2094201.41</v>
      </c>
      <c r="I39" s="252">
        <f>SUM('BALANCETE 2021'!I492)</f>
        <v>1855688.23</v>
      </c>
      <c r="J39" s="277">
        <f>H39-I39</f>
        <v>238513.17999999993</v>
      </c>
      <c r="K39" s="264" t="s">
        <v>2437</v>
      </c>
    </row>
    <row r="40" spans="2:12" x14ac:dyDescent="0.3">
      <c r="B40" s="702"/>
      <c r="C40" s="702"/>
      <c r="D40" s="702" t="s">
        <v>2439</v>
      </c>
      <c r="E40" s="702"/>
      <c r="F40" s="247"/>
      <c r="G40" s="249">
        <v>19</v>
      </c>
      <c r="H40" s="251">
        <f>-SUM('BALANCETE 2022'!F460)</f>
        <v>44813865.57</v>
      </c>
      <c r="I40" s="252">
        <f>SUM('BALANCETE 2021'!I502)</f>
        <v>37731109.909999996</v>
      </c>
      <c r="J40" s="277">
        <f>H40-I40</f>
        <v>7082755.6600000039</v>
      </c>
      <c r="K40" s="264" t="s">
        <v>2437</v>
      </c>
    </row>
    <row r="41" spans="2:12" x14ac:dyDescent="0.3">
      <c r="B41" s="247"/>
      <c r="C41" s="247"/>
      <c r="D41" s="702" t="s">
        <v>2440</v>
      </c>
      <c r="E41" s="702"/>
      <c r="F41" s="247"/>
      <c r="G41" s="249" t="s">
        <v>1525</v>
      </c>
      <c r="H41" s="4">
        <f>-SUM('BALANCETE 2022'!F465)</f>
        <v>0</v>
      </c>
      <c r="I41" s="252">
        <f>SUM('BALANCETE 2021'!I507)</f>
        <v>13465360.65</v>
      </c>
      <c r="J41" s="277">
        <f>H41-I41</f>
        <v>-13465360.65</v>
      </c>
      <c r="K41" s="265"/>
    </row>
    <row r="42" spans="2:12" x14ac:dyDescent="0.3">
      <c r="B42" s="247"/>
      <c r="C42" s="247"/>
      <c r="D42" s="247"/>
      <c r="E42" s="247"/>
      <c r="F42" s="247"/>
      <c r="G42" s="249"/>
      <c r="H42" s="251"/>
      <c r="I42" s="252"/>
      <c r="J42" s="252"/>
    </row>
    <row r="43" spans="2:12" x14ac:dyDescent="0.3">
      <c r="B43" s="703" t="s">
        <v>2442</v>
      </c>
      <c r="C43" s="703"/>
      <c r="D43" s="703"/>
      <c r="E43" s="703"/>
      <c r="F43" s="247"/>
      <c r="G43" s="249"/>
      <c r="H43" s="248">
        <f>SUM(H45:H48)</f>
        <v>-27000048.32999998</v>
      </c>
      <c r="I43" s="248">
        <f>SUM(I45:I48)</f>
        <v>1862269.0699999928</v>
      </c>
      <c r="J43" s="248"/>
      <c r="K43" s="263">
        <f>I43-H43</f>
        <v>28862317.399999972</v>
      </c>
    </row>
    <row r="44" spans="2:12" x14ac:dyDescent="0.3">
      <c r="B44" s="246"/>
      <c r="C44" s="246"/>
      <c r="D44" s="246"/>
      <c r="E44" s="246"/>
      <c r="F44" s="247"/>
      <c r="G44" s="249"/>
      <c r="H44" s="248"/>
      <c r="I44" s="248"/>
      <c r="J44" s="248"/>
    </row>
    <row r="45" spans="2:12" x14ac:dyDescent="0.3">
      <c r="B45" s="702"/>
      <c r="C45" s="702"/>
      <c r="D45" s="702" t="s">
        <v>2443</v>
      </c>
      <c r="E45" s="702"/>
      <c r="F45" s="247"/>
      <c r="G45" s="249">
        <v>20</v>
      </c>
      <c r="H45" s="266">
        <f>-SUM('BALANCETE 2022'!F470+'BALANCETE 2022'!F485)</f>
        <v>223483746.68000001</v>
      </c>
      <c r="I45" s="252">
        <f>SUM('BALANCETE 2021'!I515-'BALANCETE 2021'!I535)</f>
        <v>223483746.68000001</v>
      </c>
      <c r="J45" s="252">
        <f>H45-I45</f>
        <v>0</v>
      </c>
    </row>
    <row r="46" spans="2:12" x14ac:dyDescent="0.3">
      <c r="B46" s="702"/>
      <c r="C46" s="702"/>
      <c r="D46" s="247" t="s">
        <v>2059</v>
      </c>
      <c r="E46" s="247"/>
      <c r="F46" s="247"/>
      <c r="G46" s="267">
        <v>21</v>
      </c>
      <c r="H46" s="4">
        <f>-SUM('BALANCETE 2022'!F475)</f>
        <v>0</v>
      </c>
      <c r="I46" s="252">
        <f>SUM('BALANCETE 2021'!I520)</f>
        <v>15177736.26</v>
      </c>
      <c r="J46" s="252">
        <f>H46-I46</f>
        <v>-15177736.26</v>
      </c>
      <c r="K46" s="713">
        <f>SUM(J46:J48)</f>
        <v>-28862317.39999998</v>
      </c>
    </row>
    <row r="47" spans="2:12" x14ac:dyDescent="0.3">
      <c r="B47" s="702"/>
      <c r="C47" s="702"/>
      <c r="D47" s="702" t="s">
        <v>2444</v>
      </c>
      <c r="E47" s="702"/>
      <c r="F47" s="702"/>
      <c r="G47" s="267">
        <v>22</v>
      </c>
      <c r="H47" s="270">
        <f>SUM(-'BALANCETE 2022'!F479)</f>
        <v>-233160588.44999999</v>
      </c>
      <c r="I47" s="74">
        <f>SUM(-'BALANCETE 2021'!I528)</f>
        <v>-230516030.16</v>
      </c>
      <c r="J47" s="252">
        <f>H47-I47</f>
        <v>-2644558.2899999917</v>
      </c>
      <c r="K47" s="713"/>
    </row>
    <row r="48" spans="2:12" x14ac:dyDescent="0.3">
      <c r="B48" s="247"/>
      <c r="C48" s="247"/>
      <c r="D48" s="710" t="s">
        <v>3352</v>
      </c>
      <c r="E48" s="710"/>
      <c r="F48" s="710"/>
      <c r="G48" s="267">
        <v>23</v>
      </c>
      <c r="H48" s="74">
        <f>DRE!D29</f>
        <v>-17323206.559999999</v>
      </c>
      <c r="I48" s="74">
        <f>DRE!F29</f>
        <v>-6283183.7100000083</v>
      </c>
      <c r="J48" s="251">
        <f>-I48+H48</f>
        <v>-11040022.84999999</v>
      </c>
    </row>
    <row r="49" spans="2:12" x14ac:dyDescent="0.3">
      <c r="B49" s="703" t="s">
        <v>2445</v>
      </c>
      <c r="C49" s="703"/>
      <c r="D49" s="703"/>
      <c r="E49" s="703"/>
      <c r="F49" s="247"/>
      <c r="G49" s="247"/>
      <c r="H49" s="248">
        <f>H29+H37+H43</f>
        <v>58488220.680000022</v>
      </c>
      <c r="I49" s="248">
        <f>SUM(I28+I37+I43)</f>
        <v>91091292.629999995</v>
      </c>
      <c r="J49" s="248">
        <f>SUM(J29:J48)</f>
        <v>-32603071.949999981</v>
      </c>
      <c r="K49" s="263"/>
      <c r="L49" s="2"/>
    </row>
    <row r="50" spans="2:12" x14ac:dyDescent="0.3">
      <c r="B50" s="704"/>
      <c r="C50" s="704"/>
      <c r="I50" s="254"/>
      <c r="J50" s="254"/>
      <c r="K50" s="263"/>
      <c r="L50" s="2"/>
    </row>
    <row r="51" spans="2:12" x14ac:dyDescent="0.3">
      <c r="H51" s="254">
        <f>H27-H49</f>
        <v>0</v>
      </c>
      <c r="I51" s="254">
        <f>I27-I49</f>
        <v>-2.0000040531158447E-3</v>
      </c>
      <c r="K51" s="275">
        <f>H48</f>
        <v>-17323206.559999999</v>
      </c>
      <c r="L51" s="3" t="s">
        <v>3353</v>
      </c>
    </row>
    <row r="53" spans="2:12" x14ac:dyDescent="0.3">
      <c r="B53" s="708" t="s">
        <v>2446</v>
      </c>
      <c r="C53" s="708"/>
      <c r="D53" s="708"/>
      <c r="E53" s="708"/>
      <c r="F53" s="708"/>
      <c r="G53" s="708"/>
      <c r="H53" s="708"/>
      <c r="I53" s="708"/>
      <c r="J53" s="708"/>
      <c r="K53" s="268"/>
      <c r="L53" s="2"/>
    </row>
    <row r="54" spans="2:12" x14ac:dyDescent="0.3">
      <c r="B54" s="708" t="s">
        <v>2447</v>
      </c>
      <c r="C54" s="708"/>
      <c r="D54" s="708"/>
      <c r="E54" s="708"/>
      <c r="F54" s="708"/>
      <c r="G54" s="708"/>
      <c r="H54" s="708"/>
      <c r="I54" s="708"/>
      <c r="J54" s="708"/>
      <c r="K54" s="263">
        <f>+K51-K46</f>
        <v>11539110.839999981</v>
      </c>
      <c r="L54" s="2"/>
    </row>
    <row r="55" spans="2:12" x14ac:dyDescent="0.3">
      <c r="B55" s="709" t="s">
        <v>2448</v>
      </c>
      <c r="C55" s="709"/>
      <c r="D55" s="709"/>
      <c r="E55" s="709"/>
      <c r="F55" s="709"/>
      <c r="G55" s="709"/>
      <c r="H55" s="709"/>
      <c r="I55" s="709"/>
      <c r="J55" s="709"/>
      <c r="L55" s="2"/>
    </row>
    <row r="70" spans="2:12" x14ac:dyDescent="0.3">
      <c r="B70" s="707"/>
      <c r="C70" s="707"/>
      <c r="D70" s="707"/>
      <c r="E70" s="707"/>
      <c r="F70" s="707"/>
      <c r="G70" s="707"/>
      <c r="H70" s="707"/>
      <c r="I70" s="707"/>
      <c r="L70" s="2"/>
    </row>
    <row r="71" spans="2:12" x14ac:dyDescent="0.3">
      <c r="B71" s="707"/>
      <c r="C71" s="707"/>
      <c r="D71" s="707"/>
      <c r="E71" s="707"/>
      <c r="F71" s="707"/>
      <c r="G71" s="707"/>
      <c r="H71" s="707"/>
      <c r="I71" s="707"/>
      <c r="L71" s="2"/>
    </row>
    <row r="72" spans="2:12" x14ac:dyDescent="0.3">
      <c r="B72" s="3"/>
      <c r="C72" s="3"/>
      <c r="D72" s="3"/>
      <c r="E72" s="3"/>
      <c r="F72" s="3"/>
      <c r="G72" s="3"/>
      <c r="H72" s="3"/>
      <c r="I72" s="3"/>
      <c r="L72" s="2"/>
    </row>
    <row r="73" spans="2:12" x14ac:dyDescent="0.3">
      <c r="B73" s="707"/>
      <c r="C73" s="707"/>
      <c r="D73" s="707"/>
      <c r="E73" s="707"/>
      <c r="F73" s="707"/>
      <c r="G73" s="707"/>
      <c r="H73" s="707"/>
      <c r="I73" s="707"/>
      <c r="L73" s="2"/>
    </row>
    <row r="74" spans="2:12" x14ac:dyDescent="0.3">
      <c r="B74" s="707"/>
      <c r="C74" s="707"/>
      <c r="D74" s="707"/>
      <c r="E74" s="707"/>
      <c r="F74" s="707"/>
      <c r="G74" s="707"/>
      <c r="H74" s="707"/>
      <c r="I74" s="707"/>
      <c r="L74" s="2"/>
    </row>
    <row r="75" spans="2:12" x14ac:dyDescent="0.3">
      <c r="B75" s="3"/>
      <c r="C75" s="3"/>
      <c r="D75" s="3"/>
      <c r="E75" s="3"/>
      <c r="F75" s="3"/>
      <c r="G75" s="3"/>
      <c r="H75" s="3"/>
      <c r="I75" s="3"/>
      <c r="L75" s="2"/>
    </row>
    <row r="76" spans="2:12" x14ac:dyDescent="0.3">
      <c r="B76" s="703"/>
      <c r="C76" s="703"/>
      <c r="D76" s="246"/>
      <c r="E76" s="247"/>
      <c r="F76" s="247"/>
      <c r="G76" s="249"/>
      <c r="H76" s="250"/>
      <c r="I76" s="249"/>
      <c r="L76" s="2"/>
    </row>
    <row r="77" spans="2:12" x14ac:dyDescent="0.3">
      <c r="B77" s="703"/>
      <c r="C77" s="703"/>
      <c r="D77" s="703"/>
      <c r="E77" s="247"/>
      <c r="F77" s="247"/>
      <c r="G77" s="249"/>
      <c r="H77" s="248"/>
      <c r="I77" s="248"/>
      <c r="L77" s="2"/>
    </row>
    <row r="78" spans="2:12" x14ac:dyDescent="0.3">
      <c r="B78" s="702"/>
      <c r="C78" s="702"/>
      <c r="D78" s="702"/>
      <c r="E78" s="702"/>
      <c r="F78" s="702"/>
      <c r="G78" s="249"/>
      <c r="H78" s="251"/>
      <c r="I78" s="252"/>
      <c r="L78" s="2"/>
    </row>
    <row r="79" spans="2:12" x14ac:dyDescent="0.3">
      <c r="B79" s="253"/>
      <c r="D79" s="702"/>
      <c r="E79" s="702"/>
      <c r="F79" s="247"/>
      <c r="G79" s="249"/>
      <c r="H79" s="251"/>
      <c r="I79" s="252"/>
      <c r="L79" s="2"/>
    </row>
    <row r="80" spans="2:12" x14ac:dyDescent="0.3">
      <c r="B80" s="704"/>
      <c r="C80" s="704"/>
      <c r="D80" s="702"/>
      <c r="E80" s="702"/>
      <c r="F80" s="247"/>
      <c r="G80" s="249"/>
      <c r="H80" s="251"/>
      <c r="I80" s="252"/>
      <c r="L80" s="2"/>
    </row>
    <row r="81" spans="2:12" x14ac:dyDescent="0.3">
      <c r="D81" s="247"/>
      <c r="E81" s="247"/>
      <c r="F81" s="247"/>
      <c r="G81" s="249"/>
      <c r="H81" s="251"/>
      <c r="I81" s="252"/>
      <c r="L81" s="2"/>
    </row>
    <row r="82" spans="2:12" x14ac:dyDescent="0.3">
      <c r="B82" s="702"/>
      <c r="C82" s="702"/>
      <c r="D82" s="702"/>
      <c r="E82" s="702"/>
      <c r="F82" s="247"/>
      <c r="G82" s="249"/>
      <c r="H82" s="251"/>
      <c r="I82" s="252"/>
      <c r="L82" s="2"/>
    </row>
    <row r="83" spans="2:12" x14ac:dyDescent="0.3">
      <c r="B83" s="702"/>
      <c r="C83" s="702"/>
      <c r="D83" s="247"/>
      <c r="E83" s="247"/>
      <c r="F83" s="247"/>
      <c r="G83" s="249"/>
      <c r="H83" s="251"/>
      <c r="I83" s="252"/>
      <c r="L83" s="2"/>
    </row>
    <row r="84" spans="2:12" x14ac:dyDescent="0.3">
      <c r="B84" s="702"/>
      <c r="C84" s="702"/>
      <c r="D84" s="702"/>
      <c r="E84" s="702"/>
      <c r="F84" s="247"/>
      <c r="G84" s="249"/>
      <c r="H84" s="251"/>
      <c r="I84" s="252"/>
      <c r="L84" s="2"/>
    </row>
    <row r="85" spans="2:12" x14ac:dyDescent="0.3">
      <c r="B85" s="702"/>
      <c r="C85" s="702"/>
      <c r="D85" s="247"/>
      <c r="E85" s="247"/>
      <c r="F85" s="247"/>
      <c r="G85" s="249"/>
      <c r="H85" s="251"/>
      <c r="I85" s="254"/>
      <c r="L85" s="2"/>
    </row>
    <row r="86" spans="2:12" x14ac:dyDescent="0.3">
      <c r="B86" s="703"/>
      <c r="C86" s="703"/>
      <c r="D86" s="703"/>
      <c r="E86" s="246"/>
      <c r="F86" s="247"/>
      <c r="G86" s="249"/>
      <c r="H86" s="248"/>
      <c r="I86" s="248"/>
      <c r="L86" s="2"/>
    </row>
    <row r="87" spans="2:12" x14ac:dyDescent="0.3">
      <c r="B87" s="702"/>
      <c r="C87" s="702"/>
      <c r="D87" s="702"/>
      <c r="E87" s="702"/>
      <c r="F87" s="702"/>
      <c r="G87" s="249"/>
      <c r="H87" s="255"/>
      <c r="I87" s="252"/>
      <c r="L87" s="2"/>
    </row>
    <row r="88" spans="2:12" x14ac:dyDescent="0.3">
      <c r="B88" s="702"/>
      <c r="C88" s="702"/>
      <c r="D88" s="702"/>
      <c r="E88" s="702"/>
      <c r="F88" s="247"/>
      <c r="G88" s="249"/>
      <c r="H88" s="255"/>
      <c r="I88" s="252"/>
      <c r="L88" s="2"/>
    </row>
    <row r="89" spans="2:12" x14ac:dyDescent="0.3">
      <c r="B89" s="702"/>
      <c r="C89" s="702"/>
      <c r="D89" s="702"/>
      <c r="E89" s="702"/>
      <c r="F89" s="247"/>
      <c r="G89" s="249"/>
      <c r="H89" s="255"/>
      <c r="I89" s="252"/>
      <c r="L89" s="2"/>
    </row>
    <row r="90" spans="2:12" x14ac:dyDescent="0.3">
      <c r="B90" s="247"/>
      <c r="C90" s="247"/>
      <c r="D90" s="247"/>
      <c r="E90" s="247"/>
      <c r="F90" s="247"/>
      <c r="G90" s="249"/>
      <c r="H90" s="256"/>
      <c r="I90" s="252"/>
      <c r="L90" s="2"/>
    </row>
    <row r="91" spans="2:12" x14ac:dyDescent="0.3">
      <c r="B91" s="703"/>
      <c r="C91" s="703"/>
      <c r="D91" s="703"/>
      <c r="E91" s="246"/>
      <c r="F91" s="247"/>
      <c r="G91" s="247"/>
      <c r="H91" s="248"/>
      <c r="I91" s="248"/>
      <c r="L91" s="2"/>
    </row>
    <row r="92" spans="2:12" x14ac:dyDescent="0.3">
      <c r="B92" s="703"/>
      <c r="C92" s="703"/>
      <c r="D92" s="703"/>
      <c r="E92" s="703"/>
      <c r="F92" s="703"/>
      <c r="G92" s="705"/>
      <c r="H92" s="257"/>
      <c r="I92" s="706"/>
      <c r="L92" s="2"/>
    </row>
    <row r="93" spans="2:12" x14ac:dyDescent="0.3">
      <c r="B93" s="703"/>
      <c r="C93" s="703"/>
      <c r="D93" s="703"/>
      <c r="E93" s="703"/>
      <c r="F93" s="703"/>
      <c r="G93" s="705"/>
      <c r="H93" s="258"/>
      <c r="I93" s="706"/>
      <c r="L93" s="2"/>
    </row>
    <row r="94" spans="2:12" x14ac:dyDescent="0.3">
      <c r="F94" s="703"/>
      <c r="G94" s="705"/>
      <c r="H94" s="258"/>
      <c r="I94" s="706"/>
      <c r="L94" s="2"/>
    </row>
    <row r="95" spans="2:12" x14ac:dyDescent="0.3">
      <c r="B95" s="702"/>
      <c r="C95" s="702"/>
      <c r="D95" s="702"/>
      <c r="E95" s="702"/>
      <c r="F95" s="247"/>
      <c r="G95" s="249"/>
      <c r="H95" s="251"/>
      <c r="I95" s="252"/>
      <c r="L95" s="2"/>
    </row>
    <row r="96" spans="2:12" x14ac:dyDescent="0.3">
      <c r="B96" s="702"/>
      <c r="C96" s="702"/>
      <c r="D96" s="702"/>
      <c r="E96" s="702"/>
      <c r="F96" s="702"/>
      <c r="G96" s="249"/>
      <c r="H96" s="251"/>
      <c r="I96" s="252"/>
      <c r="L96" s="2"/>
    </row>
    <row r="97" spans="2:12" x14ac:dyDescent="0.3">
      <c r="B97" s="702"/>
      <c r="C97" s="702"/>
      <c r="D97" s="702"/>
      <c r="E97" s="702"/>
      <c r="F97" s="702"/>
      <c r="G97" s="249"/>
      <c r="H97" s="251"/>
      <c r="I97" s="252"/>
      <c r="L97" s="2"/>
    </row>
    <row r="98" spans="2:12" x14ac:dyDescent="0.3">
      <c r="B98" s="702"/>
      <c r="C98" s="702"/>
      <c r="D98" s="702"/>
      <c r="E98" s="702"/>
      <c r="F98" s="702"/>
      <c r="G98" s="249"/>
      <c r="H98" s="251"/>
      <c r="I98" s="252"/>
      <c r="L98" s="2"/>
    </row>
    <row r="99" spans="2:12" x14ac:dyDescent="0.3">
      <c r="B99" s="702"/>
      <c r="C99" s="702"/>
      <c r="D99" s="702"/>
      <c r="E99" s="702"/>
      <c r="F99" s="247"/>
      <c r="G99" s="249"/>
      <c r="H99" s="251"/>
      <c r="I99" s="252"/>
      <c r="L99" s="2"/>
    </row>
    <row r="100" spans="2:12" x14ac:dyDescent="0.3">
      <c r="B100" s="702"/>
      <c r="C100" s="702"/>
      <c r="D100" s="247"/>
      <c r="E100" s="247"/>
      <c r="F100" s="247"/>
      <c r="G100" s="249"/>
      <c r="H100" s="251"/>
      <c r="I100" s="254"/>
      <c r="L100" s="2"/>
    </row>
    <row r="101" spans="2:12" x14ac:dyDescent="0.3">
      <c r="B101" s="703"/>
      <c r="C101" s="703"/>
      <c r="D101" s="703"/>
      <c r="E101" s="703"/>
      <c r="F101" s="247"/>
      <c r="G101" s="249"/>
      <c r="H101" s="248"/>
      <c r="I101" s="248"/>
      <c r="L101" s="2"/>
    </row>
    <row r="102" spans="2:12" x14ac:dyDescent="0.3">
      <c r="B102" s="702"/>
      <c r="C102" s="702"/>
      <c r="D102" s="702"/>
      <c r="E102" s="702"/>
      <c r="F102" s="702"/>
      <c r="G102" s="249"/>
      <c r="H102" s="251"/>
      <c r="I102" s="252"/>
      <c r="L102" s="2"/>
    </row>
    <row r="103" spans="2:12" x14ac:dyDescent="0.3">
      <c r="B103" s="702"/>
      <c r="C103" s="702"/>
      <c r="D103" s="702"/>
      <c r="E103" s="702"/>
      <c r="F103" s="702"/>
      <c r="G103" s="249"/>
      <c r="H103" s="251"/>
      <c r="I103" s="252"/>
      <c r="L103" s="2"/>
    </row>
    <row r="104" spans="2:12" x14ac:dyDescent="0.3">
      <c r="B104" s="702"/>
      <c r="C104" s="702"/>
      <c r="D104" s="702"/>
      <c r="E104" s="702"/>
      <c r="F104" s="247"/>
      <c r="G104" s="249"/>
      <c r="H104" s="251"/>
      <c r="I104" s="252"/>
      <c r="L104" s="2"/>
    </row>
    <row r="105" spans="2:12" x14ac:dyDescent="0.3">
      <c r="B105" s="703"/>
      <c r="C105" s="703"/>
      <c r="D105" s="703"/>
      <c r="E105" s="703"/>
      <c r="F105" s="247"/>
      <c r="G105" s="249"/>
      <c r="H105" s="248"/>
      <c r="I105" s="248"/>
      <c r="L105" s="2"/>
    </row>
    <row r="106" spans="2:12" x14ac:dyDescent="0.3">
      <c r="B106" s="702"/>
      <c r="C106" s="702"/>
      <c r="D106" s="702"/>
      <c r="E106" s="702"/>
      <c r="F106" s="247"/>
      <c r="G106" s="249"/>
      <c r="H106" s="251"/>
      <c r="I106" s="252"/>
      <c r="L106" s="2"/>
    </row>
    <row r="107" spans="2:12" x14ac:dyDescent="0.3">
      <c r="B107" s="702"/>
      <c r="C107" s="702"/>
      <c r="D107" s="247"/>
      <c r="E107" s="247"/>
      <c r="F107" s="247"/>
      <c r="G107" s="269"/>
      <c r="H107" s="252"/>
      <c r="I107" s="252"/>
      <c r="L107" s="2"/>
    </row>
    <row r="108" spans="2:12" x14ac:dyDescent="0.3">
      <c r="B108" s="702"/>
      <c r="C108" s="702"/>
      <c r="D108" s="702"/>
      <c r="E108" s="702"/>
      <c r="F108" s="702"/>
      <c r="G108" s="269"/>
      <c r="H108" s="4"/>
      <c r="I108" s="4"/>
      <c r="L108" s="2"/>
    </row>
    <row r="109" spans="2:12" x14ac:dyDescent="0.3">
      <c r="B109" s="703"/>
      <c r="C109" s="703"/>
      <c r="D109" s="703"/>
      <c r="E109" s="703"/>
      <c r="F109" s="247"/>
      <c r="G109" s="247"/>
      <c r="H109" s="248"/>
      <c r="I109" s="248"/>
      <c r="L109" s="2"/>
    </row>
    <row r="110" spans="2:12" x14ac:dyDescent="0.3">
      <c r="B110" s="704"/>
      <c r="C110" s="704"/>
      <c r="I110" s="254"/>
      <c r="L110" s="2"/>
    </row>
    <row r="111" spans="2:12" x14ac:dyDescent="0.3">
      <c r="L111" s="2"/>
    </row>
    <row r="112" spans="2:12" x14ac:dyDescent="0.3">
      <c r="L112" s="2"/>
    </row>
    <row r="113" spans="11:11" s="2" customFormat="1" x14ac:dyDescent="0.3">
      <c r="K113" s="259"/>
    </row>
    <row r="114" spans="11:11" s="2" customFormat="1" x14ac:dyDescent="0.3">
      <c r="K114" s="259"/>
    </row>
    <row r="115" spans="11:11" s="2" customFormat="1" x14ac:dyDescent="0.3">
      <c r="K115" s="259"/>
    </row>
  </sheetData>
  <mergeCells count="120">
    <mergeCell ref="J8:K8"/>
    <mergeCell ref="K46:K47"/>
    <mergeCell ref="B7:I7"/>
    <mergeCell ref="B8:I8"/>
    <mergeCell ref="B10:I10"/>
    <mergeCell ref="B11:I11"/>
    <mergeCell ref="B13:C13"/>
    <mergeCell ref="B14:D14"/>
    <mergeCell ref="B19:C19"/>
    <mergeCell ref="B20:C20"/>
    <mergeCell ref="D20:E20"/>
    <mergeCell ref="B21:C21"/>
    <mergeCell ref="B22:D22"/>
    <mergeCell ref="B23:C23"/>
    <mergeCell ref="D23:F23"/>
    <mergeCell ref="B15:C15"/>
    <mergeCell ref="D15:F15"/>
    <mergeCell ref="D16:E16"/>
    <mergeCell ref="B17:C17"/>
    <mergeCell ref="D17:E17"/>
    <mergeCell ref="B18:C18"/>
    <mergeCell ref="D18:E18"/>
    <mergeCell ref="F28:F30"/>
    <mergeCell ref="G28:G30"/>
    <mergeCell ref="I28:I30"/>
    <mergeCell ref="B29:E29"/>
    <mergeCell ref="B31:C31"/>
    <mergeCell ref="D31:E31"/>
    <mergeCell ref="B24:C24"/>
    <mergeCell ref="D24:E24"/>
    <mergeCell ref="B25:C25"/>
    <mergeCell ref="D25:E25"/>
    <mergeCell ref="B27:D27"/>
    <mergeCell ref="B28:E28"/>
    <mergeCell ref="B30:D30"/>
    <mergeCell ref="B35:C35"/>
    <mergeCell ref="D35:E35"/>
    <mergeCell ref="B36:C36"/>
    <mergeCell ref="B37:E37"/>
    <mergeCell ref="B38:C38"/>
    <mergeCell ref="D38:F38"/>
    <mergeCell ref="B32:C32"/>
    <mergeCell ref="D32:F32"/>
    <mergeCell ref="B33:C33"/>
    <mergeCell ref="D33:F33"/>
    <mergeCell ref="B34:C34"/>
    <mergeCell ref="D34:F34"/>
    <mergeCell ref="B45:C45"/>
    <mergeCell ref="D45:E45"/>
    <mergeCell ref="B46:C46"/>
    <mergeCell ref="B47:C47"/>
    <mergeCell ref="D47:F47"/>
    <mergeCell ref="B49:E49"/>
    <mergeCell ref="B39:C39"/>
    <mergeCell ref="D39:F39"/>
    <mergeCell ref="B40:C40"/>
    <mergeCell ref="D40:E40"/>
    <mergeCell ref="D41:E41"/>
    <mergeCell ref="B43:E43"/>
    <mergeCell ref="D48:F48"/>
    <mergeCell ref="B73:I73"/>
    <mergeCell ref="B74:I74"/>
    <mergeCell ref="B76:C76"/>
    <mergeCell ref="B77:D77"/>
    <mergeCell ref="B78:C78"/>
    <mergeCell ref="D78:F78"/>
    <mergeCell ref="B50:C50"/>
    <mergeCell ref="B53:J53"/>
    <mergeCell ref="B54:J54"/>
    <mergeCell ref="B55:J55"/>
    <mergeCell ref="B70:I70"/>
    <mergeCell ref="B71:I71"/>
    <mergeCell ref="B84:C84"/>
    <mergeCell ref="D84:E84"/>
    <mergeCell ref="B85:C85"/>
    <mergeCell ref="B86:D86"/>
    <mergeCell ref="B87:C87"/>
    <mergeCell ref="D87:F87"/>
    <mergeCell ref="D79:E79"/>
    <mergeCell ref="B80:C80"/>
    <mergeCell ref="D80:E80"/>
    <mergeCell ref="B82:C82"/>
    <mergeCell ref="D82:E82"/>
    <mergeCell ref="B83:C83"/>
    <mergeCell ref="F92:F94"/>
    <mergeCell ref="G92:G94"/>
    <mergeCell ref="I92:I94"/>
    <mergeCell ref="B93:E93"/>
    <mergeCell ref="B95:C95"/>
    <mergeCell ref="D95:E95"/>
    <mergeCell ref="B88:C88"/>
    <mergeCell ref="D88:E88"/>
    <mergeCell ref="B89:C89"/>
    <mergeCell ref="D89:E89"/>
    <mergeCell ref="B91:D91"/>
    <mergeCell ref="B92:E92"/>
    <mergeCell ref="B99:C99"/>
    <mergeCell ref="D99:E99"/>
    <mergeCell ref="B100:C100"/>
    <mergeCell ref="B101:E101"/>
    <mergeCell ref="B102:C102"/>
    <mergeCell ref="D102:F102"/>
    <mergeCell ref="B96:C96"/>
    <mergeCell ref="D96:F96"/>
    <mergeCell ref="B97:C97"/>
    <mergeCell ref="D97:F97"/>
    <mergeCell ref="B98:C98"/>
    <mergeCell ref="D98:F98"/>
    <mergeCell ref="B107:C107"/>
    <mergeCell ref="B108:C108"/>
    <mergeCell ref="D108:F108"/>
    <mergeCell ref="B109:E109"/>
    <mergeCell ref="B110:C110"/>
    <mergeCell ref="B103:C103"/>
    <mergeCell ref="D103:F103"/>
    <mergeCell ref="B104:C104"/>
    <mergeCell ref="D104:E104"/>
    <mergeCell ref="B105:E105"/>
    <mergeCell ref="B106:C106"/>
    <mergeCell ref="D106:E106"/>
  </mergeCells>
  <conditionalFormatting sqref="G1:G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scale="7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5D6DC-946C-4870-A0BC-C9D78251481F}">
  <sheetPr>
    <tabColor rgb="FFFFFF00"/>
  </sheetPr>
  <dimension ref="A1:L92"/>
  <sheetViews>
    <sheetView showGridLines="0" workbookViewId="0">
      <selection activeCell="E22" sqref="E22"/>
    </sheetView>
  </sheetViews>
  <sheetFormatPr defaultRowHeight="14.4" x14ac:dyDescent="0.3"/>
  <cols>
    <col min="1" max="1" width="47.6640625" customWidth="1"/>
    <col min="2" max="2" width="4.88671875" bestFit="1" customWidth="1"/>
    <col min="3" max="3" width="6.44140625" customWidth="1"/>
    <col min="4" max="4" width="15" style="17" bestFit="1" customWidth="1"/>
    <col min="5" max="5" width="6.44140625" customWidth="1"/>
    <col min="6" max="6" width="15.109375" style="17" customWidth="1"/>
    <col min="7" max="7" width="6.44140625" customWidth="1"/>
    <col min="8" max="8" width="15" style="23" hidden="1" customWidth="1"/>
    <col min="9" max="9" width="0" hidden="1" customWidth="1"/>
    <col min="10" max="10" width="15" style="17" hidden="1" customWidth="1"/>
    <col min="11" max="11" width="2.5546875" hidden="1" customWidth="1"/>
    <col min="12" max="12" width="15" style="17" hidden="1" customWidth="1"/>
    <col min="13" max="14" width="0" hidden="1" customWidth="1"/>
  </cols>
  <sheetData>
    <row r="1" spans="1:12" x14ac:dyDescent="0.3">
      <c r="A1" s="714" t="s">
        <v>2398</v>
      </c>
      <c r="B1" s="714"/>
      <c r="C1" s="714"/>
      <c r="D1" s="714"/>
      <c r="E1" s="714"/>
      <c r="F1" s="714"/>
      <c r="G1" s="714"/>
      <c r="H1" s="714"/>
    </row>
    <row r="2" spans="1:12" x14ac:dyDescent="0.3">
      <c r="A2" s="715" t="s">
        <v>2449</v>
      </c>
      <c r="B2" s="715"/>
      <c r="C2" s="715"/>
      <c r="D2" s="715"/>
      <c r="E2" s="715"/>
      <c r="F2" s="715"/>
      <c r="G2" s="715"/>
      <c r="H2" s="715"/>
    </row>
    <row r="3" spans="1:12" x14ac:dyDescent="0.3">
      <c r="A3" s="5"/>
      <c r="B3" s="6"/>
      <c r="H3"/>
    </row>
    <row r="4" spans="1:12" x14ac:dyDescent="0.3">
      <c r="A4" s="5"/>
      <c r="H4"/>
    </row>
    <row r="5" spans="1:12" x14ac:dyDescent="0.3">
      <c r="A5" s="5"/>
      <c r="B5" s="6"/>
      <c r="H5"/>
    </row>
    <row r="6" spans="1:12" x14ac:dyDescent="0.3">
      <c r="A6" s="11" t="s">
        <v>2450</v>
      </c>
      <c r="B6" s="11"/>
      <c r="C6" s="11"/>
      <c r="D6" s="125"/>
      <c r="E6" s="11"/>
      <c r="F6" s="125"/>
      <c r="G6" s="11"/>
      <c r="H6" s="11"/>
    </row>
    <row r="7" spans="1:12" x14ac:dyDescent="0.3">
      <c r="A7" s="5"/>
      <c r="B7" s="6"/>
      <c r="C7" s="6"/>
      <c r="D7" s="126"/>
      <c r="E7" s="6"/>
      <c r="F7" s="126"/>
      <c r="G7" s="6"/>
      <c r="H7" s="7"/>
      <c r="J7" s="716" t="s">
        <v>2451</v>
      </c>
      <c r="K7" s="716"/>
      <c r="L7" s="716"/>
    </row>
    <row r="8" spans="1:12" x14ac:dyDescent="0.3">
      <c r="A8" s="5"/>
      <c r="B8" s="6"/>
      <c r="C8" s="6"/>
      <c r="D8" s="126"/>
      <c r="E8" s="6"/>
      <c r="F8" s="126"/>
      <c r="G8" s="6"/>
      <c r="H8" s="8"/>
      <c r="J8" s="135" t="s">
        <v>2452</v>
      </c>
      <c r="K8" s="136"/>
      <c r="L8" s="137"/>
    </row>
    <row r="9" spans="1:12" x14ac:dyDescent="0.3">
      <c r="B9" s="714" t="s">
        <v>2406</v>
      </c>
      <c r="C9" s="714"/>
      <c r="D9" s="158" t="s">
        <v>2060</v>
      </c>
      <c r="E9" s="9"/>
      <c r="F9" s="158" t="s">
        <v>2061</v>
      </c>
      <c r="G9" s="9"/>
      <c r="H9" s="10">
        <v>2020</v>
      </c>
      <c r="J9" s="159" t="s">
        <v>2061</v>
      </c>
      <c r="L9" s="138" t="s">
        <v>2453</v>
      </c>
    </row>
    <row r="10" spans="1:12" x14ac:dyDescent="0.3">
      <c r="A10" s="11" t="s">
        <v>2454</v>
      </c>
      <c r="B10" s="9"/>
      <c r="C10" s="9"/>
      <c r="D10" s="63">
        <f>SUM(D11:D13)</f>
        <v>24055942.59</v>
      </c>
      <c r="E10" s="9"/>
      <c r="F10" s="114">
        <f>SUM(F11:F13)</f>
        <v>30654975.959999997</v>
      </c>
      <c r="G10" s="9"/>
      <c r="H10" s="63">
        <f>SUM(H11:H13)</f>
        <v>28268714.560000002</v>
      </c>
      <c r="J10" s="139">
        <v>30654975.959999997</v>
      </c>
      <c r="L10" s="140">
        <f t="shared" ref="L10:L29" si="0">F10-J10</f>
        <v>0</v>
      </c>
    </row>
    <row r="11" spans="1:12" x14ac:dyDescent="0.3">
      <c r="A11" s="64" t="s">
        <v>2455</v>
      </c>
      <c r="B11" s="104" t="s">
        <v>1924</v>
      </c>
      <c r="C11" s="13"/>
      <c r="D11" s="131">
        <f>-SUMIF('BALANCETE 2022'!J:J,DRE!B11,'BALANCETE 2022'!F:F)</f>
        <v>8317112.1200000001</v>
      </c>
      <c r="E11" s="13"/>
      <c r="F11" s="131">
        <f>SUMIFS('BALANCETE 2021'!L:L,'BALANCETE 2021'!O:O,DRE!B11)</f>
        <v>21931896.68</v>
      </c>
      <c r="G11" s="13"/>
      <c r="H11" s="4">
        <f>SUM(-('[1]BALANCETE DEZEMBRO DE 2020'!Q806))</f>
        <v>29381585.190000001</v>
      </c>
      <c r="J11" s="141">
        <v>21931896.68</v>
      </c>
      <c r="L11" s="142">
        <f t="shared" si="0"/>
        <v>0</v>
      </c>
    </row>
    <row r="12" spans="1:12" x14ac:dyDescent="0.3">
      <c r="A12" s="64" t="s">
        <v>2456</v>
      </c>
      <c r="B12" s="104" t="s">
        <v>2327</v>
      </c>
      <c r="C12" s="19"/>
      <c r="D12" s="131">
        <f>-SUMIF('BALANCETE 2022'!J:J,DRE!B12,'BALANCETE 2022'!F:F)</f>
        <v>16557667.73</v>
      </c>
      <c r="E12" s="11"/>
      <c r="F12" s="134">
        <f>SUMIFS('BALANCETE 2021'!L:L,'BALANCETE 2021'!O:O,DRE!B12)</f>
        <v>10872630.220000001</v>
      </c>
      <c r="G12" s="11"/>
      <c r="H12" s="4">
        <f>('[1]BALANCETE DEZEMBRO DE 2020'!Q817+'[1]BALANCETE DEZEMBRO DE 2020'!Q820+'[1]BALANCETE DEZEMBRO DE 2020'!Q824+'[1]BALANCETE DEZEMBRO DE 2020'!Q825+'[1]BALANCETE DEZEMBRO DE 2020'!Q826+'[1]BALANCETE DEZEMBRO DE 2020'!Q827+'[1]BALANCETE DEZEMBRO DE 2020'!Q828+'[1]BALANCETE DEZEMBRO DE 2020'!Q830+'[1]BALANCETE DEZEMBRO DE 2020'!Q843)*-1</f>
        <v>1604522.07</v>
      </c>
      <c r="J12" s="145">
        <v>10872630.220000001</v>
      </c>
      <c r="L12" s="146">
        <f t="shared" si="0"/>
        <v>0</v>
      </c>
    </row>
    <row r="13" spans="1:12" x14ac:dyDescent="0.3">
      <c r="A13" s="64" t="s">
        <v>2457</v>
      </c>
      <c r="B13" s="104" t="s">
        <v>2331</v>
      </c>
      <c r="C13" s="19"/>
      <c r="D13" s="131">
        <f>-SUMIF('BALANCETE 2022'!J:J,DRE!B13,'BALANCETE 2022'!F:F)</f>
        <v>-818837.26</v>
      </c>
      <c r="E13" s="11"/>
      <c r="F13" s="70">
        <f>-SUMIFS('BALANCETE 2021'!L:L,'BALANCETE 2021'!O:O,DRE!B13)</f>
        <v>-2149550.94</v>
      </c>
      <c r="G13" s="11"/>
      <c r="H13" s="4">
        <f>'[1]BALANCETE DEZEMBRO DE 2020'!Q844*-1</f>
        <v>-2717392.7</v>
      </c>
      <c r="J13" s="147">
        <v>-2149550.94</v>
      </c>
      <c r="L13" s="148">
        <f t="shared" si="0"/>
        <v>0</v>
      </c>
    </row>
    <row r="14" spans="1:12" x14ac:dyDescent="0.3">
      <c r="A14" s="11"/>
      <c r="B14" s="104"/>
      <c r="C14" s="19"/>
      <c r="D14" s="271"/>
      <c r="E14" s="11"/>
      <c r="F14" s="125"/>
      <c r="G14" s="11"/>
      <c r="H14" s="14"/>
      <c r="J14" s="143"/>
      <c r="L14" s="144">
        <f t="shared" si="0"/>
        <v>0</v>
      </c>
    </row>
    <row r="15" spans="1:12" x14ac:dyDescent="0.3">
      <c r="A15" s="11" t="s">
        <v>2458</v>
      </c>
      <c r="B15" s="104"/>
      <c r="C15" s="19"/>
      <c r="D15" s="14">
        <f>SUM(D16:D16)</f>
        <v>-10221462.599999998</v>
      </c>
      <c r="E15" s="11"/>
      <c r="F15" s="71">
        <f>SUM(F16:F16)</f>
        <v>-23589189.890000001</v>
      </c>
      <c r="G15" s="11"/>
      <c r="H15" s="14">
        <f>SUM(H16:H16)</f>
        <v>-27477542.25</v>
      </c>
      <c r="J15" s="149">
        <v>-23589189.890000001</v>
      </c>
      <c r="L15" s="150">
        <f t="shared" si="0"/>
        <v>0</v>
      </c>
    </row>
    <row r="16" spans="1:12" x14ac:dyDescent="0.3">
      <c r="A16" s="65" t="s">
        <v>2459</v>
      </c>
      <c r="B16" s="104">
        <v>22</v>
      </c>
      <c r="C16" s="19"/>
      <c r="D16" s="131">
        <f>-SUMIF('BALANCETE 2022'!J:J,DRE!B16,'BALANCETE 2022'!F:F)</f>
        <v>-10221462.599999998</v>
      </c>
      <c r="E16" s="11"/>
      <c r="F16" s="127">
        <f>-SUMIFS('BALANCETE 2021'!L:L,'BALANCETE 2021'!O:O,DRE!B16)</f>
        <v>-23589189.890000001</v>
      </c>
      <c r="G16" s="11"/>
      <c r="H16" s="4">
        <f>('[1]BALANCETE DEZEMBRO DE 2020'!P668+'[1]BALANCETE DEZEMBRO DE 2020'!P675+'[1]BALANCETE DEZEMBRO DE 2020'!P686)*-1</f>
        <v>-27477542.25</v>
      </c>
      <c r="J16" s="151">
        <v>-23589189.890000001</v>
      </c>
      <c r="L16" s="152">
        <f t="shared" si="0"/>
        <v>0</v>
      </c>
    </row>
    <row r="17" spans="1:12" x14ac:dyDescent="0.3">
      <c r="A17" s="6"/>
      <c r="B17" s="104"/>
      <c r="C17" s="19"/>
      <c r="D17" s="134"/>
      <c r="E17" s="11"/>
      <c r="F17" s="127"/>
      <c r="G17" s="11"/>
      <c r="H17" s="4"/>
      <c r="J17" s="151"/>
      <c r="L17" s="152">
        <f t="shared" si="0"/>
        <v>0</v>
      </c>
    </row>
    <row r="18" spans="1:12" x14ac:dyDescent="0.3">
      <c r="A18" s="11" t="s">
        <v>2460</v>
      </c>
      <c r="B18" s="104"/>
      <c r="C18" s="19"/>
      <c r="D18" s="14">
        <f>SUM(D19:D20)</f>
        <v>-30309370.02</v>
      </c>
      <c r="E18" s="11"/>
      <c r="F18" s="71">
        <f>SUM(F19:F20)</f>
        <v>-12571716.200000005</v>
      </c>
      <c r="G18" s="11"/>
      <c r="H18" s="14">
        <f>SUM(H19:H20)</f>
        <v>-18899394.489999998</v>
      </c>
      <c r="J18" s="149">
        <v>-12571716.200000001</v>
      </c>
      <c r="L18" s="150">
        <f t="shared" si="0"/>
        <v>0</v>
      </c>
    </row>
    <row r="19" spans="1:12" x14ac:dyDescent="0.3">
      <c r="A19" s="65" t="s">
        <v>2074</v>
      </c>
      <c r="B19" s="104">
        <v>23</v>
      </c>
      <c r="C19" s="19"/>
      <c r="D19" s="131">
        <f>-SUMIF('BALANCETE 2022'!J:J,DRE!B19,'BALANCETE 2022'!F:F)</f>
        <v>-28534349.550000001</v>
      </c>
      <c r="E19" s="11"/>
      <c r="F19" s="70">
        <f>-SUMIFS('BALANCETE 2021'!L:L,'BALANCETE 2021'!O:O,DRE!B19)</f>
        <v>-12245279.300000004</v>
      </c>
      <c r="G19" s="11"/>
      <c r="H19" s="4">
        <f>('[1]BALANCETE DEZEMBRO DE 2020'!Q701+'[1]BALANCETE DEZEMBRO DE 2020'!Q725+'[1]BALANCETE DEZEMBRO DE 2020'!Q730+'[1]BALANCETE DEZEMBRO DE 2020'!Q739)*-1</f>
        <v>-18139253.129999999</v>
      </c>
      <c r="J19" s="147">
        <v>-12245279.300000001</v>
      </c>
      <c r="L19" s="148">
        <f t="shared" si="0"/>
        <v>0</v>
      </c>
    </row>
    <row r="20" spans="1:12" x14ac:dyDescent="0.3">
      <c r="A20" s="64" t="s">
        <v>2099</v>
      </c>
      <c r="B20" s="104">
        <v>24</v>
      </c>
      <c r="C20" s="19"/>
      <c r="D20" s="131">
        <f>-SUMIF('BALANCETE 2022'!J:J,DRE!B20,'BALANCETE 2022'!F:F)</f>
        <v>-1775020.47</v>
      </c>
      <c r="E20" s="11"/>
      <c r="F20" s="70">
        <f>-SUMIFS('BALANCETE 2021'!L:L,'BALANCETE 2021'!O:O,DRE!B20)</f>
        <v>-326436.90000000002</v>
      </c>
      <c r="G20" s="11"/>
      <c r="H20" s="4">
        <f>'[1]BALANCETE DEZEMBRO DE 2020'!Q790*-1</f>
        <v>-760141.36</v>
      </c>
      <c r="J20" s="147">
        <v>-326436.90000000002</v>
      </c>
      <c r="L20" s="148">
        <f t="shared" si="0"/>
        <v>0</v>
      </c>
    </row>
    <row r="21" spans="1:12" x14ac:dyDescent="0.3">
      <c r="A21" s="6"/>
      <c r="B21" s="104"/>
      <c r="C21" s="19"/>
      <c r="D21" s="271"/>
      <c r="E21" s="11"/>
      <c r="F21" s="125"/>
      <c r="G21" s="11"/>
      <c r="H21" s="4"/>
      <c r="J21" s="143"/>
      <c r="L21" s="144">
        <f t="shared" si="0"/>
        <v>0</v>
      </c>
    </row>
    <row r="22" spans="1:12" x14ac:dyDescent="0.3">
      <c r="A22" s="6"/>
      <c r="B22" s="104"/>
      <c r="C22" s="101"/>
      <c r="D22" s="272"/>
      <c r="E22" s="6"/>
      <c r="F22" s="126"/>
      <c r="G22" s="6"/>
      <c r="H22" s="4"/>
      <c r="J22" s="153"/>
      <c r="L22" s="154">
        <f t="shared" si="0"/>
        <v>0</v>
      </c>
    </row>
    <row r="23" spans="1:12" x14ac:dyDescent="0.3">
      <c r="A23" s="11" t="s">
        <v>2461</v>
      </c>
      <c r="B23" s="104">
        <v>25</v>
      </c>
      <c r="C23" s="273"/>
      <c r="D23" s="14">
        <f>SUM(D24:D25)</f>
        <v>-848316.53</v>
      </c>
      <c r="E23" s="18"/>
      <c r="F23" s="71">
        <f>SUM(F24:F25)</f>
        <v>-777253.58000000019</v>
      </c>
      <c r="G23" s="18"/>
      <c r="H23" s="14">
        <f>SUM(H24:H25)</f>
        <v>-2517285.8400000003</v>
      </c>
      <c r="J23" s="149">
        <v>-777253.58000000007</v>
      </c>
      <c r="L23" s="150">
        <f t="shared" si="0"/>
        <v>0</v>
      </c>
    </row>
    <row r="24" spans="1:12" x14ac:dyDescent="0.3">
      <c r="A24" s="6" t="s">
        <v>2462</v>
      </c>
      <c r="B24" s="274" t="s">
        <v>1970</v>
      </c>
      <c r="C24" s="101"/>
      <c r="D24" s="131">
        <f>-SUMIF('BALANCETE 2022'!J:J,DRE!B24,'BALANCETE 2022'!F:F)</f>
        <v>545869.66999999993</v>
      </c>
      <c r="E24" s="6"/>
      <c r="F24" s="126">
        <f>SUMIFS('BALANCETE 2021'!L:L,'BALANCETE 2021'!O:O,DRE!B24)</f>
        <v>60749.82</v>
      </c>
      <c r="G24" s="6"/>
      <c r="H24" s="4">
        <f>SUM(-('[1]BALANCETE DEZEMBRO DE 2020'!Q831))</f>
        <v>53305.21</v>
      </c>
      <c r="J24" s="153">
        <v>60749.82</v>
      </c>
      <c r="L24" s="154">
        <f t="shared" si="0"/>
        <v>0</v>
      </c>
    </row>
    <row r="25" spans="1:12" x14ac:dyDescent="0.3">
      <c r="A25" s="6" t="s">
        <v>2463</v>
      </c>
      <c r="B25" s="274" t="s">
        <v>1864</v>
      </c>
      <c r="C25" s="101"/>
      <c r="D25" s="131">
        <f>-SUMIF('BALANCETE 2022'!J:J,DRE!B25,'BALANCETE 2022'!F:F)</f>
        <v>-1394186.2</v>
      </c>
      <c r="E25" s="6"/>
      <c r="F25" s="70">
        <f>-SUMIFS('BALANCETE 2021'!L:L,'BALANCETE 2021'!O:O,DRE!B25)</f>
        <v>-838003.40000000014</v>
      </c>
      <c r="G25" s="6"/>
      <c r="H25" s="4">
        <f>'[1]BALANCETE DEZEMBRO DE 2020'!Q777*-1</f>
        <v>-2570591.0500000003</v>
      </c>
      <c r="J25" s="147">
        <v>-838003.4</v>
      </c>
      <c r="L25" s="148">
        <f t="shared" si="0"/>
        <v>0</v>
      </c>
    </row>
    <row r="26" spans="1:12" x14ac:dyDescent="0.3">
      <c r="A26" s="19"/>
      <c r="B26" s="6"/>
      <c r="C26" s="6"/>
      <c r="D26" s="126"/>
      <c r="E26" s="6"/>
      <c r="F26" s="126"/>
      <c r="G26" s="6"/>
      <c r="H26" s="4"/>
      <c r="J26" s="153"/>
      <c r="L26" s="154">
        <f t="shared" si="0"/>
        <v>0</v>
      </c>
    </row>
    <row r="27" spans="1:12" x14ac:dyDescent="0.3">
      <c r="A27" s="19" t="s">
        <v>2464</v>
      </c>
      <c r="B27" s="6"/>
      <c r="C27" s="6"/>
      <c r="D27" s="14">
        <f>SUM(D10+D15+D18+D23)</f>
        <v>-17323206.559999999</v>
      </c>
      <c r="E27" s="6"/>
      <c r="F27" s="71">
        <f>SUM(F10+F15+F18+F23)</f>
        <v>-6283183.7100000083</v>
      </c>
      <c r="G27" s="6"/>
      <c r="H27" s="14">
        <f>SUM(H10+H15+H18+H23)</f>
        <v>-20625508.019999996</v>
      </c>
      <c r="J27" s="149">
        <v>-6283183.7100000046</v>
      </c>
      <c r="L27" s="150">
        <f t="shared" si="0"/>
        <v>0</v>
      </c>
    </row>
    <row r="28" spans="1:12" x14ac:dyDescent="0.3">
      <c r="A28" s="19" t="s">
        <v>2465</v>
      </c>
      <c r="B28" s="6"/>
      <c r="C28" s="6"/>
      <c r="D28" s="4">
        <v>0</v>
      </c>
      <c r="E28" s="6"/>
      <c r="F28" s="70">
        <v>0</v>
      </c>
      <c r="G28" s="6"/>
      <c r="H28" s="4">
        <v>0</v>
      </c>
      <c r="J28" s="147">
        <v>0</v>
      </c>
      <c r="L28" s="148">
        <f t="shared" si="0"/>
        <v>0</v>
      </c>
    </row>
    <row r="29" spans="1:12" x14ac:dyDescent="0.3">
      <c r="A29" s="11" t="s">
        <v>2466</v>
      </c>
      <c r="B29" s="6" t="s">
        <v>2467</v>
      </c>
      <c r="C29" s="6"/>
      <c r="D29" s="14">
        <f>D27+D28</f>
        <v>-17323206.559999999</v>
      </c>
      <c r="E29" s="6"/>
      <c r="F29" s="71">
        <f>F27+F28</f>
        <v>-6283183.7100000083</v>
      </c>
      <c r="G29" s="6"/>
      <c r="H29" s="14">
        <f>H27+H28</f>
        <v>-20625508.019999996</v>
      </c>
      <c r="J29" s="155">
        <v>-6283183.7100000046</v>
      </c>
      <c r="K29" s="156"/>
      <c r="L29" s="157">
        <f t="shared" si="0"/>
        <v>0</v>
      </c>
    </row>
    <row r="30" spans="1:12" x14ac:dyDescent="0.3">
      <c r="A30" s="6"/>
      <c r="B30" s="6"/>
      <c r="C30" s="6"/>
      <c r="D30" s="126"/>
      <c r="E30" s="6"/>
      <c r="F30" s="126"/>
      <c r="G30" s="6"/>
      <c r="H30" s="7"/>
      <c r="J30" s="126"/>
      <c r="L30" s="126"/>
    </row>
    <row r="31" spans="1:12" x14ac:dyDescent="0.3">
      <c r="H31"/>
    </row>
    <row r="33" spans="1:12" x14ac:dyDescent="0.3">
      <c r="H33"/>
    </row>
    <row r="34" spans="1:12" x14ac:dyDescent="0.3">
      <c r="H34"/>
    </row>
    <row r="35" spans="1:12" x14ac:dyDescent="0.3">
      <c r="A35" s="5"/>
      <c r="B35" s="5"/>
      <c r="H35"/>
    </row>
    <row r="36" spans="1:12" x14ac:dyDescent="0.3">
      <c r="A36" s="60" t="s">
        <v>2468</v>
      </c>
      <c r="B36" s="60"/>
      <c r="C36" s="60"/>
      <c r="D36" s="128"/>
      <c r="E36" s="60"/>
      <c r="F36" s="128"/>
      <c r="G36" s="60"/>
      <c r="H36" s="60"/>
      <c r="J36" s="128"/>
      <c r="L36" s="128"/>
    </row>
    <row r="37" spans="1:12" x14ac:dyDescent="0.3">
      <c r="A37" s="60" t="s">
        <v>2469</v>
      </c>
      <c r="B37" s="60"/>
      <c r="C37" s="60"/>
      <c r="D37" s="128"/>
      <c r="E37" s="60"/>
      <c r="F37" s="128"/>
      <c r="G37" s="60"/>
      <c r="H37" s="60"/>
      <c r="J37" s="128"/>
      <c r="L37" s="128"/>
    </row>
    <row r="38" spans="1:12" x14ac:dyDescent="0.3">
      <c r="A38" s="61" t="s">
        <v>2470</v>
      </c>
      <c r="B38" s="61"/>
      <c r="C38" s="61"/>
      <c r="D38" s="129"/>
      <c r="E38" s="61"/>
      <c r="F38" s="129"/>
      <c r="G38" s="61"/>
      <c r="H38" s="61"/>
      <c r="J38" s="129"/>
      <c r="L38" s="129"/>
    </row>
    <row r="39" spans="1:12" x14ac:dyDescent="0.3">
      <c r="A39" s="13"/>
      <c r="B39" s="13"/>
      <c r="H39"/>
    </row>
    <row r="61" spans="1:12" x14ac:dyDescent="0.3">
      <c r="A61" s="5"/>
      <c r="B61" s="6"/>
      <c r="C61" s="6"/>
      <c r="D61" s="126"/>
      <c r="E61" s="6"/>
      <c r="F61" s="126"/>
      <c r="G61" s="6"/>
      <c r="H61" s="7"/>
      <c r="J61" s="126"/>
      <c r="L61" s="126"/>
    </row>
    <row r="62" spans="1:12" x14ac:dyDescent="0.3">
      <c r="A62" s="5"/>
      <c r="B62" s="6"/>
      <c r="C62" s="6"/>
      <c r="D62" s="126"/>
      <c r="E62" s="6"/>
      <c r="F62" s="126"/>
      <c r="G62" s="6"/>
      <c r="H62" s="8"/>
      <c r="J62" s="126"/>
      <c r="L62" s="126"/>
    </row>
    <row r="63" spans="1:12" x14ac:dyDescent="0.3">
      <c r="A63" s="6"/>
      <c r="B63" s="714"/>
      <c r="C63" s="714"/>
      <c r="D63" s="130"/>
      <c r="E63" s="9"/>
      <c r="F63" s="130"/>
      <c r="G63" s="9"/>
      <c r="H63" s="10"/>
      <c r="J63" s="130"/>
      <c r="L63" s="130"/>
    </row>
    <row r="64" spans="1:12" x14ac:dyDescent="0.3">
      <c r="A64" s="11"/>
      <c r="B64" s="12"/>
      <c r="C64" s="13"/>
      <c r="D64" s="131"/>
      <c r="E64" s="13"/>
      <c r="F64" s="131"/>
      <c r="G64" s="13"/>
      <c r="H64" s="14"/>
      <c r="J64" s="131"/>
      <c r="L64" s="131"/>
    </row>
    <row r="65" spans="1:12" x14ac:dyDescent="0.3">
      <c r="A65" s="11"/>
      <c r="B65" s="11"/>
      <c r="C65" s="11"/>
      <c r="D65" s="125"/>
      <c r="E65" s="11"/>
      <c r="F65" s="125"/>
      <c r="G65" s="11"/>
      <c r="H65" s="4"/>
      <c r="J65" s="125"/>
      <c r="L65" s="125"/>
    </row>
    <row r="66" spans="1:12" x14ac:dyDescent="0.3">
      <c r="A66" s="11"/>
      <c r="B66" s="11"/>
      <c r="C66" s="11"/>
      <c r="D66" s="125"/>
      <c r="E66" s="11"/>
      <c r="F66" s="125"/>
      <c r="G66" s="11"/>
      <c r="H66" s="14"/>
      <c r="J66" s="125"/>
      <c r="L66" s="125"/>
    </row>
    <row r="67" spans="1:12" x14ac:dyDescent="0.3">
      <c r="A67" s="11"/>
      <c r="B67" s="11"/>
      <c r="C67" s="11"/>
      <c r="D67" s="125"/>
      <c r="E67" s="11"/>
      <c r="F67" s="125"/>
      <c r="G67" s="11"/>
      <c r="H67" s="4"/>
      <c r="J67" s="125"/>
      <c r="L67" s="125"/>
    </row>
    <row r="68" spans="1:12" x14ac:dyDescent="0.3">
      <c r="A68" s="11"/>
      <c r="B68" s="11"/>
      <c r="C68" s="11"/>
      <c r="D68" s="125"/>
      <c r="E68" s="11"/>
      <c r="F68" s="125"/>
      <c r="G68" s="11"/>
      <c r="H68" s="14"/>
      <c r="J68" s="125"/>
      <c r="L68" s="125"/>
    </row>
    <row r="69" spans="1:12" x14ac:dyDescent="0.3">
      <c r="A69" s="6"/>
      <c r="B69" s="15"/>
      <c r="C69" s="15"/>
      <c r="D69" s="132"/>
      <c r="E69" s="15"/>
      <c r="F69" s="132"/>
      <c r="G69" s="15"/>
      <c r="H69" s="4"/>
      <c r="J69" s="132"/>
      <c r="L69" s="132"/>
    </row>
    <row r="70" spans="1:12" x14ac:dyDescent="0.3">
      <c r="A70" s="6"/>
      <c r="B70" s="21"/>
      <c r="C70" s="11"/>
      <c r="D70" s="125"/>
      <c r="E70" s="11"/>
      <c r="F70" s="125"/>
      <c r="G70" s="11"/>
      <c r="H70" s="4"/>
      <c r="J70" s="125"/>
      <c r="L70" s="125"/>
    </row>
    <row r="71" spans="1:12" x14ac:dyDescent="0.3">
      <c r="A71" s="6"/>
      <c r="B71" s="11"/>
      <c r="C71" s="11"/>
      <c r="D71" s="125"/>
      <c r="E71" s="11"/>
      <c r="F71" s="125"/>
      <c r="G71" s="11"/>
      <c r="H71" s="4"/>
      <c r="J71" s="125"/>
      <c r="L71" s="125"/>
    </row>
    <row r="72" spans="1:12" x14ac:dyDescent="0.3">
      <c r="A72" s="6"/>
      <c r="B72" s="11"/>
      <c r="C72" s="11"/>
      <c r="D72" s="125"/>
      <c r="E72" s="11"/>
      <c r="F72" s="125"/>
      <c r="G72" s="11"/>
      <c r="H72" s="4"/>
      <c r="J72" s="125"/>
      <c r="L72" s="125"/>
    </row>
    <row r="73" spans="1:12" x14ac:dyDescent="0.3">
      <c r="A73" s="11"/>
      <c r="B73" s="11"/>
      <c r="C73" s="11"/>
      <c r="D73" s="125"/>
      <c r="E73" s="11"/>
      <c r="F73" s="125"/>
      <c r="G73" s="11"/>
      <c r="H73" s="14"/>
      <c r="J73" s="125"/>
      <c r="L73" s="125"/>
    </row>
    <row r="74" spans="1:12" x14ac:dyDescent="0.3">
      <c r="A74" s="6"/>
      <c r="B74" s="11"/>
      <c r="C74" s="11"/>
      <c r="D74" s="125"/>
      <c r="E74" s="11"/>
      <c r="F74" s="125"/>
      <c r="G74" s="11"/>
      <c r="H74" s="4"/>
      <c r="J74" s="125"/>
      <c r="L74" s="125"/>
    </row>
    <row r="75" spans="1:12" x14ac:dyDescent="0.3">
      <c r="A75" s="6"/>
      <c r="B75" s="11"/>
      <c r="C75" s="11"/>
      <c r="D75" s="125"/>
      <c r="E75" s="11"/>
      <c r="F75" s="125"/>
      <c r="G75" s="11"/>
      <c r="H75" s="4"/>
      <c r="J75" s="125"/>
      <c r="L75" s="125"/>
    </row>
    <row r="76" spans="1:12" x14ac:dyDescent="0.3">
      <c r="A76" s="6"/>
      <c r="B76" s="6"/>
      <c r="C76" s="6"/>
      <c r="D76" s="126"/>
      <c r="E76" s="6"/>
      <c r="F76" s="126"/>
      <c r="G76" s="6"/>
      <c r="H76" s="4"/>
      <c r="J76" s="126"/>
      <c r="L76" s="126"/>
    </row>
    <row r="77" spans="1:12" x14ac:dyDescent="0.3">
      <c r="A77" s="11"/>
      <c r="B77" s="18"/>
      <c r="C77" s="18"/>
      <c r="D77" s="133"/>
      <c r="E77" s="18"/>
      <c r="F77" s="133"/>
      <c r="G77" s="18"/>
      <c r="H77" s="14"/>
      <c r="J77" s="133"/>
      <c r="L77" s="133"/>
    </row>
    <row r="78" spans="1:12" x14ac:dyDescent="0.3">
      <c r="A78" s="6"/>
      <c r="B78" s="6"/>
      <c r="C78" s="6"/>
      <c r="D78" s="126"/>
      <c r="E78" s="6"/>
      <c r="F78" s="126"/>
      <c r="G78" s="6"/>
      <c r="H78" s="4"/>
      <c r="J78" s="126"/>
      <c r="L78" s="126"/>
    </row>
    <row r="79" spans="1:12" x14ac:dyDescent="0.3">
      <c r="A79" s="6"/>
      <c r="B79" s="6"/>
      <c r="C79" s="6"/>
      <c r="D79" s="126"/>
      <c r="E79" s="6"/>
      <c r="F79" s="126"/>
      <c r="G79" s="6"/>
      <c r="H79" s="4"/>
      <c r="J79" s="126"/>
      <c r="L79" s="126"/>
    </row>
    <row r="80" spans="1:12" x14ac:dyDescent="0.3">
      <c r="A80" s="19"/>
      <c r="B80" s="6"/>
      <c r="C80" s="6"/>
      <c r="D80" s="126"/>
      <c r="E80" s="6"/>
      <c r="F80" s="126"/>
      <c r="G80" s="6"/>
      <c r="H80" s="4"/>
      <c r="J80" s="126"/>
      <c r="L80" s="126"/>
    </row>
    <row r="81" spans="1:12" x14ac:dyDescent="0.3">
      <c r="A81" s="19"/>
      <c r="B81" s="6"/>
      <c r="C81" s="6"/>
      <c r="D81" s="126"/>
      <c r="E81" s="6"/>
      <c r="F81" s="126"/>
      <c r="G81" s="6"/>
      <c r="H81" s="14"/>
      <c r="J81" s="126"/>
      <c r="L81" s="126"/>
    </row>
    <row r="82" spans="1:12" x14ac:dyDescent="0.3">
      <c r="A82" s="19"/>
      <c r="B82" s="6"/>
      <c r="C82" s="6"/>
      <c r="D82" s="126"/>
      <c r="E82" s="6"/>
      <c r="F82" s="126"/>
      <c r="G82" s="6"/>
      <c r="H82" s="4"/>
      <c r="J82" s="126"/>
      <c r="L82" s="126"/>
    </row>
    <row r="83" spans="1:12" x14ac:dyDescent="0.3">
      <c r="A83" s="11"/>
      <c r="B83" s="6"/>
      <c r="C83" s="6"/>
      <c r="D83" s="126"/>
      <c r="E83" s="6"/>
      <c r="F83" s="126"/>
      <c r="G83" s="6"/>
      <c r="H83" s="14"/>
      <c r="J83" s="126"/>
      <c r="L83" s="126"/>
    </row>
    <row r="84" spans="1:12" x14ac:dyDescent="0.3">
      <c r="A84" s="6"/>
      <c r="B84" s="6"/>
      <c r="C84" s="6"/>
      <c r="D84" s="126"/>
      <c r="E84" s="6"/>
      <c r="F84" s="126"/>
      <c r="G84" s="6"/>
      <c r="H84" s="7"/>
      <c r="J84" s="126"/>
      <c r="L84" s="126"/>
    </row>
    <row r="85" spans="1:12" x14ac:dyDescent="0.3">
      <c r="H85"/>
    </row>
    <row r="86" spans="1:12" x14ac:dyDescent="0.3">
      <c r="A86" s="5"/>
      <c r="B86" s="5"/>
      <c r="H86"/>
    </row>
    <row r="87" spans="1:12" x14ac:dyDescent="0.3">
      <c r="A87" s="5"/>
      <c r="B87" s="5"/>
      <c r="H87"/>
    </row>
    <row r="88" spans="1:12" x14ac:dyDescent="0.3">
      <c r="A88" s="5"/>
      <c r="B88" s="5"/>
      <c r="H88"/>
    </row>
    <row r="89" spans="1:12" x14ac:dyDescent="0.3">
      <c r="A89" s="5"/>
      <c r="B89" s="5"/>
      <c r="H89"/>
    </row>
    <row r="90" spans="1:12" x14ac:dyDescent="0.3">
      <c r="A90" s="2"/>
      <c r="H90"/>
    </row>
    <row r="91" spans="1:12" x14ac:dyDescent="0.3">
      <c r="A91" s="22"/>
      <c r="H91"/>
    </row>
    <row r="92" spans="1:12" x14ac:dyDescent="0.3">
      <c r="A92" s="13"/>
      <c r="B92" s="13"/>
      <c r="H92"/>
    </row>
  </sheetData>
  <mergeCells count="5">
    <mergeCell ref="A1:H1"/>
    <mergeCell ref="A2:H2"/>
    <mergeCell ref="B9:C9"/>
    <mergeCell ref="B63:C63"/>
    <mergeCell ref="J7:L7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E80D0-EF69-4633-AD3B-3402DBB3108F}">
  <sheetPr>
    <tabColor rgb="FFFFFF00"/>
  </sheetPr>
  <dimension ref="A9:P47"/>
  <sheetViews>
    <sheetView zoomScale="85" zoomScaleNormal="85" workbookViewId="0">
      <selection activeCell="E22" sqref="E22"/>
    </sheetView>
  </sheetViews>
  <sheetFormatPr defaultColWidth="9.109375" defaultRowHeight="14.4" x14ac:dyDescent="0.3"/>
  <cols>
    <col min="2" max="2" width="43.88671875" customWidth="1"/>
    <col min="3" max="3" width="15.109375" bestFit="1" customWidth="1"/>
    <col min="4" max="4" width="15" bestFit="1" customWidth="1"/>
    <col min="5" max="7" width="17.33203125" customWidth="1"/>
    <col min="8" max="8" width="36.33203125" bestFit="1" customWidth="1"/>
    <col min="9" max="9" width="15" bestFit="1" customWidth="1"/>
    <col min="12" max="12" width="12.6640625" bestFit="1" customWidth="1"/>
    <col min="13" max="13" width="14.44140625" style="36" bestFit="1" customWidth="1"/>
    <col min="14" max="14" width="15" bestFit="1" customWidth="1"/>
    <col min="15" max="15" width="18.109375" style="20" customWidth="1"/>
    <col min="16" max="16" width="19.5546875" style="20" customWidth="1"/>
  </cols>
  <sheetData>
    <row r="9" spans="2:2" customFormat="1" x14ac:dyDescent="0.3">
      <c r="B9" s="24" t="s">
        <v>2398</v>
      </c>
    </row>
    <row r="10" spans="2:2" customFormat="1" x14ac:dyDescent="0.3">
      <c r="B10" s="25" t="s">
        <v>2471</v>
      </c>
    </row>
    <row r="12" spans="2:2" customFormat="1" x14ac:dyDescent="0.3">
      <c r="B12" s="24" t="s">
        <v>2472</v>
      </c>
    </row>
    <row r="13" spans="2:2" customFormat="1" x14ac:dyDescent="0.3">
      <c r="B13" s="25" t="s">
        <v>2473</v>
      </c>
    </row>
    <row r="17" spans="2:14" ht="10.5" customHeight="1" thickBot="1" x14ac:dyDescent="0.35">
      <c r="M17"/>
    </row>
    <row r="18" spans="2:14" ht="26.25" customHeight="1" x14ac:dyDescent="0.3">
      <c r="B18" s="26" t="s">
        <v>2</v>
      </c>
      <c r="C18" s="27" t="s">
        <v>2443</v>
      </c>
      <c r="D18" s="27" t="s">
        <v>2059</v>
      </c>
      <c r="E18" s="717" t="s">
        <v>2474</v>
      </c>
      <c r="F18" s="28" t="s">
        <v>2475</v>
      </c>
      <c r="G18" s="29" t="s">
        <v>2476</v>
      </c>
      <c r="M18"/>
    </row>
    <row r="19" spans="2:14" ht="15" thickBot="1" x14ac:dyDescent="0.35">
      <c r="B19" s="30"/>
      <c r="C19" s="6"/>
      <c r="D19" s="6"/>
      <c r="E19" s="718"/>
      <c r="F19" s="31"/>
      <c r="G19" s="32"/>
      <c r="M19"/>
    </row>
    <row r="20" spans="2:14" ht="15" thickBot="1" x14ac:dyDescent="0.35">
      <c r="B20" s="95" t="s">
        <v>3346</v>
      </c>
      <c r="C20" s="227">
        <v>223483746.68000001</v>
      </c>
      <c r="D20" s="227">
        <v>28897862.43</v>
      </c>
      <c r="E20" s="33">
        <v>-249084478.56</v>
      </c>
      <c r="F20" s="34">
        <v>0</v>
      </c>
      <c r="G20" s="35">
        <f>C20+D20+E20+F20</f>
        <v>3297130.5500000119</v>
      </c>
      <c r="M20"/>
    </row>
    <row r="21" spans="2:14" x14ac:dyDescent="0.3">
      <c r="B21" s="97"/>
      <c r="C21" s="228"/>
      <c r="D21" s="228"/>
      <c r="E21" s="131"/>
      <c r="F21" s="131"/>
      <c r="G21" s="228"/>
    </row>
    <row r="22" spans="2:14" x14ac:dyDescent="0.3">
      <c r="B22" s="99" t="s">
        <v>2478</v>
      </c>
      <c r="C22" s="229">
        <f>0</f>
        <v>0</v>
      </c>
      <c r="D22" s="230">
        <f>0</f>
        <v>0</v>
      </c>
      <c r="E22" s="231">
        <v>-6283183.71</v>
      </c>
      <c r="F22" s="231">
        <f>0</f>
        <v>0</v>
      </c>
      <c r="G22" s="231">
        <f t="shared" ref="G22:G27" si="0">C22+D22+E22+F22</f>
        <v>-6283183.71</v>
      </c>
    </row>
    <row r="23" spans="2:14" x14ac:dyDescent="0.3">
      <c r="B23" s="99" t="s">
        <v>2479</v>
      </c>
      <c r="C23" s="232">
        <f>0</f>
        <v>0</v>
      </c>
      <c r="D23" s="232">
        <f>0</f>
        <v>0</v>
      </c>
      <c r="E23" s="231">
        <v>10358651.029999999</v>
      </c>
      <c r="F23" s="231">
        <f>0</f>
        <v>0</v>
      </c>
      <c r="G23" s="231">
        <f t="shared" si="0"/>
        <v>10358651.029999999</v>
      </c>
    </row>
    <row r="24" spans="2:14" x14ac:dyDescent="0.3">
      <c r="B24" s="99" t="s">
        <v>2480</v>
      </c>
      <c r="C24" s="233">
        <f>0</f>
        <v>0</v>
      </c>
      <c r="D24" s="232">
        <v>-13720126.17</v>
      </c>
      <c r="E24" s="232">
        <v>8209797.3700000001</v>
      </c>
      <c r="F24" s="232">
        <f>0</f>
        <v>0</v>
      </c>
      <c r="G24" s="231">
        <f t="shared" si="0"/>
        <v>-5510328.7999999998</v>
      </c>
      <c r="M24" s="23"/>
    </row>
    <row r="25" spans="2:14" x14ac:dyDescent="0.3">
      <c r="B25" s="99" t="s">
        <v>2482</v>
      </c>
      <c r="C25" s="230">
        <f>0</f>
        <v>0</v>
      </c>
      <c r="D25" s="230">
        <f>0</f>
        <v>0</v>
      </c>
      <c r="E25" s="230">
        <f>0</f>
        <v>0</v>
      </c>
      <c r="F25" s="230">
        <f>0</f>
        <v>0</v>
      </c>
      <c r="G25" s="230">
        <f t="shared" si="0"/>
        <v>0</v>
      </c>
      <c r="L25" s="25"/>
      <c r="M25" s="23"/>
    </row>
    <row r="26" spans="2:14" x14ac:dyDescent="0.3">
      <c r="B26" s="99" t="s">
        <v>2484</v>
      </c>
      <c r="C26" s="230">
        <f>0</f>
        <v>0</v>
      </c>
      <c r="D26" s="230">
        <f>0</f>
        <v>0</v>
      </c>
      <c r="E26" s="230">
        <f>0</f>
        <v>0</v>
      </c>
      <c r="F26" s="230">
        <f>0</f>
        <v>0</v>
      </c>
      <c r="G26" s="230">
        <f t="shared" si="0"/>
        <v>0</v>
      </c>
      <c r="L26" s="25"/>
      <c r="M26" s="23"/>
    </row>
    <row r="27" spans="2:14" x14ac:dyDescent="0.3">
      <c r="B27" s="99" t="s">
        <v>2486</v>
      </c>
      <c r="C27" s="230">
        <f>0</f>
        <v>0</v>
      </c>
      <c r="D27" s="234">
        <f>0</f>
        <v>0</v>
      </c>
      <c r="E27" s="230">
        <f>0</f>
        <v>0</v>
      </c>
      <c r="F27" s="230">
        <f>0</f>
        <v>0</v>
      </c>
      <c r="G27" s="230">
        <f t="shared" si="0"/>
        <v>0</v>
      </c>
      <c r="L27" s="25"/>
      <c r="M27" s="23"/>
      <c r="N27" s="20"/>
    </row>
    <row r="28" spans="2:14" ht="15" thickBot="1" x14ac:dyDescent="0.35">
      <c r="B28" s="99"/>
      <c r="C28" s="230"/>
      <c r="D28" s="235"/>
      <c r="E28" s="236"/>
      <c r="F28" s="236"/>
      <c r="G28" s="236"/>
      <c r="L28" s="25"/>
      <c r="M28" s="23"/>
      <c r="N28" s="20"/>
    </row>
    <row r="29" spans="2:14" ht="15" thickBot="1" x14ac:dyDescent="0.35">
      <c r="B29" s="107" t="s">
        <v>2489</v>
      </c>
      <c r="C29" s="237">
        <v>223483746.68000001</v>
      </c>
      <c r="D29" s="237">
        <f>SUM(D20)+(D24)</f>
        <v>15177736.26</v>
      </c>
      <c r="E29" s="33">
        <f>SUM(E20:E27)</f>
        <v>-236799213.87</v>
      </c>
      <c r="F29" s="33">
        <v>0</v>
      </c>
      <c r="G29" s="35">
        <f>SUM(G20:G27)</f>
        <v>1862269.0700000115</v>
      </c>
      <c r="I29" s="36"/>
      <c r="M29" s="23"/>
      <c r="N29" s="16"/>
    </row>
    <row r="30" spans="2:14" x14ac:dyDescent="0.3">
      <c r="B30" s="97"/>
      <c r="C30" s="238"/>
      <c r="D30" s="242"/>
      <c r="E30" s="243"/>
      <c r="F30" s="235"/>
      <c r="G30" s="238"/>
      <c r="M30" s="23"/>
      <c r="N30" s="20"/>
    </row>
    <row r="31" spans="2:14" x14ac:dyDescent="0.3">
      <c r="B31" s="99" t="s">
        <v>2478</v>
      </c>
      <c r="C31" s="239">
        <f>0</f>
        <v>0</v>
      </c>
      <c r="D31" s="242">
        <f>0</f>
        <v>0</v>
      </c>
      <c r="E31" s="74">
        <v>-17323206.559999999</v>
      </c>
      <c r="F31" s="4">
        <f>0</f>
        <v>0</v>
      </c>
      <c r="G31" s="74">
        <f t="shared" ref="G31:G36" si="1">SUM(C31:F31)</f>
        <v>-17323206.559999999</v>
      </c>
      <c r="M31" s="23"/>
      <c r="N31" s="20"/>
    </row>
    <row r="32" spans="2:14" x14ac:dyDescent="0.3">
      <c r="B32" s="99" t="s">
        <v>2479</v>
      </c>
      <c r="C32" s="236">
        <f>0</f>
        <v>0</v>
      </c>
      <c r="D32" s="74">
        <v>-15177736.26</v>
      </c>
      <c r="E32" s="74">
        <v>3638625.42</v>
      </c>
      <c r="F32" s="4">
        <f>0</f>
        <v>0</v>
      </c>
      <c r="G32" s="74">
        <f t="shared" si="1"/>
        <v>-11539110.84</v>
      </c>
      <c r="M32" s="23"/>
      <c r="N32" s="20"/>
    </row>
    <row r="33" spans="1:13" customFormat="1" x14ac:dyDescent="0.3">
      <c r="B33" s="99" t="s">
        <v>2480</v>
      </c>
      <c r="C33" s="240">
        <f>0</f>
        <v>0</v>
      </c>
      <c r="D33" s="244">
        <f>0</f>
        <v>0</v>
      </c>
      <c r="E33" s="244">
        <f>0</f>
        <v>0</v>
      </c>
      <c r="F33" s="4">
        <f>0</f>
        <v>0</v>
      </c>
      <c r="G33" s="4">
        <f t="shared" si="1"/>
        <v>0</v>
      </c>
      <c r="H33" s="20"/>
      <c r="I33" s="20"/>
      <c r="M33" s="23"/>
    </row>
    <row r="34" spans="1:13" customFormat="1" x14ac:dyDescent="0.3">
      <c r="B34" s="99" t="s">
        <v>2482</v>
      </c>
      <c r="C34" s="239">
        <f>0</f>
        <v>0</v>
      </c>
      <c r="D34" s="244">
        <f>0</f>
        <v>0</v>
      </c>
      <c r="E34" s="244">
        <f>0</f>
        <v>0</v>
      </c>
      <c r="F34" s="238">
        <f>0</f>
        <v>0</v>
      </c>
      <c r="G34" s="4">
        <f t="shared" si="1"/>
        <v>0</v>
      </c>
      <c r="M34" s="23"/>
    </row>
    <row r="35" spans="1:13" customFormat="1" x14ac:dyDescent="0.3">
      <c r="B35" s="99" t="s">
        <v>2490</v>
      </c>
      <c r="C35" s="230">
        <f>0</f>
        <v>0</v>
      </c>
      <c r="D35" s="244">
        <f>0</f>
        <v>0</v>
      </c>
      <c r="E35" s="244">
        <f>0</f>
        <v>0</v>
      </c>
      <c r="F35" s="238">
        <f>0</f>
        <v>0</v>
      </c>
      <c r="G35" s="4">
        <f t="shared" si="1"/>
        <v>0</v>
      </c>
      <c r="M35" s="23"/>
    </row>
    <row r="36" spans="1:13" customFormat="1" x14ac:dyDescent="0.3">
      <c r="B36" s="110" t="s">
        <v>2491</v>
      </c>
      <c r="C36" s="230">
        <f>0</f>
        <v>0</v>
      </c>
      <c r="D36" s="244">
        <f>0</f>
        <v>0</v>
      </c>
      <c r="E36" s="242">
        <f>0</f>
        <v>0</v>
      </c>
      <c r="F36" s="238">
        <f>0</f>
        <v>0</v>
      </c>
      <c r="G36" s="4">
        <f t="shared" si="1"/>
        <v>0</v>
      </c>
      <c r="M36" s="36"/>
    </row>
    <row r="37" spans="1:13" customFormat="1" ht="15" thickBot="1" x14ac:dyDescent="0.35">
      <c r="B37" s="99"/>
      <c r="C37" s="239"/>
      <c r="D37" s="244"/>
      <c r="E37" s="242"/>
      <c r="F37" s="238"/>
      <c r="G37" s="238"/>
    </row>
    <row r="38" spans="1:13" customFormat="1" ht="15" thickBot="1" x14ac:dyDescent="0.35">
      <c r="B38" s="95" t="s">
        <v>2492</v>
      </c>
      <c r="C38" s="227">
        <f>SUM(C29:C37)</f>
        <v>223483746.68000001</v>
      </c>
      <c r="D38" s="245">
        <f>SUM(D29:D37)</f>
        <v>0</v>
      </c>
      <c r="E38" s="245">
        <f>SUM(E29:E37)</f>
        <v>-250483795.01000002</v>
      </c>
      <c r="F38" s="33">
        <f>F29+F31+F32+F33+F34+F35+F36</f>
        <v>0</v>
      </c>
      <c r="G38" s="245">
        <f>SUM(G29:G37)</f>
        <v>-27000048.329999987</v>
      </c>
      <c r="I38" s="16"/>
    </row>
    <row r="40" spans="1:13" x14ac:dyDescent="0.3">
      <c r="G40" s="111"/>
      <c r="H40" s="112"/>
    </row>
    <row r="41" spans="1:13" customFormat="1" x14ac:dyDescent="0.3">
      <c r="A41" s="2"/>
      <c r="B41" s="2"/>
      <c r="C41" s="2"/>
      <c r="D41" s="2"/>
      <c r="E41" s="2"/>
      <c r="F41" s="2"/>
      <c r="G41" s="2"/>
      <c r="H41" s="60"/>
      <c r="I41" s="2"/>
      <c r="J41" s="2"/>
    </row>
    <row r="42" spans="1:13" customFormat="1" x14ac:dyDescent="0.3">
      <c r="A42" s="2"/>
      <c r="B42" s="2"/>
      <c r="C42" s="2"/>
      <c r="D42" s="2"/>
      <c r="E42" s="2"/>
      <c r="F42" s="2"/>
      <c r="G42" s="111"/>
      <c r="H42" s="112"/>
      <c r="I42" s="241"/>
      <c r="J42" s="2"/>
    </row>
    <row r="43" spans="1:13" customFormat="1" x14ac:dyDescent="0.3">
      <c r="A43" s="2" t="s">
        <v>2493</v>
      </c>
      <c r="B43" s="2"/>
      <c r="C43" s="2"/>
      <c r="D43" s="2"/>
      <c r="E43" s="2"/>
      <c r="F43" s="2"/>
      <c r="G43" s="2"/>
      <c r="H43" s="2"/>
      <c r="I43" s="2"/>
      <c r="J43" s="2"/>
    </row>
    <row r="45" spans="1:13" x14ac:dyDescent="0.3">
      <c r="G45" s="16"/>
    </row>
    <row r="46" spans="1:13" x14ac:dyDescent="0.3">
      <c r="G46" s="16"/>
    </row>
    <row r="47" spans="1:13" x14ac:dyDescent="0.3">
      <c r="G47" s="16"/>
    </row>
  </sheetData>
  <mergeCells count="1">
    <mergeCell ref="E18:E19"/>
  </mergeCells>
  <pageMargins left="0.511811024" right="0.511811024" top="0.78740157499999996" bottom="0.78740157499999996" header="0.31496062000000002" footer="0.31496062000000002"/>
  <pageSetup paperSize="9" scale="67" orientation="portrait" r:id="rId1"/>
  <colBreaks count="1" manualBreakCount="1">
    <brk id="9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E4C06-34CB-40BF-8931-876B10DFC34B}">
  <sheetPr>
    <tabColor rgb="FFFFFF00"/>
  </sheetPr>
  <dimension ref="A1:X81"/>
  <sheetViews>
    <sheetView showGridLines="0" topLeftCell="A7" zoomScaleNormal="100" workbookViewId="0">
      <selection activeCell="E22" sqref="E22"/>
    </sheetView>
  </sheetViews>
  <sheetFormatPr defaultRowHeight="14.4" x14ac:dyDescent="0.3"/>
  <cols>
    <col min="1" max="3" width="1.6640625" style="40" customWidth="1"/>
    <col min="4" max="4" width="12.109375" style="40" customWidth="1"/>
    <col min="5" max="5" width="16" style="40" customWidth="1"/>
    <col min="6" max="6" width="5.6640625" style="40" customWidth="1"/>
    <col min="7" max="7" width="6.5546875" style="40" customWidth="1"/>
    <col min="8" max="8" width="8.88671875" style="70"/>
    <col min="9" max="9" width="12.33203125" style="40" customWidth="1"/>
    <col min="10" max="10" width="24.88671875" style="77" customWidth="1"/>
    <col min="11" max="11" width="4" style="40" customWidth="1"/>
    <col min="12" max="12" width="20.109375" style="40" bestFit="1" customWidth="1"/>
    <col min="13" max="13" width="6" style="40" customWidth="1"/>
    <col min="14" max="14" width="9.109375" style="38" customWidth="1"/>
    <col min="15" max="15" width="9.109375" style="40" customWidth="1"/>
    <col min="16" max="16" width="30.6640625" style="40" hidden="1" customWidth="1"/>
    <col min="17" max="17" width="1.33203125" style="40" hidden="1" customWidth="1"/>
    <col min="18" max="18" width="30.6640625" style="40" hidden="1" customWidth="1"/>
    <col min="19" max="20" width="9.109375" style="40" hidden="1" customWidth="1"/>
    <col min="21" max="21" width="21.44140625" style="70" hidden="1" customWidth="1"/>
    <col min="22" max="22" width="32.33203125" style="40" hidden="1" customWidth="1"/>
    <col min="23" max="23" width="16.5546875" style="40" hidden="1" customWidth="1"/>
    <col min="24" max="24" width="9" style="40" hidden="1" customWidth="1"/>
    <col min="25" max="27" width="9.109375" style="40" customWidth="1"/>
    <col min="28" max="28" width="14" style="40" customWidth="1"/>
    <col min="29" max="246" width="8.88671875" style="40"/>
    <col min="247" max="249" width="1.6640625" style="40" customWidth="1"/>
    <col min="250" max="250" width="12.109375" style="40" customWidth="1"/>
    <col min="251" max="251" width="16" style="40" customWidth="1"/>
    <col min="252" max="252" width="5.6640625" style="40" customWidth="1"/>
    <col min="253" max="253" width="6.5546875" style="40" customWidth="1"/>
    <col min="254" max="254" width="8.88671875" style="40"/>
    <col min="255" max="255" width="12.33203125" style="40" customWidth="1"/>
    <col min="256" max="256" width="32.5546875" style="40" customWidth="1"/>
    <col min="257" max="257" width="15.5546875" style="40" customWidth="1"/>
    <col min="258" max="258" width="28.88671875" style="40" customWidth="1"/>
    <col min="259" max="259" width="14" style="40" bestFit="1" customWidth="1"/>
    <col min="260" max="261" width="15" style="40" bestFit="1" customWidth="1"/>
    <col min="262" max="262" width="18.109375" style="40" customWidth="1"/>
    <col min="263" max="263" width="20.88671875" style="40" customWidth="1"/>
    <col min="264" max="264" width="15.109375" style="40" customWidth="1"/>
    <col min="265" max="265" width="13.88671875" style="40" bestFit="1" customWidth="1"/>
    <col min="266" max="266" width="12.33203125" style="40" bestFit="1" customWidth="1"/>
    <col min="267" max="267" width="23.44140625" style="40" bestFit="1" customWidth="1"/>
    <col min="268" max="502" width="8.88671875" style="40"/>
    <col min="503" max="505" width="1.6640625" style="40" customWidth="1"/>
    <col min="506" max="506" width="12.109375" style="40" customWidth="1"/>
    <col min="507" max="507" width="16" style="40" customWidth="1"/>
    <col min="508" max="508" width="5.6640625" style="40" customWidth="1"/>
    <col min="509" max="509" width="6.5546875" style="40" customWidth="1"/>
    <col min="510" max="510" width="8.88671875" style="40"/>
    <col min="511" max="511" width="12.33203125" style="40" customWidth="1"/>
    <col min="512" max="512" width="32.5546875" style="40" customWidth="1"/>
    <col min="513" max="513" width="15.5546875" style="40" customWidth="1"/>
    <col min="514" max="514" width="28.88671875" style="40" customWidth="1"/>
    <col min="515" max="515" width="14" style="40" bestFit="1" customWidth="1"/>
    <col min="516" max="517" width="15" style="40" bestFit="1" customWidth="1"/>
    <col min="518" max="518" width="18.109375" style="40" customWidth="1"/>
    <col min="519" max="519" width="20.88671875" style="40" customWidth="1"/>
    <col min="520" max="520" width="15.109375" style="40" customWidth="1"/>
    <col min="521" max="521" width="13.88671875" style="40" bestFit="1" customWidth="1"/>
    <col min="522" max="522" width="12.33203125" style="40" bestFit="1" customWidth="1"/>
    <col min="523" max="523" width="23.44140625" style="40" bestFit="1" customWidth="1"/>
    <col min="524" max="758" width="8.88671875" style="40"/>
    <col min="759" max="761" width="1.6640625" style="40" customWidth="1"/>
    <col min="762" max="762" width="12.109375" style="40" customWidth="1"/>
    <col min="763" max="763" width="16" style="40" customWidth="1"/>
    <col min="764" max="764" width="5.6640625" style="40" customWidth="1"/>
    <col min="765" max="765" width="6.5546875" style="40" customWidth="1"/>
    <col min="766" max="766" width="8.88671875" style="40"/>
    <col min="767" max="767" width="12.33203125" style="40" customWidth="1"/>
    <col min="768" max="768" width="32.5546875" style="40" customWidth="1"/>
    <col min="769" max="769" width="15.5546875" style="40" customWidth="1"/>
    <col min="770" max="770" width="28.88671875" style="40" customWidth="1"/>
    <col min="771" max="771" width="14" style="40" bestFit="1" customWidth="1"/>
    <col min="772" max="773" width="15" style="40" bestFit="1" customWidth="1"/>
    <col min="774" max="774" width="18.109375" style="40" customWidth="1"/>
    <col min="775" max="775" width="20.88671875" style="40" customWidth="1"/>
    <col min="776" max="776" width="15.109375" style="40" customWidth="1"/>
    <col min="777" max="777" width="13.88671875" style="40" bestFit="1" customWidth="1"/>
    <col min="778" max="778" width="12.33203125" style="40" bestFit="1" customWidth="1"/>
    <col min="779" max="779" width="23.44140625" style="40" bestFit="1" customWidth="1"/>
    <col min="780" max="1014" width="8.88671875" style="40"/>
    <col min="1015" max="1017" width="1.6640625" style="40" customWidth="1"/>
    <col min="1018" max="1018" width="12.109375" style="40" customWidth="1"/>
    <col min="1019" max="1019" width="16" style="40" customWidth="1"/>
    <col min="1020" max="1020" width="5.6640625" style="40" customWidth="1"/>
    <col min="1021" max="1021" width="6.5546875" style="40" customWidth="1"/>
    <col min="1022" max="1022" width="8.88671875" style="40"/>
    <col min="1023" max="1023" width="12.33203125" style="40" customWidth="1"/>
    <col min="1024" max="1024" width="32.5546875" style="40" customWidth="1"/>
    <col min="1025" max="1025" width="15.5546875" style="40" customWidth="1"/>
    <col min="1026" max="1026" width="28.88671875" style="40" customWidth="1"/>
    <col min="1027" max="1027" width="14" style="40" bestFit="1" customWidth="1"/>
    <col min="1028" max="1029" width="15" style="40" bestFit="1" customWidth="1"/>
    <col min="1030" max="1030" width="18.109375" style="40" customWidth="1"/>
    <col min="1031" max="1031" width="20.88671875" style="40" customWidth="1"/>
    <col min="1032" max="1032" width="15.109375" style="40" customWidth="1"/>
    <col min="1033" max="1033" width="13.88671875" style="40" bestFit="1" customWidth="1"/>
    <col min="1034" max="1034" width="12.33203125" style="40" bestFit="1" customWidth="1"/>
    <col min="1035" max="1035" width="23.44140625" style="40" bestFit="1" customWidth="1"/>
    <col min="1036" max="1270" width="8.88671875" style="40"/>
    <col min="1271" max="1273" width="1.6640625" style="40" customWidth="1"/>
    <col min="1274" max="1274" width="12.109375" style="40" customWidth="1"/>
    <col min="1275" max="1275" width="16" style="40" customWidth="1"/>
    <col min="1276" max="1276" width="5.6640625" style="40" customWidth="1"/>
    <col min="1277" max="1277" width="6.5546875" style="40" customWidth="1"/>
    <col min="1278" max="1278" width="8.88671875" style="40"/>
    <col min="1279" max="1279" width="12.33203125" style="40" customWidth="1"/>
    <col min="1280" max="1280" width="32.5546875" style="40" customWidth="1"/>
    <col min="1281" max="1281" width="15.5546875" style="40" customWidth="1"/>
    <col min="1282" max="1282" width="28.88671875" style="40" customWidth="1"/>
    <col min="1283" max="1283" width="14" style="40" bestFit="1" customWidth="1"/>
    <col min="1284" max="1285" width="15" style="40" bestFit="1" customWidth="1"/>
    <col min="1286" max="1286" width="18.109375" style="40" customWidth="1"/>
    <col min="1287" max="1287" width="20.88671875" style="40" customWidth="1"/>
    <col min="1288" max="1288" width="15.109375" style="40" customWidth="1"/>
    <col min="1289" max="1289" width="13.88671875" style="40" bestFit="1" customWidth="1"/>
    <col min="1290" max="1290" width="12.33203125" style="40" bestFit="1" customWidth="1"/>
    <col min="1291" max="1291" width="23.44140625" style="40" bestFit="1" customWidth="1"/>
    <col min="1292" max="1526" width="8.88671875" style="40"/>
    <col min="1527" max="1529" width="1.6640625" style="40" customWidth="1"/>
    <col min="1530" max="1530" width="12.109375" style="40" customWidth="1"/>
    <col min="1531" max="1531" width="16" style="40" customWidth="1"/>
    <col min="1532" max="1532" width="5.6640625" style="40" customWidth="1"/>
    <col min="1533" max="1533" width="6.5546875" style="40" customWidth="1"/>
    <col min="1534" max="1534" width="8.88671875" style="40"/>
    <col min="1535" max="1535" width="12.33203125" style="40" customWidth="1"/>
    <col min="1536" max="1536" width="32.5546875" style="40" customWidth="1"/>
    <col min="1537" max="1537" width="15.5546875" style="40" customWidth="1"/>
    <col min="1538" max="1538" width="28.88671875" style="40" customWidth="1"/>
    <col min="1539" max="1539" width="14" style="40" bestFit="1" customWidth="1"/>
    <col min="1540" max="1541" width="15" style="40" bestFit="1" customWidth="1"/>
    <col min="1542" max="1542" width="18.109375" style="40" customWidth="1"/>
    <col min="1543" max="1543" width="20.88671875" style="40" customWidth="1"/>
    <col min="1544" max="1544" width="15.109375" style="40" customWidth="1"/>
    <col min="1545" max="1545" width="13.88671875" style="40" bestFit="1" customWidth="1"/>
    <col min="1546" max="1546" width="12.33203125" style="40" bestFit="1" customWidth="1"/>
    <col min="1547" max="1547" width="23.44140625" style="40" bestFit="1" customWidth="1"/>
    <col min="1548" max="1782" width="8.88671875" style="40"/>
    <col min="1783" max="1785" width="1.6640625" style="40" customWidth="1"/>
    <col min="1786" max="1786" width="12.109375" style="40" customWidth="1"/>
    <col min="1787" max="1787" width="16" style="40" customWidth="1"/>
    <col min="1788" max="1788" width="5.6640625" style="40" customWidth="1"/>
    <col min="1789" max="1789" width="6.5546875" style="40" customWidth="1"/>
    <col min="1790" max="1790" width="8.88671875" style="40"/>
    <col min="1791" max="1791" width="12.33203125" style="40" customWidth="1"/>
    <col min="1792" max="1792" width="32.5546875" style="40" customWidth="1"/>
    <col min="1793" max="1793" width="15.5546875" style="40" customWidth="1"/>
    <col min="1794" max="1794" width="28.88671875" style="40" customWidth="1"/>
    <col min="1795" max="1795" width="14" style="40" bestFit="1" customWidth="1"/>
    <col min="1796" max="1797" width="15" style="40" bestFit="1" customWidth="1"/>
    <col min="1798" max="1798" width="18.109375" style="40" customWidth="1"/>
    <col min="1799" max="1799" width="20.88671875" style="40" customWidth="1"/>
    <col min="1800" max="1800" width="15.109375" style="40" customWidth="1"/>
    <col min="1801" max="1801" width="13.88671875" style="40" bestFit="1" customWidth="1"/>
    <col min="1802" max="1802" width="12.33203125" style="40" bestFit="1" customWidth="1"/>
    <col min="1803" max="1803" width="23.44140625" style="40" bestFit="1" customWidth="1"/>
    <col min="1804" max="2038" width="8.88671875" style="40"/>
    <col min="2039" max="2041" width="1.6640625" style="40" customWidth="1"/>
    <col min="2042" max="2042" width="12.109375" style="40" customWidth="1"/>
    <col min="2043" max="2043" width="16" style="40" customWidth="1"/>
    <col min="2044" max="2044" width="5.6640625" style="40" customWidth="1"/>
    <col min="2045" max="2045" width="6.5546875" style="40" customWidth="1"/>
    <col min="2046" max="2046" width="8.88671875" style="40"/>
    <col min="2047" max="2047" width="12.33203125" style="40" customWidth="1"/>
    <col min="2048" max="2048" width="32.5546875" style="40" customWidth="1"/>
    <col min="2049" max="2049" width="15.5546875" style="40" customWidth="1"/>
    <col min="2050" max="2050" width="28.88671875" style="40" customWidth="1"/>
    <col min="2051" max="2051" width="14" style="40" bestFit="1" customWidth="1"/>
    <col min="2052" max="2053" width="15" style="40" bestFit="1" customWidth="1"/>
    <col min="2054" max="2054" width="18.109375" style="40" customWidth="1"/>
    <col min="2055" max="2055" width="20.88671875" style="40" customWidth="1"/>
    <col min="2056" max="2056" width="15.109375" style="40" customWidth="1"/>
    <col min="2057" max="2057" width="13.88671875" style="40" bestFit="1" customWidth="1"/>
    <col min="2058" max="2058" width="12.33203125" style="40" bestFit="1" customWidth="1"/>
    <col min="2059" max="2059" width="23.44140625" style="40" bestFit="1" customWidth="1"/>
    <col min="2060" max="2294" width="8.88671875" style="40"/>
    <col min="2295" max="2297" width="1.6640625" style="40" customWidth="1"/>
    <col min="2298" max="2298" width="12.109375" style="40" customWidth="1"/>
    <col min="2299" max="2299" width="16" style="40" customWidth="1"/>
    <col min="2300" max="2300" width="5.6640625" style="40" customWidth="1"/>
    <col min="2301" max="2301" width="6.5546875" style="40" customWidth="1"/>
    <col min="2302" max="2302" width="8.88671875" style="40"/>
    <col min="2303" max="2303" width="12.33203125" style="40" customWidth="1"/>
    <col min="2304" max="2304" width="32.5546875" style="40" customWidth="1"/>
    <col min="2305" max="2305" width="15.5546875" style="40" customWidth="1"/>
    <col min="2306" max="2306" width="28.88671875" style="40" customWidth="1"/>
    <col min="2307" max="2307" width="14" style="40" bestFit="1" customWidth="1"/>
    <col min="2308" max="2309" width="15" style="40" bestFit="1" customWidth="1"/>
    <col min="2310" max="2310" width="18.109375" style="40" customWidth="1"/>
    <col min="2311" max="2311" width="20.88671875" style="40" customWidth="1"/>
    <col min="2312" max="2312" width="15.109375" style="40" customWidth="1"/>
    <col min="2313" max="2313" width="13.88671875" style="40" bestFit="1" customWidth="1"/>
    <col min="2314" max="2314" width="12.33203125" style="40" bestFit="1" customWidth="1"/>
    <col min="2315" max="2315" width="23.44140625" style="40" bestFit="1" customWidth="1"/>
    <col min="2316" max="2550" width="8.88671875" style="40"/>
    <col min="2551" max="2553" width="1.6640625" style="40" customWidth="1"/>
    <col min="2554" max="2554" width="12.109375" style="40" customWidth="1"/>
    <col min="2555" max="2555" width="16" style="40" customWidth="1"/>
    <col min="2556" max="2556" width="5.6640625" style="40" customWidth="1"/>
    <col min="2557" max="2557" width="6.5546875" style="40" customWidth="1"/>
    <col min="2558" max="2558" width="8.88671875" style="40"/>
    <col min="2559" max="2559" width="12.33203125" style="40" customWidth="1"/>
    <col min="2560" max="2560" width="32.5546875" style="40" customWidth="1"/>
    <col min="2561" max="2561" width="15.5546875" style="40" customWidth="1"/>
    <col min="2562" max="2562" width="28.88671875" style="40" customWidth="1"/>
    <col min="2563" max="2563" width="14" style="40" bestFit="1" customWidth="1"/>
    <col min="2564" max="2565" width="15" style="40" bestFit="1" customWidth="1"/>
    <col min="2566" max="2566" width="18.109375" style="40" customWidth="1"/>
    <col min="2567" max="2567" width="20.88671875" style="40" customWidth="1"/>
    <col min="2568" max="2568" width="15.109375" style="40" customWidth="1"/>
    <col min="2569" max="2569" width="13.88671875" style="40" bestFit="1" customWidth="1"/>
    <col min="2570" max="2570" width="12.33203125" style="40" bestFit="1" customWidth="1"/>
    <col min="2571" max="2571" width="23.44140625" style="40" bestFit="1" customWidth="1"/>
    <col min="2572" max="2806" width="8.88671875" style="40"/>
    <col min="2807" max="2809" width="1.6640625" style="40" customWidth="1"/>
    <col min="2810" max="2810" width="12.109375" style="40" customWidth="1"/>
    <col min="2811" max="2811" width="16" style="40" customWidth="1"/>
    <col min="2812" max="2812" width="5.6640625" style="40" customWidth="1"/>
    <col min="2813" max="2813" width="6.5546875" style="40" customWidth="1"/>
    <col min="2814" max="2814" width="8.88671875" style="40"/>
    <col min="2815" max="2815" width="12.33203125" style="40" customWidth="1"/>
    <col min="2816" max="2816" width="32.5546875" style="40" customWidth="1"/>
    <col min="2817" max="2817" width="15.5546875" style="40" customWidth="1"/>
    <col min="2818" max="2818" width="28.88671875" style="40" customWidth="1"/>
    <col min="2819" max="2819" width="14" style="40" bestFit="1" customWidth="1"/>
    <col min="2820" max="2821" width="15" style="40" bestFit="1" customWidth="1"/>
    <col min="2822" max="2822" width="18.109375" style="40" customWidth="1"/>
    <col min="2823" max="2823" width="20.88671875" style="40" customWidth="1"/>
    <col min="2824" max="2824" width="15.109375" style="40" customWidth="1"/>
    <col min="2825" max="2825" width="13.88671875" style="40" bestFit="1" customWidth="1"/>
    <col min="2826" max="2826" width="12.33203125" style="40" bestFit="1" customWidth="1"/>
    <col min="2827" max="2827" width="23.44140625" style="40" bestFit="1" customWidth="1"/>
    <col min="2828" max="3062" width="8.88671875" style="40"/>
    <col min="3063" max="3065" width="1.6640625" style="40" customWidth="1"/>
    <col min="3066" max="3066" width="12.109375" style="40" customWidth="1"/>
    <col min="3067" max="3067" width="16" style="40" customWidth="1"/>
    <col min="3068" max="3068" width="5.6640625" style="40" customWidth="1"/>
    <col min="3069" max="3069" width="6.5546875" style="40" customWidth="1"/>
    <col min="3070" max="3070" width="8.88671875" style="40"/>
    <col min="3071" max="3071" width="12.33203125" style="40" customWidth="1"/>
    <col min="3072" max="3072" width="32.5546875" style="40" customWidth="1"/>
    <col min="3073" max="3073" width="15.5546875" style="40" customWidth="1"/>
    <col min="3074" max="3074" width="28.88671875" style="40" customWidth="1"/>
    <col min="3075" max="3075" width="14" style="40" bestFit="1" customWidth="1"/>
    <col min="3076" max="3077" width="15" style="40" bestFit="1" customWidth="1"/>
    <col min="3078" max="3078" width="18.109375" style="40" customWidth="1"/>
    <col min="3079" max="3079" width="20.88671875" style="40" customWidth="1"/>
    <col min="3080" max="3080" width="15.109375" style="40" customWidth="1"/>
    <col min="3081" max="3081" width="13.88671875" style="40" bestFit="1" customWidth="1"/>
    <col min="3082" max="3082" width="12.33203125" style="40" bestFit="1" customWidth="1"/>
    <col min="3083" max="3083" width="23.44140625" style="40" bestFit="1" customWidth="1"/>
    <col min="3084" max="3318" width="8.88671875" style="40"/>
    <col min="3319" max="3321" width="1.6640625" style="40" customWidth="1"/>
    <col min="3322" max="3322" width="12.109375" style="40" customWidth="1"/>
    <col min="3323" max="3323" width="16" style="40" customWidth="1"/>
    <col min="3324" max="3324" width="5.6640625" style="40" customWidth="1"/>
    <col min="3325" max="3325" width="6.5546875" style="40" customWidth="1"/>
    <col min="3326" max="3326" width="8.88671875" style="40"/>
    <col min="3327" max="3327" width="12.33203125" style="40" customWidth="1"/>
    <col min="3328" max="3328" width="32.5546875" style="40" customWidth="1"/>
    <col min="3329" max="3329" width="15.5546875" style="40" customWidth="1"/>
    <col min="3330" max="3330" width="28.88671875" style="40" customWidth="1"/>
    <col min="3331" max="3331" width="14" style="40" bestFit="1" customWidth="1"/>
    <col min="3332" max="3333" width="15" style="40" bestFit="1" customWidth="1"/>
    <col min="3334" max="3334" width="18.109375" style="40" customWidth="1"/>
    <col min="3335" max="3335" width="20.88671875" style="40" customWidth="1"/>
    <col min="3336" max="3336" width="15.109375" style="40" customWidth="1"/>
    <col min="3337" max="3337" width="13.88671875" style="40" bestFit="1" customWidth="1"/>
    <col min="3338" max="3338" width="12.33203125" style="40" bestFit="1" customWidth="1"/>
    <col min="3339" max="3339" width="23.44140625" style="40" bestFit="1" customWidth="1"/>
    <col min="3340" max="3574" width="8.88671875" style="40"/>
    <col min="3575" max="3577" width="1.6640625" style="40" customWidth="1"/>
    <col min="3578" max="3578" width="12.109375" style="40" customWidth="1"/>
    <col min="3579" max="3579" width="16" style="40" customWidth="1"/>
    <col min="3580" max="3580" width="5.6640625" style="40" customWidth="1"/>
    <col min="3581" max="3581" width="6.5546875" style="40" customWidth="1"/>
    <col min="3582" max="3582" width="8.88671875" style="40"/>
    <col min="3583" max="3583" width="12.33203125" style="40" customWidth="1"/>
    <col min="3584" max="3584" width="32.5546875" style="40" customWidth="1"/>
    <col min="3585" max="3585" width="15.5546875" style="40" customWidth="1"/>
    <col min="3586" max="3586" width="28.88671875" style="40" customWidth="1"/>
    <col min="3587" max="3587" width="14" style="40" bestFit="1" customWidth="1"/>
    <col min="3588" max="3589" width="15" style="40" bestFit="1" customWidth="1"/>
    <col min="3590" max="3590" width="18.109375" style="40" customWidth="1"/>
    <col min="3591" max="3591" width="20.88671875" style="40" customWidth="1"/>
    <col min="3592" max="3592" width="15.109375" style="40" customWidth="1"/>
    <col min="3593" max="3593" width="13.88671875" style="40" bestFit="1" customWidth="1"/>
    <col min="3594" max="3594" width="12.33203125" style="40" bestFit="1" customWidth="1"/>
    <col min="3595" max="3595" width="23.44140625" style="40" bestFit="1" customWidth="1"/>
    <col min="3596" max="3830" width="8.88671875" style="40"/>
    <col min="3831" max="3833" width="1.6640625" style="40" customWidth="1"/>
    <col min="3834" max="3834" width="12.109375" style="40" customWidth="1"/>
    <col min="3835" max="3835" width="16" style="40" customWidth="1"/>
    <col min="3836" max="3836" width="5.6640625" style="40" customWidth="1"/>
    <col min="3837" max="3837" width="6.5546875" style="40" customWidth="1"/>
    <col min="3838" max="3838" width="8.88671875" style="40"/>
    <col min="3839" max="3839" width="12.33203125" style="40" customWidth="1"/>
    <col min="3840" max="3840" width="32.5546875" style="40" customWidth="1"/>
    <col min="3841" max="3841" width="15.5546875" style="40" customWidth="1"/>
    <col min="3842" max="3842" width="28.88671875" style="40" customWidth="1"/>
    <col min="3843" max="3843" width="14" style="40" bestFit="1" customWidth="1"/>
    <col min="3844" max="3845" width="15" style="40" bestFit="1" customWidth="1"/>
    <col min="3846" max="3846" width="18.109375" style="40" customWidth="1"/>
    <col min="3847" max="3847" width="20.88671875" style="40" customWidth="1"/>
    <col min="3848" max="3848" width="15.109375" style="40" customWidth="1"/>
    <col min="3849" max="3849" width="13.88671875" style="40" bestFit="1" customWidth="1"/>
    <col min="3850" max="3850" width="12.33203125" style="40" bestFit="1" customWidth="1"/>
    <col min="3851" max="3851" width="23.44140625" style="40" bestFit="1" customWidth="1"/>
    <col min="3852" max="4086" width="8.88671875" style="40"/>
    <col min="4087" max="4089" width="1.6640625" style="40" customWidth="1"/>
    <col min="4090" max="4090" width="12.109375" style="40" customWidth="1"/>
    <col min="4091" max="4091" width="16" style="40" customWidth="1"/>
    <col min="4092" max="4092" width="5.6640625" style="40" customWidth="1"/>
    <col min="4093" max="4093" width="6.5546875" style="40" customWidth="1"/>
    <col min="4094" max="4094" width="8.88671875" style="40"/>
    <col min="4095" max="4095" width="12.33203125" style="40" customWidth="1"/>
    <col min="4096" max="4096" width="32.5546875" style="40" customWidth="1"/>
    <col min="4097" max="4097" width="15.5546875" style="40" customWidth="1"/>
    <col min="4098" max="4098" width="28.88671875" style="40" customWidth="1"/>
    <col min="4099" max="4099" width="14" style="40" bestFit="1" customWidth="1"/>
    <col min="4100" max="4101" width="15" style="40" bestFit="1" customWidth="1"/>
    <col min="4102" max="4102" width="18.109375" style="40" customWidth="1"/>
    <col min="4103" max="4103" width="20.88671875" style="40" customWidth="1"/>
    <col min="4104" max="4104" width="15.109375" style="40" customWidth="1"/>
    <col min="4105" max="4105" width="13.88671875" style="40" bestFit="1" customWidth="1"/>
    <col min="4106" max="4106" width="12.33203125" style="40" bestFit="1" customWidth="1"/>
    <col min="4107" max="4107" width="23.44140625" style="40" bestFit="1" customWidth="1"/>
    <col min="4108" max="4342" width="8.88671875" style="40"/>
    <col min="4343" max="4345" width="1.6640625" style="40" customWidth="1"/>
    <col min="4346" max="4346" width="12.109375" style="40" customWidth="1"/>
    <col min="4347" max="4347" width="16" style="40" customWidth="1"/>
    <col min="4348" max="4348" width="5.6640625" style="40" customWidth="1"/>
    <col min="4349" max="4349" width="6.5546875" style="40" customWidth="1"/>
    <col min="4350" max="4350" width="8.88671875" style="40"/>
    <col min="4351" max="4351" width="12.33203125" style="40" customWidth="1"/>
    <col min="4352" max="4352" width="32.5546875" style="40" customWidth="1"/>
    <col min="4353" max="4353" width="15.5546875" style="40" customWidth="1"/>
    <col min="4354" max="4354" width="28.88671875" style="40" customWidth="1"/>
    <col min="4355" max="4355" width="14" style="40" bestFit="1" customWidth="1"/>
    <col min="4356" max="4357" width="15" style="40" bestFit="1" customWidth="1"/>
    <col min="4358" max="4358" width="18.109375" style="40" customWidth="1"/>
    <col min="4359" max="4359" width="20.88671875" style="40" customWidth="1"/>
    <col min="4360" max="4360" width="15.109375" style="40" customWidth="1"/>
    <col min="4361" max="4361" width="13.88671875" style="40" bestFit="1" customWidth="1"/>
    <col min="4362" max="4362" width="12.33203125" style="40" bestFit="1" customWidth="1"/>
    <col min="4363" max="4363" width="23.44140625" style="40" bestFit="1" customWidth="1"/>
    <col min="4364" max="4598" width="8.88671875" style="40"/>
    <col min="4599" max="4601" width="1.6640625" style="40" customWidth="1"/>
    <col min="4602" max="4602" width="12.109375" style="40" customWidth="1"/>
    <col min="4603" max="4603" width="16" style="40" customWidth="1"/>
    <col min="4604" max="4604" width="5.6640625" style="40" customWidth="1"/>
    <col min="4605" max="4605" width="6.5546875" style="40" customWidth="1"/>
    <col min="4606" max="4606" width="8.88671875" style="40"/>
    <col min="4607" max="4607" width="12.33203125" style="40" customWidth="1"/>
    <col min="4608" max="4608" width="32.5546875" style="40" customWidth="1"/>
    <col min="4609" max="4609" width="15.5546875" style="40" customWidth="1"/>
    <col min="4610" max="4610" width="28.88671875" style="40" customWidth="1"/>
    <col min="4611" max="4611" width="14" style="40" bestFit="1" customWidth="1"/>
    <col min="4612" max="4613" width="15" style="40" bestFit="1" customWidth="1"/>
    <col min="4614" max="4614" width="18.109375" style="40" customWidth="1"/>
    <col min="4615" max="4615" width="20.88671875" style="40" customWidth="1"/>
    <col min="4616" max="4616" width="15.109375" style="40" customWidth="1"/>
    <col min="4617" max="4617" width="13.88671875" style="40" bestFit="1" customWidth="1"/>
    <col min="4618" max="4618" width="12.33203125" style="40" bestFit="1" customWidth="1"/>
    <col min="4619" max="4619" width="23.44140625" style="40" bestFit="1" customWidth="1"/>
    <col min="4620" max="4854" width="8.88671875" style="40"/>
    <col min="4855" max="4857" width="1.6640625" style="40" customWidth="1"/>
    <col min="4858" max="4858" width="12.109375" style="40" customWidth="1"/>
    <col min="4859" max="4859" width="16" style="40" customWidth="1"/>
    <col min="4860" max="4860" width="5.6640625" style="40" customWidth="1"/>
    <col min="4861" max="4861" width="6.5546875" style="40" customWidth="1"/>
    <col min="4862" max="4862" width="8.88671875" style="40"/>
    <col min="4863" max="4863" width="12.33203125" style="40" customWidth="1"/>
    <col min="4864" max="4864" width="32.5546875" style="40" customWidth="1"/>
    <col min="4865" max="4865" width="15.5546875" style="40" customWidth="1"/>
    <col min="4866" max="4866" width="28.88671875" style="40" customWidth="1"/>
    <col min="4867" max="4867" width="14" style="40" bestFit="1" customWidth="1"/>
    <col min="4868" max="4869" width="15" style="40" bestFit="1" customWidth="1"/>
    <col min="4870" max="4870" width="18.109375" style="40" customWidth="1"/>
    <col min="4871" max="4871" width="20.88671875" style="40" customWidth="1"/>
    <col min="4872" max="4872" width="15.109375" style="40" customWidth="1"/>
    <col min="4873" max="4873" width="13.88671875" style="40" bestFit="1" customWidth="1"/>
    <col min="4874" max="4874" width="12.33203125" style="40" bestFit="1" customWidth="1"/>
    <col min="4875" max="4875" width="23.44140625" style="40" bestFit="1" customWidth="1"/>
    <col min="4876" max="5110" width="8.88671875" style="40"/>
    <col min="5111" max="5113" width="1.6640625" style="40" customWidth="1"/>
    <col min="5114" max="5114" width="12.109375" style="40" customWidth="1"/>
    <col min="5115" max="5115" width="16" style="40" customWidth="1"/>
    <col min="5116" max="5116" width="5.6640625" style="40" customWidth="1"/>
    <col min="5117" max="5117" width="6.5546875" style="40" customWidth="1"/>
    <col min="5118" max="5118" width="8.88671875" style="40"/>
    <col min="5119" max="5119" width="12.33203125" style="40" customWidth="1"/>
    <col min="5120" max="5120" width="32.5546875" style="40" customWidth="1"/>
    <col min="5121" max="5121" width="15.5546875" style="40" customWidth="1"/>
    <col min="5122" max="5122" width="28.88671875" style="40" customWidth="1"/>
    <col min="5123" max="5123" width="14" style="40" bestFit="1" customWidth="1"/>
    <col min="5124" max="5125" width="15" style="40" bestFit="1" customWidth="1"/>
    <col min="5126" max="5126" width="18.109375" style="40" customWidth="1"/>
    <col min="5127" max="5127" width="20.88671875" style="40" customWidth="1"/>
    <col min="5128" max="5128" width="15.109375" style="40" customWidth="1"/>
    <col min="5129" max="5129" width="13.88671875" style="40" bestFit="1" customWidth="1"/>
    <col min="5130" max="5130" width="12.33203125" style="40" bestFit="1" customWidth="1"/>
    <col min="5131" max="5131" width="23.44140625" style="40" bestFit="1" customWidth="1"/>
    <col min="5132" max="5366" width="8.88671875" style="40"/>
    <col min="5367" max="5369" width="1.6640625" style="40" customWidth="1"/>
    <col min="5370" max="5370" width="12.109375" style="40" customWidth="1"/>
    <col min="5371" max="5371" width="16" style="40" customWidth="1"/>
    <col min="5372" max="5372" width="5.6640625" style="40" customWidth="1"/>
    <col min="5373" max="5373" width="6.5546875" style="40" customWidth="1"/>
    <col min="5374" max="5374" width="8.88671875" style="40"/>
    <col min="5375" max="5375" width="12.33203125" style="40" customWidth="1"/>
    <col min="5376" max="5376" width="32.5546875" style="40" customWidth="1"/>
    <col min="5377" max="5377" width="15.5546875" style="40" customWidth="1"/>
    <col min="5378" max="5378" width="28.88671875" style="40" customWidth="1"/>
    <col min="5379" max="5379" width="14" style="40" bestFit="1" customWidth="1"/>
    <col min="5380" max="5381" width="15" style="40" bestFit="1" customWidth="1"/>
    <col min="5382" max="5382" width="18.109375" style="40" customWidth="1"/>
    <col min="5383" max="5383" width="20.88671875" style="40" customWidth="1"/>
    <col min="5384" max="5384" width="15.109375" style="40" customWidth="1"/>
    <col min="5385" max="5385" width="13.88671875" style="40" bestFit="1" customWidth="1"/>
    <col min="5386" max="5386" width="12.33203125" style="40" bestFit="1" customWidth="1"/>
    <col min="5387" max="5387" width="23.44140625" style="40" bestFit="1" customWidth="1"/>
    <col min="5388" max="5622" width="8.88671875" style="40"/>
    <col min="5623" max="5625" width="1.6640625" style="40" customWidth="1"/>
    <col min="5626" max="5626" width="12.109375" style="40" customWidth="1"/>
    <col min="5627" max="5627" width="16" style="40" customWidth="1"/>
    <col min="5628" max="5628" width="5.6640625" style="40" customWidth="1"/>
    <col min="5629" max="5629" width="6.5546875" style="40" customWidth="1"/>
    <col min="5630" max="5630" width="8.88671875" style="40"/>
    <col min="5631" max="5631" width="12.33203125" style="40" customWidth="1"/>
    <col min="5632" max="5632" width="32.5546875" style="40" customWidth="1"/>
    <col min="5633" max="5633" width="15.5546875" style="40" customWidth="1"/>
    <col min="5634" max="5634" width="28.88671875" style="40" customWidth="1"/>
    <col min="5635" max="5635" width="14" style="40" bestFit="1" customWidth="1"/>
    <col min="5636" max="5637" width="15" style="40" bestFit="1" customWidth="1"/>
    <col min="5638" max="5638" width="18.109375" style="40" customWidth="1"/>
    <col min="5639" max="5639" width="20.88671875" style="40" customWidth="1"/>
    <col min="5640" max="5640" width="15.109375" style="40" customWidth="1"/>
    <col min="5641" max="5641" width="13.88671875" style="40" bestFit="1" customWidth="1"/>
    <col min="5642" max="5642" width="12.33203125" style="40" bestFit="1" customWidth="1"/>
    <col min="5643" max="5643" width="23.44140625" style="40" bestFit="1" customWidth="1"/>
    <col min="5644" max="5878" width="8.88671875" style="40"/>
    <col min="5879" max="5881" width="1.6640625" style="40" customWidth="1"/>
    <col min="5882" max="5882" width="12.109375" style="40" customWidth="1"/>
    <col min="5883" max="5883" width="16" style="40" customWidth="1"/>
    <col min="5884" max="5884" width="5.6640625" style="40" customWidth="1"/>
    <col min="5885" max="5885" width="6.5546875" style="40" customWidth="1"/>
    <col min="5886" max="5886" width="8.88671875" style="40"/>
    <col min="5887" max="5887" width="12.33203125" style="40" customWidth="1"/>
    <col min="5888" max="5888" width="32.5546875" style="40" customWidth="1"/>
    <col min="5889" max="5889" width="15.5546875" style="40" customWidth="1"/>
    <col min="5890" max="5890" width="28.88671875" style="40" customWidth="1"/>
    <col min="5891" max="5891" width="14" style="40" bestFit="1" customWidth="1"/>
    <col min="5892" max="5893" width="15" style="40" bestFit="1" customWidth="1"/>
    <col min="5894" max="5894" width="18.109375" style="40" customWidth="1"/>
    <col min="5895" max="5895" width="20.88671875" style="40" customWidth="1"/>
    <col min="5896" max="5896" width="15.109375" style="40" customWidth="1"/>
    <col min="5897" max="5897" width="13.88671875" style="40" bestFit="1" customWidth="1"/>
    <col min="5898" max="5898" width="12.33203125" style="40" bestFit="1" customWidth="1"/>
    <col min="5899" max="5899" width="23.44140625" style="40" bestFit="1" customWidth="1"/>
    <col min="5900" max="6134" width="8.88671875" style="40"/>
    <col min="6135" max="6137" width="1.6640625" style="40" customWidth="1"/>
    <col min="6138" max="6138" width="12.109375" style="40" customWidth="1"/>
    <col min="6139" max="6139" width="16" style="40" customWidth="1"/>
    <col min="6140" max="6140" width="5.6640625" style="40" customWidth="1"/>
    <col min="6141" max="6141" width="6.5546875" style="40" customWidth="1"/>
    <col min="6142" max="6142" width="8.88671875" style="40"/>
    <col min="6143" max="6143" width="12.33203125" style="40" customWidth="1"/>
    <col min="6144" max="6144" width="32.5546875" style="40" customWidth="1"/>
    <col min="6145" max="6145" width="15.5546875" style="40" customWidth="1"/>
    <col min="6146" max="6146" width="28.88671875" style="40" customWidth="1"/>
    <col min="6147" max="6147" width="14" style="40" bestFit="1" customWidth="1"/>
    <col min="6148" max="6149" width="15" style="40" bestFit="1" customWidth="1"/>
    <col min="6150" max="6150" width="18.109375" style="40" customWidth="1"/>
    <col min="6151" max="6151" width="20.88671875" style="40" customWidth="1"/>
    <col min="6152" max="6152" width="15.109375" style="40" customWidth="1"/>
    <col min="6153" max="6153" width="13.88671875" style="40" bestFit="1" customWidth="1"/>
    <col min="6154" max="6154" width="12.33203125" style="40" bestFit="1" customWidth="1"/>
    <col min="6155" max="6155" width="23.44140625" style="40" bestFit="1" customWidth="1"/>
    <col min="6156" max="6390" width="8.88671875" style="40"/>
    <col min="6391" max="6393" width="1.6640625" style="40" customWidth="1"/>
    <col min="6394" max="6394" width="12.109375" style="40" customWidth="1"/>
    <col min="6395" max="6395" width="16" style="40" customWidth="1"/>
    <col min="6396" max="6396" width="5.6640625" style="40" customWidth="1"/>
    <col min="6397" max="6397" width="6.5546875" style="40" customWidth="1"/>
    <col min="6398" max="6398" width="8.88671875" style="40"/>
    <col min="6399" max="6399" width="12.33203125" style="40" customWidth="1"/>
    <col min="6400" max="6400" width="32.5546875" style="40" customWidth="1"/>
    <col min="6401" max="6401" width="15.5546875" style="40" customWidth="1"/>
    <col min="6402" max="6402" width="28.88671875" style="40" customWidth="1"/>
    <col min="6403" max="6403" width="14" style="40" bestFit="1" customWidth="1"/>
    <col min="6404" max="6405" width="15" style="40" bestFit="1" customWidth="1"/>
    <col min="6406" max="6406" width="18.109375" style="40" customWidth="1"/>
    <col min="6407" max="6407" width="20.88671875" style="40" customWidth="1"/>
    <col min="6408" max="6408" width="15.109375" style="40" customWidth="1"/>
    <col min="6409" max="6409" width="13.88671875" style="40" bestFit="1" customWidth="1"/>
    <col min="6410" max="6410" width="12.33203125" style="40" bestFit="1" customWidth="1"/>
    <col min="6411" max="6411" width="23.44140625" style="40" bestFit="1" customWidth="1"/>
    <col min="6412" max="6646" width="8.88671875" style="40"/>
    <col min="6647" max="6649" width="1.6640625" style="40" customWidth="1"/>
    <col min="6650" max="6650" width="12.109375" style="40" customWidth="1"/>
    <col min="6651" max="6651" width="16" style="40" customWidth="1"/>
    <col min="6652" max="6652" width="5.6640625" style="40" customWidth="1"/>
    <col min="6653" max="6653" width="6.5546875" style="40" customWidth="1"/>
    <col min="6654" max="6654" width="8.88671875" style="40"/>
    <col min="6655" max="6655" width="12.33203125" style="40" customWidth="1"/>
    <col min="6656" max="6656" width="32.5546875" style="40" customWidth="1"/>
    <col min="6657" max="6657" width="15.5546875" style="40" customWidth="1"/>
    <col min="6658" max="6658" width="28.88671875" style="40" customWidth="1"/>
    <col min="6659" max="6659" width="14" style="40" bestFit="1" customWidth="1"/>
    <col min="6660" max="6661" width="15" style="40" bestFit="1" customWidth="1"/>
    <col min="6662" max="6662" width="18.109375" style="40" customWidth="1"/>
    <col min="6663" max="6663" width="20.88671875" style="40" customWidth="1"/>
    <col min="6664" max="6664" width="15.109375" style="40" customWidth="1"/>
    <col min="6665" max="6665" width="13.88671875" style="40" bestFit="1" customWidth="1"/>
    <col min="6666" max="6666" width="12.33203125" style="40" bestFit="1" customWidth="1"/>
    <col min="6667" max="6667" width="23.44140625" style="40" bestFit="1" customWidth="1"/>
    <col min="6668" max="6902" width="8.88671875" style="40"/>
    <col min="6903" max="6905" width="1.6640625" style="40" customWidth="1"/>
    <col min="6906" max="6906" width="12.109375" style="40" customWidth="1"/>
    <col min="6907" max="6907" width="16" style="40" customWidth="1"/>
    <col min="6908" max="6908" width="5.6640625" style="40" customWidth="1"/>
    <col min="6909" max="6909" width="6.5546875" style="40" customWidth="1"/>
    <col min="6910" max="6910" width="8.88671875" style="40"/>
    <col min="6911" max="6911" width="12.33203125" style="40" customWidth="1"/>
    <col min="6912" max="6912" width="32.5546875" style="40" customWidth="1"/>
    <col min="6913" max="6913" width="15.5546875" style="40" customWidth="1"/>
    <col min="6914" max="6914" width="28.88671875" style="40" customWidth="1"/>
    <col min="6915" max="6915" width="14" style="40" bestFit="1" customWidth="1"/>
    <col min="6916" max="6917" width="15" style="40" bestFit="1" customWidth="1"/>
    <col min="6918" max="6918" width="18.109375" style="40" customWidth="1"/>
    <col min="6919" max="6919" width="20.88671875" style="40" customWidth="1"/>
    <col min="6920" max="6920" width="15.109375" style="40" customWidth="1"/>
    <col min="6921" max="6921" width="13.88671875" style="40" bestFit="1" customWidth="1"/>
    <col min="6922" max="6922" width="12.33203125" style="40" bestFit="1" customWidth="1"/>
    <col min="6923" max="6923" width="23.44140625" style="40" bestFit="1" customWidth="1"/>
    <col min="6924" max="7158" width="8.88671875" style="40"/>
    <col min="7159" max="7161" width="1.6640625" style="40" customWidth="1"/>
    <col min="7162" max="7162" width="12.109375" style="40" customWidth="1"/>
    <col min="7163" max="7163" width="16" style="40" customWidth="1"/>
    <col min="7164" max="7164" width="5.6640625" style="40" customWidth="1"/>
    <col min="7165" max="7165" width="6.5546875" style="40" customWidth="1"/>
    <col min="7166" max="7166" width="8.88671875" style="40"/>
    <col min="7167" max="7167" width="12.33203125" style="40" customWidth="1"/>
    <col min="7168" max="7168" width="32.5546875" style="40" customWidth="1"/>
    <col min="7169" max="7169" width="15.5546875" style="40" customWidth="1"/>
    <col min="7170" max="7170" width="28.88671875" style="40" customWidth="1"/>
    <col min="7171" max="7171" width="14" style="40" bestFit="1" customWidth="1"/>
    <col min="7172" max="7173" width="15" style="40" bestFit="1" customWidth="1"/>
    <col min="7174" max="7174" width="18.109375" style="40" customWidth="1"/>
    <col min="7175" max="7175" width="20.88671875" style="40" customWidth="1"/>
    <col min="7176" max="7176" width="15.109375" style="40" customWidth="1"/>
    <col min="7177" max="7177" width="13.88671875" style="40" bestFit="1" customWidth="1"/>
    <col min="7178" max="7178" width="12.33203125" style="40" bestFit="1" customWidth="1"/>
    <col min="7179" max="7179" width="23.44140625" style="40" bestFit="1" customWidth="1"/>
    <col min="7180" max="7414" width="8.88671875" style="40"/>
    <col min="7415" max="7417" width="1.6640625" style="40" customWidth="1"/>
    <col min="7418" max="7418" width="12.109375" style="40" customWidth="1"/>
    <col min="7419" max="7419" width="16" style="40" customWidth="1"/>
    <col min="7420" max="7420" width="5.6640625" style="40" customWidth="1"/>
    <col min="7421" max="7421" width="6.5546875" style="40" customWidth="1"/>
    <col min="7422" max="7422" width="8.88671875" style="40"/>
    <col min="7423" max="7423" width="12.33203125" style="40" customWidth="1"/>
    <col min="7424" max="7424" width="32.5546875" style="40" customWidth="1"/>
    <col min="7425" max="7425" width="15.5546875" style="40" customWidth="1"/>
    <col min="7426" max="7426" width="28.88671875" style="40" customWidth="1"/>
    <col min="7427" max="7427" width="14" style="40" bestFit="1" customWidth="1"/>
    <col min="7428" max="7429" width="15" style="40" bestFit="1" customWidth="1"/>
    <col min="7430" max="7430" width="18.109375" style="40" customWidth="1"/>
    <col min="7431" max="7431" width="20.88671875" style="40" customWidth="1"/>
    <col min="7432" max="7432" width="15.109375" style="40" customWidth="1"/>
    <col min="7433" max="7433" width="13.88671875" style="40" bestFit="1" customWidth="1"/>
    <col min="7434" max="7434" width="12.33203125" style="40" bestFit="1" customWidth="1"/>
    <col min="7435" max="7435" width="23.44140625" style="40" bestFit="1" customWidth="1"/>
    <col min="7436" max="7670" width="8.88671875" style="40"/>
    <col min="7671" max="7673" width="1.6640625" style="40" customWidth="1"/>
    <col min="7674" max="7674" width="12.109375" style="40" customWidth="1"/>
    <col min="7675" max="7675" width="16" style="40" customWidth="1"/>
    <col min="7676" max="7676" width="5.6640625" style="40" customWidth="1"/>
    <col min="7677" max="7677" width="6.5546875" style="40" customWidth="1"/>
    <col min="7678" max="7678" width="8.88671875" style="40"/>
    <col min="7679" max="7679" width="12.33203125" style="40" customWidth="1"/>
    <col min="7680" max="7680" width="32.5546875" style="40" customWidth="1"/>
    <col min="7681" max="7681" width="15.5546875" style="40" customWidth="1"/>
    <col min="7682" max="7682" width="28.88671875" style="40" customWidth="1"/>
    <col min="7683" max="7683" width="14" style="40" bestFit="1" customWidth="1"/>
    <col min="7684" max="7685" width="15" style="40" bestFit="1" customWidth="1"/>
    <col min="7686" max="7686" width="18.109375" style="40" customWidth="1"/>
    <col min="7687" max="7687" width="20.88671875" style="40" customWidth="1"/>
    <col min="7688" max="7688" width="15.109375" style="40" customWidth="1"/>
    <col min="7689" max="7689" width="13.88671875" style="40" bestFit="1" customWidth="1"/>
    <col min="7690" max="7690" width="12.33203125" style="40" bestFit="1" customWidth="1"/>
    <col min="7691" max="7691" width="23.44140625" style="40" bestFit="1" customWidth="1"/>
    <col min="7692" max="7926" width="8.88671875" style="40"/>
    <col min="7927" max="7929" width="1.6640625" style="40" customWidth="1"/>
    <col min="7930" max="7930" width="12.109375" style="40" customWidth="1"/>
    <col min="7931" max="7931" width="16" style="40" customWidth="1"/>
    <col min="7932" max="7932" width="5.6640625" style="40" customWidth="1"/>
    <col min="7933" max="7933" width="6.5546875" style="40" customWidth="1"/>
    <col min="7934" max="7934" width="8.88671875" style="40"/>
    <col min="7935" max="7935" width="12.33203125" style="40" customWidth="1"/>
    <col min="7936" max="7936" width="32.5546875" style="40" customWidth="1"/>
    <col min="7937" max="7937" width="15.5546875" style="40" customWidth="1"/>
    <col min="7938" max="7938" width="28.88671875" style="40" customWidth="1"/>
    <col min="7939" max="7939" width="14" style="40" bestFit="1" customWidth="1"/>
    <col min="7940" max="7941" width="15" style="40" bestFit="1" customWidth="1"/>
    <col min="7942" max="7942" width="18.109375" style="40" customWidth="1"/>
    <col min="7943" max="7943" width="20.88671875" style="40" customWidth="1"/>
    <col min="7944" max="7944" width="15.109375" style="40" customWidth="1"/>
    <col min="7945" max="7945" width="13.88671875" style="40" bestFit="1" customWidth="1"/>
    <col min="7946" max="7946" width="12.33203125" style="40" bestFit="1" customWidth="1"/>
    <col min="7947" max="7947" width="23.44140625" style="40" bestFit="1" customWidth="1"/>
    <col min="7948" max="8182" width="8.88671875" style="40"/>
    <col min="8183" max="8185" width="1.6640625" style="40" customWidth="1"/>
    <col min="8186" max="8186" width="12.109375" style="40" customWidth="1"/>
    <col min="8187" max="8187" width="16" style="40" customWidth="1"/>
    <col min="8188" max="8188" width="5.6640625" style="40" customWidth="1"/>
    <col min="8189" max="8189" width="6.5546875" style="40" customWidth="1"/>
    <col min="8190" max="8190" width="8.88671875" style="40"/>
    <col min="8191" max="8191" width="12.33203125" style="40" customWidth="1"/>
    <col min="8192" max="8192" width="32.5546875" style="40" customWidth="1"/>
    <col min="8193" max="8193" width="15.5546875" style="40" customWidth="1"/>
    <col min="8194" max="8194" width="28.88671875" style="40" customWidth="1"/>
    <col min="8195" max="8195" width="14" style="40" bestFit="1" customWidth="1"/>
    <col min="8196" max="8197" width="15" style="40" bestFit="1" customWidth="1"/>
    <col min="8198" max="8198" width="18.109375" style="40" customWidth="1"/>
    <col min="8199" max="8199" width="20.88671875" style="40" customWidth="1"/>
    <col min="8200" max="8200" width="15.109375" style="40" customWidth="1"/>
    <col min="8201" max="8201" width="13.88671875" style="40" bestFit="1" customWidth="1"/>
    <col min="8202" max="8202" width="12.33203125" style="40" bestFit="1" customWidth="1"/>
    <col min="8203" max="8203" width="23.44140625" style="40" bestFit="1" customWidth="1"/>
    <col min="8204" max="8438" width="8.88671875" style="40"/>
    <col min="8439" max="8441" width="1.6640625" style="40" customWidth="1"/>
    <col min="8442" max="8442" width="12.109375" style="40" customWidth="1"/>
    <col min="8443" max="8443" width="16" style="40" customWidth="1"/>
    <col min="8444" max="8444" width="5.6640625" style="40" customWidth="1"/>
    <col min="8445" max="8445" width="6.5546875" style="40" customWidth="1"/>
    <col min="8446" max="8446" width="8.88671875" style="40"/>
    <col min="8447" max="8447" width="12.33203125" style="40" customWidth="1"/>
    <col min="8448" max="8448" width="32.5546875" style="40" customWidth="1"/>
    <col min="8449" max="8449" width="15.5546875" style="40" customWidth="1"/>
    <col min="8450" max="8450" width="28.88671875" style="40" customWidth="1"/>
    <col min="8451" max="8451" width="14" style="40" bestFit="1" customWidth="1"/>
    <col min="8452" max="8453" width="15" style="40" bestFit="1" customWidth="1"/>
    <col min="8454" max="8454" width="18.109375" style="40" customWidth="1"/>
    <col min="8455" max="8455" width="20.88671875" style="40" customWidth="1"/>
    <col min="8456" max="8456" width="15.109375" style="40" customWidth="1"/>
    <col min="8457" max="8457" width="13.88671875" style="40" bestFit="1" customWidth="1"/>
    <col min="8458" max="8458" width="12.33203125" style="40" bestFit="1" customWidth="1"/>
    <col min="8459" max="8459" width="23.44140625" style="40" bestFit="1" customWidth="1"/>
    <col min="8460" max="8694" width="8.88671875" style="40"/>
    <col min="8695" max="8697" width="1.6640625" style="40" customWidth="1"/>
    <col min="8698" max="8698" width="12.109375" style="40" customWidth="1"/>
    <col min="8699" max="8699" width="16" style="40" customWidth="1"/>
    <col min="8700" max="8700" width="5.6640625" style="40" customWidth="1"/>
    <col min="8701" max="8701" width="6.5546875" style="40" customWidth="1"/>
    <col min="8702" max="8702" width="8.88671875" style="40"/>
    <col min="8703" max="8703" width="12.33203125" style="40" customWidth="1"/>
    <col min="8704" max="8704" width="32.5546875" style="40" customWidth="1"/>
    <col min="8705" max="8705" width="15.5546875" style="40" customWidth="1"/>
    <col min="8706" max="8706" width="28.88671875" style="40" customWidth="1"/>
    <col min="8707" max="8707" width="14" style="40" bestFit="1" customWidth="1"/>
    <col min="8708" max="8709" width="15" style="40" bestFit="1" customWidth="1"/>
    <col min="8710" max="8710" width="18.109375" style="40" customWidth="1"/>
    <col min="8711" max="8711" width="20.88671875" style="40" customWidth="1"/>
    <col min="8712" max="8712" width="15.109375" style="40" customWidth="1"/>
    <col min="8713" max="8713" width="13.88671875" style="40" bestFit="1" customWidth="1"/>
    <col min="8714" max="8714" width="12.33203125" style="40" bestFit="1" customWidth="1"/>
    <col min="8715" max="8715" width="23.44140625" style="40" bestFit="1" customWidth="1"/>
    <col min="8716" max="8950" width="8.88671875" style="40"/>
    <col min="8951" max="8953" width="1.6640625" style="40" customWidth="1"/>
    <col min="8954" max="8954" width="12.109375" style="40" customWidth="1"/>
    <col min="8955" max="8955" width="16" style="40" customWidth="1"/>
    <col min="8956" max="8956" width="5.6640625" style="40" customWidth="1"/>
    <col min="8957" max="8957" width="6.5546875" style="40" customWidth="1"/>
    <col min="8958" max="8958" width="8.88671875" style="40"/>
    <col min="8959" max="8959" width="12.33203125" style="40" customWidth="1"/>
    <col min="8960" max="8960" width="32.5546875" style="40" customWidth="1"/>
    <col min="8961" max="8961" width="15.5546875" style="40" customWidth="1"/>
    <col min="8962" max="8962" width="28.88671875" style="40" customWidth="1"/>
    <col min="8963" max="8963" width="14" style="40" bestFit="1" customWidth="1"/>
    <col min="8964" max="8965" width="15" style="40" bestFit="1" customWidth="1"/>
    <col min="8966" max="8966" width="18.109375" style="40" customWidth="1"/>
    <col min="8967" max="8967" width="20.88671875" style="40" customWidth="1"/>
    <col min="8968" max="8968" width="15.109375" style="40" customWidth="1"/>
    <col min="8969" max="8969" width="13.88671875" style="40" bestFit="1" customWidth="1"/>
    <col min="8970" max="8970" width="12.33203125" style="40" bestFit="1" customWidth="1"/>
    <col min="8971" max="8971" width="23.44140625" style="40" bestFit="1" customWidth="1"/>
    <col min="8972" max="9206" width="8.88671875" style="40"/>
    <col min="9207" max="9209" width="1.6640625" style="40" customWidth="1"/>
    <col min="9210" max="9210" width="12.109375" style="40" customWidth="1"/>
    <col min="9211" max="9211" width="16" style="40" customWidth="1"/>
    <col min="9212" max="9212" width="5.6640625" style="40" customWidth="1"/>
    <col min="9213" max="9213" width="6.5546875" style="40" customWidth="1"/>
    <col min="9214" max="9214" width="8.88671875" style="40"/>
    <col min="9215" max="9215" width="12.33203125" style="40" customWidth="1"/>
    <col min="9216" max="9216" width="32.5546875" style="40" customWidth="1"/>
    <col min="9217" max="9217" width="15.5546875" style="40" customWidth="1"/>
    <col min="9218" max="9218" width="28.88671875" style="40" customWidth="1"/>
    <col min="9219" max="9219" width="14" style="40" bestFit="1" customWidth="1"/>
    <col min="9220" max="9221" width="15" style="40" bestFit="1" customWidth="1"/>
    <col min="9222" max="9222" width="18.109375" style="40" customWidth="1"/>
    <col min="9223" max="9223" width="20.88671875" style="40" customWidth="1"/>
    <col min="9224" max="9224" width="15.109375" style="40" customWidth="1"/>
    <col min="9225" max="9225" width="13.88671875" style="40" bestFit="1" customWidth="1"/>
    <col min="9226" max="9226" width="12.33203125" style="40" bestFit="1" customWidth="1"/>
    <col min="9227" max="9227" width="23.44140625" style="40" bestFit="1" customWidth="1"/>
    <col min="9228" max="9462" width="8.88671875" style="40"/>
    <col min="9463" max="9465" width="1.6640625" style="40" customWidth="1"/>
    <col min="9466" max="9466" width="12.109375" style="40" customWidth="1"/>
    <col min="9467" max="9467" width="16" style="40" customWidth="1"/>
    <col min="9468" max="9468" width="5.6640625" style="40" customWidth="1"/>
    <col min="9469" max="9469" width="6.5546875" style="40" customWidth="1"/>
    <col min="9470" max="9470" width="8.88671875" style="40"/>
    <col min="9471" max="9471" width="12.33203125" style="40" customWidth="1"/>
    <col min="9472" max="9472" width="32.5546875" style="40" customWidth="1"/>
    <col min="9473" max="9473" width="15.5546875" style="40" customWidth="1"/>
    <col min="9474" max="9474" width="28.88671875" style="40" customWidth="1"/>
    <col min="9475" max="9475" width="14" style="40" bestFit="1" customWidth="1"/>
    <col min="9476" max="9477" width="15" style="40" bestFit="1" customWidth="1"/>
    <col min="9478" max="9478" width="18.109375" style="40" customWidth="1"/>
    <col min="9479" max="9479" width="20.88671875" style="40" customWidth="1"/>
    <col min="9480" max="9480" width="15.109375" style="40" customWidth="1"/>
    <col min="9481" max="9481" width="13.88671875" style="40" bestFit="1" customWidth="1"/>
    <col min="9482" max="9482" width="12.33203125" style="40" bestFit="1" customWidth="1"/>
    <col min="9483" max="9483" width="23.44140625" style="40" bestFit="1" customWidth="1"/>
    <col min="9484" max="9718" width="8.88671875" style="40"/>
    <col min="9719" max="9721" width="1.6640625" style="40" customWidth="1"/>
    <col min="9722" max="9722" width="12.109375" style="40" customWidth="1"/>
    <col min="9723" max="9723" width="16" style="40" customWidth="1"/>
    <col min="9724" max="9724" width="5.6640625" style="40" customWidth="1"/>
    <col min="9725" max="9725" width="6.5546875" style="40" customWidth="1"/>
    <col min="9726" max="9726" width="8.88671875" style="40"/>
    <col min="9727" max="9727" width="12.33203125" style="40" customWidth="1"/>
    <col min="9728" max="9728" width="32.5546875" style="40" customWidth="1"/>
    <col min="9729" max="9729" width="15.5546875" style="40" customWidth="1"/>
    <col min="9730" max="9730" width="28.88671875" style="40" customWidth="1"/>
    <col min="9731" max="9731" width="14" style="40" bestFit="1" customWidth="1"/>
    <col min="9732" max="9733" width="15" style="40" bestFit="1" customWidth="1"/>
    <col min="9734" max="9734" width="18.109375" style="40" customWidth="1"/>
    <col min="9735" max="9735" width="20.88671875" style="40" customWidth="1"/>
    <col min="9736" max="9736" width="15.109375" style="40" customWidth="1"/>
    <col min="9737" max="9737" width="13.88671875" style="40" bestFit="1" customWidth="1"/>
    <col min="9738" max="9738" width="12.33203125" style="40" bestFit="1" customWidth="1"/>
    <col min="9739" max="9739" width="23.44140625" style="40" bestFit="1" customWidth="1"/>
    <col min="9740" max="9974" width="8.88671875" style="40"/>
    <col min="9975" max="9977" width="1.6640625" style="40" customWidth="1"/>
    <col min="9978" max="9978" width="12.109375" style="40" customWidth="1"/>
    <col min="9979" max="9979" width="16" style="40" customWidth="1"/>
    <col min="9980" max="9980" width="5.6640625" style="40" customWidth="1"/>
    <col min="9981" max="9981" width="6.5546875" style="40" customWidth="1"/>
    <col min="9982" max="9982" width="8.88671875" style="40"/>
    <col min="9983" max="9983" width="12.33203125" style="40" customWidth="1"/>
    <col min="9984" max="9984" width="32.5546875" style="40" customWidth="1"/>
    <col min="9985" max="9985" width="15.5546875" style="40" customWidth="1"/>
    <col min="9986" max="9986" width="28.88671875" style="40" customWidth="1"/>
    <col min="9987" max="9987" width="14" style="40" bestFit="1" customWidth="1"/>
    <col min="9988" max="9989" width="15" style="40" bestFit="1" customWidth="1"/>
    <col min="9990" max="9990" width="18.109375" style="40" customWidth="1"/>
    <col min="9991" max="9991" width="20.88671875" style="40" customWidth="1"/>
    <col min="9992" max="9992" width="15.109375" style="40" customWidth="1"/>
    <col min="9993" max="9993" width="13.88671875" style="40" bestFit="1" customWidth="1"/>
    <col min="9994" max="9994" width="12.33203125" style="40" bestFit="1" customWidth="1"/>
    <col min="9995" max="9995" width="23.44140625" style="40" bestFit="1" customWidth="1"/>
    <col min="9996" max="10230" width="8.88671875" style="40"/>
    <col min="10231" max="10233" width="1.6640625" style="40" customWidth="1"/>
    <col min="10234" max="10234" width="12.109375" style="40" customWidth="1"/>
    <col min="10235" max="10235" width="16" style="40" customWidth="1"/>
    <col min="10236" max="10236" width="5.6640625" style="40" customWidth="1"/>
    <col min="10237" max="10237" width="6.5546875" style="40" customWidth="1"/>
    <col min="10238" max="10238" width="8.88671875" style="40"/>
    <col min="10239" max="10239" width="12.33203125" style="40" customWidth="1"/>
    <col min="10240" max="10240" width="32.5546875" style="40" customWidth="1"/>
    <col min="10241" max="10241" width="15.5546875" style="40" customWidth="1"/>
    <col min="10242" max="10242" width="28.88671875" style="40" customWidth="1"/>
    <col min="10243" max="10243" width="14" style="40" bestFit="1" customWidth="1"/>
    <col min="10244" max="10245" width="15" style="40" bestFit="1" customWidth="1"/>
    <col min="10246" max="10246" width="18.109375" style="40" customWidth="1"/>
    <col min="10247" max="10247" width="20.88671875" style="40" customWidth="1"/>
    <col min="10248" max="10248" width="15.109375" style="40" customWidth="1"/>
    <col min="10249" max="10249" width="13.88671875" style="40" bestFit="1" customWidth="1"/>
    <col min="10250" max="10250" width="12.33203125" style="40" bestFit="1" customWidth="1"/>
    <col min="10251" max="10251" width="23.44140625" style="40" bestFit="1" customWidth="1"/>
    <col min="10252" max="10486" width="8.88671875" style="40"/>
    <col min="10487" max="10489" width="1.6640625" style="40" customWidth="1"/>
    <col min="10490" max="10490" width="12.109375" style="40" customWidth="1"/>
    <col min="10491" max="10491" width="16" style="40" customWidth="1"/>
    <col min="10492" max="10492" width="5.6640625" style="40" customWidth="1"/>
    <col min="10493" max="10493" width="6.5546875" style="40" customWidth="1"/>
    <col min="10494" max="10494" width="8.88671875" style="40"/>
    <col min="10495" max="10495" width="12.33203125" style="40" customWidth="1"/>
    <col min="10496" max="10496" width="32.5546875" style="40" customWidth="1"/>
    <col min="10497" max="10497" width="15.5546875" style="40" customWidth="1"/>
    <col min="10498" max="10498" width="28.88671875" style="40" customWidth="1"/>
    <col min="10499" max="10499" width="14" style="40" bestFit="1" customWidth="1"/>
    <col min="10500" max="10501" width="15" style="40" bestFit="1" customWidth="1"/>
    <col min="10502" max="10502" width="18.109375" style="40" customWidth="1"/>
    <col min="10503" max="10503" width="20.88671875" style="40" customWidth="1"/>
    <col min="10504" max="10504" width="15.109375" style="40" customWidth="1"/>
    <col min="10505" max="10505" width="13.88671875" style="40" bestFit="1" customWidth="1"/>
    <col min="10506" max="10506" width="12.33203125" style="40" bestFit="1" customWidth="1"/>
    <col min="10507" max="10507" width="23.44140625" style="40" bestFit="1" customWidth="1"/>
    <col min="10508" max="10742" width="8.88671875" style="40"/>
    <col min="10743" max="10745" width="1.6640625" style="40" customWidth="1"/>
    <col min="10746" max="10746" width="12.109375" style="40" customWidth="1"/>
    <col min="10747" max="10747" width="16" style="40" customWidth="1"/>
    <col min="10748" max="10748" width="5.6640625" style="40" customWidth="1"/>
    <col min="10749" max="10749" width="6.5546875" style="40" customWidth="1"/>
    <col min="10750" max="10750" width="8.88671875" style="40"/>
    <col min="10751" max="10751" width="12.33203125" style="40" customWidth="1"/>
    <col min="10752" max="10752" width="32.5546875" style="40" customWidth="1"/>
    <col min="10753" max="10753" width="15.5546875" style="40" customWidth="1"/>
    <col min="10754" max="10754" width="28.88671875" style="40" customWidth="1"/>
    <col min="10755" max="10755" width="14" style="40" bestFit="1" customWidth="1"/>
    <col min="10756" max="10757" width="15" style="40" bestFit="1" customWidth="1"/>
    <col min="10758" max="10758" width="18.109375" style="40" customWidth="1"/>
    <col min="10759" max="10759" width="20.88671875" style="40" customWidth="1"/>
    <col min="10760" max="10760" width="15.109375" style="40" customWidth="1"/>
    <col min="10761" max="10761" width="13.88671875" style="40" bestFit="1" customWidth="1"/>
    <col min="10762" max="10762" width="12.33203125" style="40" bestFit="1" customWidth="1"/>
    <col min="10763" max="10763" width="23.44140625" style="40" bestFit="1" customWidth="1"/>
    <col min="10764" max="10998" width="8.88671875" style="40"/>
    <col min="10999" max="11001" width="1.6640625" style="40" customWidth="1"/>
    <col min="11002" max="11002" width="12.109375" style="40" customWidth="1"/>
    <col min="11003" max="11003" width="16" style="40" customWidth="1"/>
    <col min="11004" max="11004" width="5.6640625" style="40" customWidth="1"/>
    <col min="11005" max="11005" width="6.5546875" style="40" customWidth="1"/>
    <col min="11006" max="11006" width="8.88671875" style="40"/>
    <col min="11007" max="11007" width="12.33203125" style="40" customWidth="1"/>
    <col min="11008" max="11008" width="32.5546875" style="40" customWidth="1"/>
    <col min="11009" max="11009" width="15.5546875" style="40" customWidth="1"/>
    <col min="11010" max="11010" width="28.88671875" style="40" customWidth="1"/>
    <col min="11011" max="11011" width="14" style="40" bestFit="1" customWidth="1"/>
    <col min="11012" max="11013" width="15" style="40" bestFit="1" customWidth="1"/>
    <col min="11014" max="11014" width="18.109375" style="40" customWidth="1"/>
    <col min="11015" max="11015" width="20.88671875" style="40" customWidth="1"/>
    <col min="11016" max="11016" width="15.109375" style="40" customWidth="1"/>
    <col min="11017" max="11017" width="13.88671875" style="40" bestFit="1" customWidth="1"/>
    <col min="11018" max="11018" width="12.33203125" style="40" bestFit="1" customWidth="1"/>
    <col min="11019" max="11019" width="23.44140625" style="40" bestFit="1" customWidth="1"/>
    <col min="11020" max="11254" width="8.88671875" style="40"/>
    <col min="11255" max="11257" width="1.6640625" style="40" customWidth="1"/>
    <col min="11258" max="11258" width="12.109375" style="40" customWidth="1"/>
    <col min="11259" max="11259" width="16" style="40" customWidth="1"/>
    <col min="11260" max="11260" width="5.6640625" style="40" customWidth="1"/>
    <col min="11261" max="11261" width="6.5546875" style="40" customWidth="1"/>
    <col min="11262" max="11262" width="8.88671875" style="40"/>
    <col min="11263" max="11263" width="12.33203125" style="40" customWidth="1"/>
    <col min="11264" max="11264" width="32.5546875" style="40" customWidth="1"/>
    <col min="11265" max="11265" width="15.5546875" style="40" customWidth="1"/>
    <col min="11266" max="11266" width="28.88671875" style="40" customWidth="1"/>
    <col min="11267" max="11267" width="14" style="40" bestFit="1" customWidth="1"/>
    <col min="11268" max="11269" width="15" style="40" bestFit="1" customWidth="1"/>
    <col min="11270" max="11270" width="18.109375" style="40" customWidth="1"/>
    <col min="11271" max="11271" width="20.88671875" style="40" customWidth="1"/>
    <col min="11272" max="11272" width="15.109375" style="40" customWidth="1"/>
    <col min="11273" max="11273" width="13.88671875" style="40" bestFit="1" customWidth="1"/>
    <col min="11274" max="11274" width="12.33203125" style="40" bestFit="1" customWidth="1"/>
    <col min="11275" max="11275" width="23.44140625" style="40" bestFit="1" customWidth="1"/>
    <col min="11276" max="11510" width="8.88671875" style="40"/>
    <col min="11511" max="11513" width="1.6640625" style="40" customWidth="1"/>
    <col min="11514" max="11514" width="12.109375" style="40" customWidth="1"/>
    <col min="11515" max="11515" width="16" style="40" customWidth="1"/>
    <col min="11516" max="11516" width="5.6640625" style="40" customWidth="1"/>
    <col min="11517" max="11517" width="6.5546875" style="40" customWidth="1"/>
    <col min="11518" max="11518" width="8.88671875" style="40"/>
    <col min="11519" max="11519" width="12.33203125" style="40" customWidth="1"/>
    <col min="11520" max="11520" width="32.5546875" style="40" customWidth="1"/>
    <col min="11521" max="11521" width="15.5546875" style="40" customWidth="1"/>
    <col min="11522" max="11522" width="28.88671875" style="40" customWidth="1"/>
    <col min="11523" max="11523" width="14" style="40" bestFit="1" customWidth="1"/>
    <col min="11524" max="11525" width="15" style="40" bestFit="1" customWidth="1"/>
    <col min="11526" max="11526" width="18.109375" style="40" customWidth="1"/>
    <col min="11527" max="11527" width="20.88671875" style="40" customWidth="1"/>
    <col min="11528" max="11528" width="15.109375" style="40" customWidth="1"/>
    <col min="11529" max="11529" width="13.88671875" style="40" bestFit="1" customWidth="1"/>
    <col min="11530" max="11530" width="12.33203125" style="40" bestFit="1" customWidth="1"/>
    <col min="11531" max="11531" width="23.44140625" style="40" bestFit="1" customWidth="1"/>
    <col min="11532" max="11766" width="8.88671875" style="40"/>
    <col min="11767" max="11769" width="1.6640625" style="40" customWidth="1"/>
    <col min="11770" max="11770" width="12.109375" style="40" customWidth="1"/>
    <col min="11771" max="11771" width="16" style="40" customWidth="1"/>
    <col min="11772" max="11772" width="5.6640625" style="40" customWidth="1"/>
    <col min="11773" max="11773" width="6.5546875" style="40" customWidth="1"/>
    <col min="11774" max="11774" width="8.88671875" style="40"/>
    <col min="11775" max="11775" width="12.33203125" style="40" customWidth="1"/>
    <col min="11776" max="11776" width="32.5546875" style="40" customWidth="1"/>
    <col min="11777" max="11777" width="15.5546875" style="40" customWidth="1"/>
    <col min="11778" max="11778" width="28.88671875" style="40" customWidth="1"/>
    <col min="11779" max="11779" width="14" style="40" bestFit="1" customWidth="1"/>
    <col min="11780" max="11781" width="15" style="40" bestFit="1" customWidth="1"/>
    <col min="11782" max="11782" width="18.109375" style="40" customWidth="1"/>
    <col min="11783" max="11783" width="20.88671875" style="40" customWidth="1"/>
    <col min="11784" max="11784" width="15.109375" style="40" customWidth="1"/>
    <col min="11785" max="11785" width="13.88671875" style="40" bestFit="1" customWidth="1"/>
    <col min="11786" max="11786" width="12.33203125" style="40" bestFit="1" customWidth="1"/>
    <col min="11787" max="11787" width="23.44140625" style="40" bestFit="1" customWidth="1"/>
    <col min="11788" max="12022" width="8.88671875" style="40"/>
    <col min="12023" max="12025" width="1.6640625" style="40" customWidth="1"/>
    <col min="12026" max="12026" width="12.109375" style="40" customWidth="1"/>
    <col min="12027" max="12027" width="16" style="40" customWidth="1"/>
    <col min="12028" max="12028" width="5.6640625" style="40" customWidth="1"/>
    <col min="12029" max="12029" width="6.5546875" style="40" customWidth="1"/>
    <col min="12030" max="12030" width="8.88671875" style="40"/>
    <col min="12031" max="12031" width="12.33203125" style="40" customWidth="1"/>
    <col min="12032" max="12032" width="32.5546875" style="40" customWidth="1"/>
    <col min="12033" max="12033" width="15.5546875" style="40" customWidth="1"/>
    <col min="12034" max="12034" width="28.88671875" style="40" customWidth="1"/>
    <col min="12035" max="12035" width="14" style="40" bestFit="1" customWidth="1"/>
    <col min="12036" max="12037" width="15" style="40" bestFit="1" customWidth="1"/>
    <col min="12038" max="12038" width="18.109375" style="40" customWidth="1"/>
    <col min="12039" max="12039" width="20.88671875" style="40" customWidth="1"/>
    <col min="12040" max="12040" width="15.109375" style="40" customWidth="1"/>
    <col min="12041" max="12041" width="13.88671875" style="40" bestFit="1" customWidth="1"/>
    <col min="12042" max="12042" width="12.33203125" style="40" bestFit="1" customWidth="1"/>
    <col min="12043" max="12043" width="23.44140625" style="40" bestFit="1" customWidth="1"/>
    <col min="12044" max="12278" width="8.88671875" style="40"/>
    <col min="12279" max="12281" width="1.6640625" style="40" customWidth="1"/>
    <col min="12282" max="12282" width="12.109375" style="40" customWidth="1"/>
    <col min="12283" max="12283" width="16" style="40" customWidth="1"/>
    <col min="12284" max="12284" width="5.6640625" style="40" customWidth="1"/>
    <col min="12285" max="12285" width="6.5546875" style="40" customWidth="1"/>
    <col min="12286" max="12286" width="8.88671875" style="40"/>
    <col min="12287" max="12287" width="12.33203125" style="40" customWidth="1"/>
    <col min="12288" max="12288" width="32.5546875" style="40" customWidth="1"/>
    <col min="12289" max="12289" width="15.5546875" style="40" customWidth="1"/>
    <col min="12290" max="12290" width="28.88671875" style="40" customWidth="1"/>
    <col min="12291" max="12291" width="14" style="40" bestFit="1" customWidth="1"/>
    <col min="12292" max="12293" width="15" style="40" bestFit="1" customWidth="1"/>
    <col min="12294" max="12294" width="18.109375" style="40" customWidth="1"/>
    <col min="12295" max="12295" width="20.88671875" style="40" customWidth="1"/>
    <col min="12296" max="12296" width="15.109375" style="40" customWidth="1"/>
    <col min="12297" max="12297" width="13.88671875" style="40" bestFit="1" customWidth="1"/>
    <col min="12298" max="12298" width="12.33203125" style="40" bestFit="1" customWidth="1"/>
    <col min="12299" max="12299" width="23.44140625" style="40" bestFit="1" customWidth="1"/>
    <col min="12300" max="12534" width="8.88671875" style="40"/>
    <col min="12535" max="12537" width="1.6640625" style="40" customWidth="1"/>
    <col min="12538" max="12538" width="12.109375" style="40" customWidth="1"/>
    <col min="12539" max="12539" width="16" style="40" customWidth="1"/>
    <col min="12540" max="12540" width="5.6640625" style="40" customWidth="1"/>
    <col min="12541" max="12541" width="6.5546875" style="40" customWidth="1"/>
    <col min="12542" max="12542" width="8.88671875" style="40"/>
    <col min="12543" max="12543" width="12.33203125" style="40" customWidth="1"/>
    <col min="12544" max="12544" width="32.5546875" style="40" customWidth="1"/>
    <col min="12545" max="12545" width="15.5546875" style="40" customWidth="1"/>
    <col min="12546" max="12546" width="28.88671875" style="40" customWidth="1"/>
    <col min="12547" max="12547" width="14" style="40" bestFit="1" customWidth="1"/>
    <col min="12548" max="12549" width="15" style="40" bestFit="1" customWidth="1"/>
    <col min="12550" max="12550" width="18.109375" style="40" customWidth="1"/>
    <col min="12551" max="12551" width="20.88671875" style="40" customWidth="1"/>
    <col min="12552" max="12552" width="15.109375" style="40" customWidth="1"/>
    <col min="12553" max="12553" width="13.88671875" style="40" bestFit="1" customWidth="1"/>
    <col min="12554" max="12554" width="12.33203125" style="40" bestFit="1" customWidth="1"/>
    <col min="12555" max="12555" width="23.44140625" style="40" bestFit="1" customWidth="1"/>
    <col min="12556" max="12790" width="8.88671875" style="40"/>
    <col min="12791" max="12793" width="1.6640625" style="40" customWidth="1"/>
    <col min="12794" max="12794" width="12.109375" style="40" customWidth="1"/>
    <col min="12795" max="12795" width="16" style="40" customWidth="1"/>
    <col min="12796" max="12796" width="5.6640625" style="40" customWidth="1"/>
    <col min="12797" max="12797" width="6.5546875" style="40" customWidth="1"/>
    <col min="12798" max="12798" width="8.88671875" style="40"/>
    <col min="12799" max="12799" width="12.33203125" style="40" customWidth="1"/>
    <col min="12800" max="12800" width="32.5546875" style="40" customWidth="1"/>
    <col min="12801" max="12801" width="15.5546875" style="40" customWidth="1"/>
    <col min="12802" max="12802" width="28.88671875" style="40" customWidth="1"/>
    <col min="12803" max="12803" width="14" style="40" bestFit="1" customWidth="1"/>
    <col min="12804" max="12805" width="15" style="40" bestFit="1" customWidth="1"/>
    <col min="12806" max="12806" width="18.109375" style="40" customWidth="1"/>
    <col min="12807" max="12807" width="20.88671875" style="40" customWidth="1"/>
    <col min="12808" max="12808" width="15.109375" style="40" customWidth="1"/>
    <col min="12809" max="12809" width="13.88671875" style="40" bestFit="1" customWidth="1"/>
    <col min="12810" max="12810" width="12.33203125" style="40" bestFit="1" customWidth="1"/>
    <col min="12811" max="12811" width="23.44140625" style="40" bestFit="1" customWidth="1"/>
    <col min="12812" max="13046" width="8.88671875" style="40"/>
    <col min="13047" max="13049" width="1.6640625" style="40" customWidth="1"/>
    <col min="13050" max="13050" width="12.109375" style="40" customWidth="1"/>
    <col min="13051" max="13051" width="16" style="40" customWidth="1"/>
    <col min="13052" max="13052" width="5.6640625" style="40" customWidth="1"/>
    <col min="13053" max="13053" width="6.5546875" style="40" customWidth="1"/>
    <col min="13054" max="13054" width="8.88671875" style="40"/>
    <col min="13055" max="13055" width="12.33203125" style="40" customWidth="1"/>
    <col min="13056" max="13056" width="32.5546875" style="40" customWidth="1"/>
    <col min="13057" max="13057" width="15.5546875" style="40" customWidth="1"/>
    <col min="13058" max="13058" width="28.88671875" style="40" customWidth="1"/>
    <col min="13059" max="13059" width="14" style="40" bestFit="1" customWidth="1"/>
    <col min="13060" max="13061" width="15" style="40" bestFit="1" customWidth="1"/>
    <col min="13062" max="13062" width="18.109375" style="40" customWidth="1"/>
    <col min="13063" max="13063" width="20.88671875" style="40" customWidth="1"/>
    <col min="13064" max="13064" width="15.109375" style="40" customWidth="1"/>
    <col min="13065" max="13065" width="13.88671875" style="40" bestFit="1" customWidth="1"/>
    <col min="13066" max="13066" width="12.33203125" style="40" bestFit="1" customWidth="1"/>
    <col min="13067" max="13067" width="23.44140625" style="40" bestFit="1" customWidth="1"/>
    <col min="13068" max="13302" width="8.88671875" style="40"/>
    <col min="13303" max="13305" width="1.6640625" style="40" customWidth="1"/>
    <col min="13306" max="13306" width="12.109375" style="40" customWidth="1"/>
    <col min="13307" max="13307" width="16" style="40" customWidth="1"/>
    <col min="13308" max="13308" width="5.6640625" style="40" customWidth="1"/>
    <col min="13309" max="13309" width="6.5546875" style="40" customWidth="1"/>
    <col min="13310" max="13310" width="8.88671875" style="40"/>
    <col min="13311" max="13311" width="12.33203125" style="40" customWidth="1"/>
    <col min="13312" max="13312" width="32.5546875" style="40" customWidth="1"/>
    <col min="13313" max="13313" width="15.5546875" style="40" customWidth="1"/>
    <col min="13314" max="13314" width="28.88671875" style="40" customWidth="1"/>
    <col min="13315" max="13315" width="14" style="40" bestFit="1" customWidth="1"/>
    <col min="13316" max="13317" width="15" style="40" bestFit="1" customWidth="1"/>
    <col min="13318" max="13318" width="18.109375" style="40" customWidth="1"/>
    <col min="13319" max="13319" width="20.88671875" style="40" customWidth="1"/>
    <col min="13320" max="13320" width="15.109375" style="40" customWidth="1"/>
    <col min="13321" max="13321" width="13.88671875" style="40" bestFit="1" customWidth="1"/>
    <col min="13322" max="13322" width="12.33203125" style="40" bestFit="1" customWidth="1"/>
    <col min="13323" max="13323" width="23.44140625" style="40" bestFit="1" customWidth="1"/>
    <col min="13324" max="13558" width="8.88671875" style="40"/>
    <col min="13559" max="13561" width="1.6640625" style="40" customWidth="1"/>
    <col min="13562" max="13562" width="12.109375" style="40" customWidth="1"/>
    <col min="13563" max="13563" width="16" style="40" customWidth="1"/>
    <col min="13564" max="13564" width="5.6640625" style="40" customWidth="1"/>
    <col min="13565" max="13565" width="6.5546875" style="40" customWidth="1"/>
    <col min="13566" max="13566" width="8.88671875" style="40"/>
    <col min="13567" max="13567" width="12.33203125" style="40" customWidth="1"/>
    <col min="13568" max="13568" width="32.5546875" style="40" customWidth="1"/>
    <col min="13569" max="13569" width="15.5546875" style="40" customWidth="1"/>
    <col min="13570" max="13570" width="28.88671875" style="40" customWidth="1"/>
    <col min="13571" max="13571" width="14" style="40" bestFit="1" customWidth="1"/>
    <col min="13572" max="13573" width="15" style="40" bestFit="1" customWidth="1"/>
    <col min="13574" max="13574" width="18.109375" style="40" customWidth="1"/>
    <col min="13575" max="13575" width="20.88671875" style="40" customWidth="1"/>
    <col min="13576" max="13576" width="15.109375" style="40" customWidth="1"/>
    <col min="13577" max="13577" width="13.88671875" style="40" bestFit="1" customWidth="1"/>
    <col min="13578" max="13578" width="12.33203125" style="40" bestFit="1" customWidth="1"/>
    <col min="13579" max="13579" width="23.44140625" style="40" bestFit="1" customWidth="1"/>
    <col min="13580" max="13814" width="8.88671875" style="40"/>
    <col min="13815" max="13817" width="1.6640625" style="40" customWidth="1"/>
    <col min="13818" max="13818" width="12.109375" style="40" customWidth="1"/>
    <col min="13819" max="13819" width="16" style="40" customWidth="1"/>
    <col min="13820" max="13820" width="5.6640625" style="40" customWidth="1"/>
    <col min="13821" max="13821" width="6.5546875" style="40" customWidth="1"/>
    <col min="13822" max="13822" width="8.88671875" style="40"/>
    <col min="13823" max="13823" width="12.33203125" style="40" customWidth="1"/>
    <col min="13824" max="13824" width="32.5546875" style="40" customWidth="1"/>
    <col min="13825" max="13825" width="15.5546875" style="40" customWidth="1"/>
    <col min="13826" max="13826" width="28.88671875" style="40" customWidth="1"/>
    <col min="13827" max="13827" width="14" style="40" bestFit="1" customWidth="1"/>
    <col min="13828" max="13829" width="15" style="40" bestFit="1" customWidth="1"/>
    <col min="13830" max="13830" width="18.109375" style="40" customWidth="1"/>
    <col min="13831" max="13831" width="20.88671875" style="40" customWidth="1"/>
    <col min="13832" max="13832" width="15.109375" style="40" customWidth="1"/>
    <col min="13833" max="13833" width="13.88671875" style="40" bestFit="1" customWidth="1"/>
    <col min="13834" max="13834" width="12.33203125" style="40" bestFit="1" customWidth="1"/>
    <col min="13835" max="13835" width="23.44140625" style="40" bestFit="1" customWidth="1"/>
    <col min="13836" max="14070" width="8.88671875" style="40"/>
    <col min="14071" max="14073" width="1.6640625" style="40" customWidth="1"/>
    <col min="14074" max="14074" width="12.109375" style="40" customWidth="1"/>
    <col min="14075" max="14075" width="16" style="40" customWidth="1"/>
    <col min="14076" max="14076" width="5.6640625" style="40" customWidth="1"/>
    <col min="14077" max="14077" width="6.5546875" style="40" customWidth="1"/>
    <col min="14078" max="14078" width="8.88671875" style="40"/>
    <col min="14079" max="14079" width="12.33203125" style="40" customWidth="1"/>
    <col min="14080" max="14080" width="32.5546875" style="40" customWidth="1"/>
    <col min="14081" max="14081" width="15.5546875" style="40" customWidth="1"/>
    <col min="14082" max="14082" width="28.88671875" style="40" customWidth="1"/>
    <col min="14083" max="14083" width="14" style="40" bestFit="1" customWidth="1"/>
    <col min="14084" max="14085" width="15" style="40" bestFit="1" customWidth="1"/>
    <col min="14086" max="14086" width="18.109375" style="40" customWidth="1"/>
    <col min="14087" max="14087" width="20.88671875" style="40" customWidth="1"/>
    <col min="14088" max="14088" width="15.109375" style="40" customWidth="1"/>
    <col min="14089" max="14089" width="13.88671875" style="40" bestFit="1" customWidth="1"/>
    <col min="14090" max="14090" width="12.33203125" style="40" bestFit="1" customWidth="1"/>
    <col min="14091" max="14091" width="23.44140625" style="40" bestFit="1" customWidth="1"/>
    <col min="14092" max="14326" width="8.88671875" style="40"/>
    <col min="14327" max="14329" width="1.6640625" style="40" customWidth="1"/>
    <col min="14330" max="14330" width="12.109375" style="40" customWidth="1"/>
    <col min="14331" max="14331" width="16" style="40" customWidth="1"/>
    <col min="14332" max="14332" width="5.6640625" style="40" customWidth="1"/>
    <col min="14333" max="14333" width="6.5546875" style="40" customWidth="1"/>
    <col min="14334" max="14334" width="8.88671875" style="40"/>
    <col min="14335" max="14335" width="12.33203125" style="40" customWidth="1"/>
    <col min="14336" max="14336" width="32.5546875" style="40" customWidth="1"/>
    <col min="14337" max="14337" width="15.5546875" style="40" customWidth="1"/>
    <col min="14338" max="14338" width="28.88671875" style="40" customWidth="1"/>
    <col min="14339" max="14339" width="14" style="40" bestFit="1" customWidth="1"/>
    <col min="14340" max="14341" width="15" style="40" bestFit="1" customWidth="1"/>
    <col min="14342" max="14342" width="18.109375" style="40" customWidth="1"/>
    <col min="14343" max="14343" width="20.88671875" style="40" customWidth="1"/>
    <col min="14344" max="14344" width="15.109375" style="40" customWidth="1"/>
    <col min="14345" max="14345" width="13.88671875" style="40" bestFit="1" customWidth="1"/>
    <col min="14346" max="14346" width="12.33203125" style="40" bestFit="1" customWidth="1"/>
    <col min="14347" max="14347" width="23.44140625" style="40" bestFit="1" customWidth="1"/>
    <col min="14348" max="14582" width="8.88671875" style="40"/>
    <col min="14583" max="14585" width="1.6640625" style="40" customWidth="1"/>
    <col min="14586" max="14586" width="12.109375" style="40" customWidth="1"/>
    <col min="14587" max="14587" width="16" style="40" customWidth="1"/>
    <col min="14588" max="14588" width="5.6640625" style="40" customWidth="1"/>
    <col min="14589" max="14589" width="6.5546875" style="40" customWidth="1"/>
    <col min="14590" max="14590" width="8.88671875" style="40"/>
    <col min="14591" max="14591" width="12.33203125" style="40" customWidth="1"/>
    <col min="14592" max="14592" width="32.5546875" style="40" customWidth="1"/>
    <col min="14593" max="14593" width="15.5546875" style="40" customWidth="1"/>
    <col min="14594" max="14594" width="28.88671875" style="40" customWidth="1"/>
    <col min="14595" max="14595" width="14" style="40" bestFit="1" customWidth="1"/>
    <col min="14596" max="14597" width="15" style="40" bestFit="1" customWidth="1"/>
    <col min="14598" max="14598" width="18.109375" style="40" customWidth="1"/>
    <col min="14599" max="14599" width="20.88671875" style="40" customWidth="1"/>
    <col min="14600" max="14600" width="15.109375" style="40" customWidth="1"/>
    <col min="14601" max="14601" width="13.88671875" style="40" bestFit="1" customWidth="1"/>
    <col min="14602" max="14602" width="12.33203125" style="40" bestFit="1" customWidth="1"/>
    <col min="14603" max="14603" width="23.44140625" style="40" bestFit="1" customWidth="1"/>
    <col min="14604" max="14838" width="8.88671875" style="40"/>
    <col min="14839" max="14841" width="1.6640625" style="40" customWidth="1"/>
    <col min="14842" max="14842" width="12.109375" style="40" customWidth="1"/>
    <col min="14843" max="14843" width="16" style="40" customWidth="1"/>
    <col min="14844" max="14844" width="5.6640625" style="40" customWidth="1"/>
    <col min="14845" max="14845" width="6.5546875" style="40" customWidth="1"/>
    <col min="14846" max="14846" width="8.88671875" style="40"/>
    <col min="14847" max="14847" width="12.33203125" style="40" customWidth="1"/>
    <col min="14848" max="14848" width="32.5546875" style="40" customWidth="1"/>
    <col min="14849" max="14849" width="15.5546875" style="40" customWidth="1"/>
    <col min="14850" max="14850" width="28.88671875" style="40" customWidth="1"/>
    <col min="14851" max="14851" width="14" style="40" bestFit="1" customWidth="1"/>
    <col min="14852" max="14853" width="15" style="40" bestFit="1" customWidth="1"/>
    <col min="14854" max="14854" width="18.109375" style="40" customWidth="1"/>
    <col min="14855" max="14855" width="20.88671875" style="40" customWidth="1"/>
    <col min="14856" max="14856" width="15.109375" style="40" customWidth="1"/>
    <col min="14857" max="14857" width="13.88671875" style="40" bestFit="1" customWidth="1"/>
    <col min="14858" max="14858" width="12.33203125" style="40" bestFit="1" customWidth="1"/>
    <col min="14859" max="14859" width="23.44140625" style="40" bestFit="1" customWidth="1"/>
    <col min="14860" max="15094" width="8.88671875" style="40"/>
    <col min="15095" max="15097" width="1.6640625" style="40" customWidth="1"/>
    <col min="15098" max="15098" width="12.109375" style="40" customWidth="1"/>
    <col min="15099" max="15099" width="16" style="40" customWidth="1"/>
    <col min="15100" max="15100" width="5.6640625" style="40" customWidth="1"/>
    <col min="15101" max="15101" width="6.5546875" style="40" customWidth="1"/>
    <col min="15102" max="15102" width="8.88671875" style="40"/>
    <col min="15103" max="15103" width="12.33203125" style="40" customWidth="1"/>
    <col min="15104" max="15104" width="32.5546875" style="40" customWidth="1"/>
    <col min="15105" max="15105" width="15.5546875" style="40" customWidth="1"/>
    <col min="15106" max="15106" width="28.88671875" style="40" customWidth="1"/>
    <col min="15107" max="15107" width="14" style="40" bestFit="1" customWidth="1"/>
    <col min="15108" max="15109" width="15" style="40" bestFit="1" customWidth="1"/>
    <col min="15110" max="15110" width="18.109375" style="40" customWidth="1"/>
    <col min="15111" max="15111" width="20.88671875" style="40" customWidth="1"/>
    <col min="15112" max="15112" width="15.109375" style="40" customWidth="1"/>
    <col min="15113" max="15113" width="13.88671875" style="40" bestFit="1" customWidth="1"/>
    <col min="15114" max="15114" width="12.33203125" style="40" bestFit="1" customWidth="1"/>
    <col min="15115" max="15115" width="23.44140625" style="40" bestFit="1" customWidth="1"/>
    <col min="15116" max="15350" width="8.88671875" style="40"/>
    <col min="15351" max="15353" width="1.6640625" style="40" customWidth="1"/>
    <col min="15354" max="15354" width="12.109375" style="40" customWidth="1"/>
    <col min="15355" max="15355" width="16" style="40" customWidth="1"/>
    <col min="15356" max="15356" width="5.6640625" style="40" customWidth="1"/>
    <col min="15357" max="15357" width="6.5546875" style="40" customWidth="1"/>
    <col min="15358" max="15358" width="8.88671875" style="40"/>
    <col min="15359" max="15359" width="12.33203125" style="40" customWidth="1"/>
    <col min="15360" max="15360" width="32.5546875" style="40" customWidth="1"/>
    <col min="15361" max="15361" width="15.5546875" style="40" customWidth="1"/>
    <col min="15362" max="15362" width="28.88671875" style="40" customWidth="1"/>
    <col min="15363" max="15363" width="14" style="40" bestFit="1" customWidth="1"/>
    <col min="15364" max="15365" width="15" style="40" bestFit="1" customWidth="1"/>
    <col min="15366" max="15366" width="18.109375" style="40" customWidth="1"/>
    <col min="15367" max="15367" width="20.88671875" style="40" customWidth="1"/>
    <col min="15368" max="15368" width="15.109375" style="40" customWidth="1"/>
    <col min="15369" max="15369" width="13.88671875" style="40" bestFit="1" customWidth="1"/>
    <col min="15370" max="15370" width="12.33203125" style="40" bestFit="1" customWidth="1"/>
    <col min="15371" max="15371" width="23.44140625" style="40" bestFit="1" customWidth="1"/>
    <col min="15372" max="15606" width="8.88671875" style="40"/>
    <col min="15607" max="15609" width="1.6640625" style="40" customWidth="1"/>
    <col min="15610" max="15610" width="12.109375" style="40" customWidth="1"/>
    <col min="15611" max="15611" width="16" style="40" customWidth="1"/>
    <col min="15612" max="15612" width="5.6640625" style="40" customWidth="1"/>
    <col min="15613" max="15613" width="6.5546875" style="40" customWidth="1"/>
    <col min="15614" max="15614" width="8.88671875" style="40"/>
    <col min="15615" max="15615" width="12.33203125" style="40" customWidth="1"/>
    <col min="15616" max="15616" width="32.5546875" style="40" customWidth="1"/>
    <col min="15617" max="15617" width="15.5546875" style="40" customWidth="1"/>
    <col min="15618" max="15618" width="28.88671875" style="40" customWidth="1"/>
    <col min="15619" max="15619" width="14" style="40" bestFit="1" customWidth="1"/>
    <col min="15620" max="15621" width="15" style="40" bestFit="1" customWidth="1"/>
    <col min="15622" max="15622" width="18.109375" style="40" customWidth="1"/>
    <col min="15623" max="15623" width="20.88671875" style="40" customWidth="1"/>
    <col min="15624" max="15624" width="15.109375" style="40" customWidth="1"/>
    <col min="15625" max="15625" width="13.88671875" style="40" bestFit="1" customWidth="1"/>
    <col min="15626" max="15626" width="12.33203125" style="40" bestFit="1" customWidth="1"/>
    <col min="15627" max="15627" width="23.44140625" style="40" bestFit="1" customWidth="1"/>
    <col min="15628" max="15862" width="8.88671875" style="40"/>
    <col min="15863" max="15865" width="1.6640625" style="40" customWidth="1"/>
    <col min="15866" max="15866" width="12.109375" style="40" customWidth="1"/>
    <col min="15867" max="15867" width="16" style="40" customWidth="1"/>
    <col min="15868" max="15868" width="5.6640625" style="40" customWidth="1"/>
    <col min="15869" max="15869" width="6.5546875" style="40" customWidth="1"/>
    <col min="15870" max="15870" width="8.88671875" style="40"/>
    <col min="15871" max="15871" width="12.33203125" style="40" customWidth="1"/>
    <col min="15872" max="15872" width="32.5546875" style="40" customWidth="1"/>
    <col min="15873" max="15873" width="15.5546875" style="40" customWidth="1"/>
    <col min="15874" max="15874" width="28.88671875" style="40" customWidth="1"/>
    <col min="15875" max="15875" width="14" style="40" bestFit="1" customWidth="1"/>
    <col min="15876" max="15877" width="15" style="40" bestFit="1" customWidth="1"/>
    <col min="15878" max="15878" width="18.109375" style="40" customWidth="1"/>
    <col min="15879" max="15879" width="20.88671875" style="40" customWidth="1"/>
    <col min="15880" max="15880" width="15.109375" style="40" customWidth="1"/>
    <col min="15881" max="15881" width="13.88671875" style="40" bestFit="1" customWidth="1"/>
    <col min="15882" max="15882" width="12.33203125" style="40" bestFit="1" customWidth="1"/>
    <col min="15883" max="15883" width="23.44140625" style="40" bestFit="1" customWidth="1"/>
    <col min="15884" max="16118" width="8.88671875" style="40"/>
    <col min="16119" max="16121" width="1.6640625" style="40" customWidth="1"/>
    <col min="16122" max="16122" width="12.109375" style="40" customWidth="1"/>
    <col min="16123" max="16123" width="16" style="40" customWidth="1"/>
    <col min="16124" max="16124" width="5.6640625" style="40" customWidth="1"/>
    <col min="16125" max="16125" width="6.5546875" style="40" customWidth="1"/>
    <col min="16126" max="16126" width="8.88671875" style="40"/>
    <col min="16127" max="16127" width="12.33203125" style="40" customWidth="1"/>
    <col min="16128" max="16128" width="32.5546875" style="40" customWidth="1"/>
    <col min="16129" max="16129" width="15.5546875" style="40" customWidth="1"/>
    <col min="16130" max="16130" width="28.88671875" style="40" customWidth="1"/>
    <col min="16131" max="16131" width="14" style="40" bestFit="1" customWidth="1"/>
    <col min="16132" max="16133" width="15" style="40" bestFit="1" customWidth="1"/>
    <col min="16134" max="16134" width="18.109375" style="40" customWidth="1"/>
    <col min="16135" max="16135" width="20.88671875" style="40" customWidth="1"/>
    <col min="16136" max="16136" width="15.109375" style="40" customWidth="1"/>
    <col min="16137" max="16137" width="13.88671875" style="40" bestFit="1" customWidth="1"/>
    <col min="16138" max="16138" width="12.33203125" style="40" bestFit="1" customWidth="1"/>
    <col min="16139" max="16139" width="23.44140625" style="40" bestFit="1" customWidth="1"/>
    <col min="16140" max="16384" width="8.88671875" style="40"/>
  </cols>
  <sheetData>
    <row r="1" spans="1:23" s="2" customFormat="1" x14ac:dyDescent="0.3">
      <c r="A1" s="719" t="s">
        <v>2495</v>
      </c>
      <c r="B1" s="719"/>
      <c r="C1" s="719"/>
      <c r="D1" s="719"/>
      <c r="E1" s="719"/>
      <c r="F1" s="719"/>
      <c r="G1" s="719"/>
      <c r="H1" s="719"/>
      <c r="I1" s="719"/>
      <c r="J1" s="719"/>
      <c r="K1" s="719"/>
      <c r="L1" s="719"/>
      <c r="M1" s="37"/>
      <c r="N1" s="38"/>
      <c r="U1" s="199"/>
    </row>
    <row r="2" spans="1:23" s="2" customFormat="1" ht="14.4" customHeight="1" x14ac:dyDescent="0.3">
      <c r="A2" s="719" t="s">
        <v>2496</v>
      </c>
      <c r="B2" s="719"/>
      <c r="C2" s="719"/>
      <c r="D2" s="719"/>
      <c r="E2" s="719"/>
      <c r="F2" s="719"/>
      <c r="G2" s="719"/>
      <c r="H2" s="719"/>
      <c r="I2" s="719"/>
      <c r="J2" s="719"/>
      <c r="K2" s="719"/>
      <c r="L2" s="719"/>
      <c r="M2" s="37"/>
      <c r="N2" s="38"/>
      <c r="U2" s="199"/>
    </row>
    <row r="3" spans="1:23" x14ac:dyDescent="0.3">
      <c r="A3" s="39"/>
      <c r="B3" s="39"/>
      <c r="C3" s="39"/>
      <c r="D3" s="39"/>
      <c r="E3" s="39"/>
      <c r="F3" s="39"/>
      <c r="G3" s="39"/>
      <c r="H3" s="39"/>
      <c r="I3" s="39"/>
      <c r="J3" s="75"/>
      <c r="K3" s="39"/>
      <c r="L3" s="39"/>
      <c r="M3" s="39"/>
      <c r="P3" s="39"/>
      <c r="R3" s="39"/>
    </row>
    <row r="4" spans="1:23" x14ac:dyDescent="0.3">
      <c r="A4" s="707" t="s">
        <v>2497</v>
      </c>
      <c r="B4" s="707"/>
      <c r="C4" s="707"/>
      <c r="D4" s="707"/>
      <c r="E4" s="707"/>
      <c r="F4" s="707"/>
      <c r="G4" s="707"/>
      <c r="H4" s="707"/>
      <c r="I4" s="707"/>
      <c r="J4" s="707"/>
      <c r="K4" s="707"/>
      <c r="L4" s="707"/>
      <c r="M4" s="41"/>
    </row>
    <row r="5" spans="1:23" x14ac:dyDescent="0.3">
      <c r="A5" s="720" t="s">
        <v>2498</v>
      </c>
      <c r="B5" s="720"/>
      <c r="C5" s="720"/>
      <c r="D5" s="720"/>
      <c r="E5" s="720"/>
      <c r="F5" s="720"/>
      <c r="G5" s="720"/>
      <c r="H5" s="720"/>
      <c r="I5" s="720"/>
      <c r="J5" s="720"/>
      <c r="K5" s="720"/>
      <c r="L5" s="720"/>
    </row>
    <row r="6" spans="1:23" x14ac:dyDescent="0.3">
      <c r="C6" s="41"/>
      <c r="D6" s="41"/>
      <c r="E6" s="41"/>
      <c r="F6" s="41"/>
      <c r="G6" s="41"/>
      <c r="H6" s="41"/>
      <c r="I6" s="41"/>
      <c r="J6" s="76"/>
      <c r="K6" s="41"/>
      <c r="L6" s="41"/>
      <c r="M6" s="41"/>
      <c r="P6" s="41"/>
      <c r="R6" s="41"/>
    </row>
    <row r="7" spans="1:23" x14ac:dyDescent="0.3">
      <c r="C7" s="41"/>
      <c r="D7" s="41"/>
      <c r="E7" s="41"/>
      <c r="F7" s="41"/>
      <c r="G7" s="41"/>
      <c r="H7" s="41"/>
      <c r="I7" s="41"/>
      <c r="J7" s="76"/>
      <c r="K7" s="41"/>
      <c r="L7" s="41"/>
      <c r="M7" s="41"/>
      <c r="P7" s="41"/>
      <c r="R7" s="41"/>
    </row>
    <row r="8" spans="1:23" x14ac:dyDescent="0.3">
      <c r="A8" s="41" t="s">
        <v>2499</v>
      </c>
      <c r="B8" s="41"/>
      <c r="P8" s="210" t="s">
        <v>3343</v>
      </c>
      <c r="Q8" s="210"/>
      <c r="R8" s="210" t="s">
        <v>2453</v>
      </c>
      <c r="U8" s="204" t="e">
        <f>'[2]DFs - IQUEGO - 2022BALANÇO 2022'!I43-'[2]DFs - IQUEGO - 2022BALANÇO 2022'!H43</f>
        <v>#REF!</v>
      </c>
      <c r="V8" s="215" t="s">
        <v>3334</v>
      </c>
    </row>
    <row r="9" spans="1:23" x14ac:dyDescent="0.3">
      <c r="J9" s="209" t="s">
        <v>2060</v>
      </c>
      <c r="L9" s="209" t="s">
        <v>2061</v>
      </c>
      <c r="M9" s="3"/>
      <c r="P9" s="86">
        <v>2022</v>
      </c>
      <c r="R9" s="87">
        <v>2022</v>
      </c>
      <c r="U9" s="70">
        <v>0</v>
      </c>
      <c r="V9" s="40" t="s">
        <v>3342</v>
      </c>
    </row>
    <row r="10" spans="1:23" x14ac:dyDescent="0.3">
      <c r="B10" s="71" t="s">
        <v>2500</v>
      </c>
      <c r="C10" s="41"/>
      <c r="D10" s="71"/>
      <c r="E10" s="71"/>
      <c r="F10" s="71"/>
      <c r="G10" s="71"/>
      <c r="H10" s="71"/>
      <c r="I10" s="71"/>
      <c r="J10" s="78">
        <f>DRE!$D$27</f>
        <v>-17323206.559999999</v>
      </c>
      <c r="K10" s="280"/>
      <c r="L10" s="71">
        <v>-6283183.71</v>
      </c>
      <c r="M10" s="71"/>
      <c r="P10" s="71">
        <v>0</v>
      </c>
      <c r="R10" s="71">
        <f>J10-P10</f>
        <v>-17323206.559999999</v>
      </c>
      <c r="T10" s="40">
        <v>936593.76999999909</v>
      </c>
      <c r="U10" s="53">
        <v>1539595.85</v>
      </c>
      <c r="V10" s="40" t="s">
        <v>3335</v>
      </c>
      <c r="W10" s="40">
        <v>-2400530.61</v>
      </c>
    </row>
    <row r="11" spans="1:23" x14ac:dyDescent="0.3">
      <c r="P11" s="70"/>
      <c r="R11" s="71"/>
      <c r="U11" s="53">
        <v>-15177736.26</v>
      </c>
      <c r="V11" s="40" t="s">
        <v>3354</v>
      </c>
    </row>
    <row r="12" spans="1:23" x14ac:dyDescent="0.3">
      <c r="B12" s="41" t="s">
        <v>2501</v>
      </c>
      <c r="C12" s="70"/>
      <c r="D12" s="70"/>
      <c r="E12" s="70"/>
      <c r="F12" s="70"/>
      <c r="G12" s="70"/>
      <c r="I12" s="70"/>
      <c r="J12" s="79"/>
      <c r="K12" s="70"/>
      <c r="L12" s="70"/>
      <c r="M12" s="70"/>
      <c r="P12" s="70"/>
      <c r="R12" s="71"/>
      <c r="U12" s="213">
        <v>0</v>
      </c>
      <c r="V12" s="214" t="s">
        <v>3340</v>
      </c>
    </row>
    <row r="13" spans="1:23" x14ac:dyDescent="0.3">
      <c r="C13" s="72" t="s">
        <v>2097</v>
      </c>
      <c r="D13" s="70"/>
      <c r="E13" s="70"/>
      <c r="F13" s="70"/>
      <c r="G13" s="70"/>
      <c r="I13" s="70"/>
      <c r="J13" s="195">
        <f>SUM('BALANCETE 2022'!F501+'BALANCETE 2022'!F563)</f>
        <v>376090.91</v>
      </c>
      <c r="K13" s="276"/>
      <c r="L13" s="70">
        <f>SUM('BALANCETE 2021'!I551+'BALANCETE 2021'!I607)</f>
        <v>604881.28</v>
      </c>
      <c r="M13" s="70"/>
      <c r="P13" s="70">
        <f>SUMIFS(BP!J:J,BP!K:K,DFC!C13)</f>
        <v>0</v>
      </c>
      <c r="R13" s="70">
        <f t="shared" ref="R13:R67" si="0">J13-P13</f>
        <v>376090.91</v>
      </c>
      <c r="U13" s="283">
        <v>-13138407.439999999</v>
      </c>
      <c r="V13" s="40" t="s">
        <v>3355</v>
      </c>
    </row>
    <row r="14" spans="1:23" x14ac:dyDescent="0.3">
      <c r="C14" s="70" t="s">
        <v>2502</v>
      </c>
      <c r="D14" s="70"/>
      <c r="E14" s="70"/>
      <c r="F14" s="70"/>
      <c r="G14" s="70"/>
      <c r="I14" s="70"/>
      <c r="J14" s="80">
        <v>0</v>
      </c>
      <c r="K14" s="70"/>
      <c r="L14" s="70">
        <v>0</v>
      </c>
      <c r="M14" s="70"/>
      <c r="P14" s="70">
        <f>SUMIFS(BP!J:J,BP!K:K,DFC!C14)</f>
        <v>0</v>
      </c>
      <c r="R14" s="70">
        <f t="shared" si="0"/>
        <v>0</v>
      </c>
      <c r="U14" s="53">
        <v>-4184154.14</v>
      </c>
      <c r="V14" s="40" t="s">
        <v>3356</v>
      </c>
    </row>
    <row r="15" spans="1:23" x14ac:dyDescent="0.3">
      <c r="C15" s="70"/>
      <c r="D15" s="70"/>
      <c r="E15" s="70"/>
      <c r="F15" s="70"/>
      <c r="G15" s="70"/>
      <c r="I15" s="70"/>
      <c r="J15" s="80"/>
      <c r="K15" s="70"/>
      <c r="L15" s="70"/>
      <c r="M15" s="70"/>
      <c r="P15" s="70"/>
      <c r="R15" s="70"/>
      <c r="U15" s="284">
        <v>-6283183.71</v>
      </c>
      <c r="W15" s="285">
        <f>+W10+U20</f>
        <v>-19723737.169999998</v>
      </c>
    </row>
    <row r="16" spans="1:23" x14ac:dyDescent="0.3">
      <c r="C16" s="70" t="s">
        <v>3357</v>
      </c>
      <c r="D16" s="70"/>
      <c r="E16" s="70"/>
      <c r="F16" s="70"/>
      <c r="G16" s="70"/>
      <c r="I16" s="70"/>
      <c r="J16" s="80">
        <v>0</v>
      </c>
      <c r="K16" s="70"/>
      <c r="L16" s="70"/>
      <c r="M16" s="70"/>
      <c r="P16" s="70"/>
      <c r="R16" s="70"/>
      <c r="U16" s="70">
        <v>3450875.89</v>
      </c>
      <c r="V16" s="285">
        <f>+U13+U18</f>
        <v>-11040022.85</v>
      </c>
    </row>
    <row r="17" spans="2:23" x14ac:dyDescent="0.3">
      <c r="C17" s="70" t="s">
        <v>3358</v>
      </c>
      <c r="D17" s="70"/>
      <c r="E17" s="70"/>
      <c r="F17" s="70"/>
      <c r="G17" s="70"/>
      <c r="I17" s="70"/>
      <c r="J17" s="80">
        <f>DMPL!D32</f>
        <v>-15177736.26</v>
      </c>
      <c r="K17" s="70"/>
      <c r="L17" s="70"/>
      <c r="M17" s="70"/>
      <c r="P17" s="70"/>
      <c r="R17" s="70"/>
      <c r="T17" s="40" t="s">
        <v>3359</v>
      </c>
      <c r="U17" s="70">
        <v>-1351846.32</v>
      </c>
      <c r="V17" s="47">
        <f>+U20</f>
        <v>-17323206.559999999</v>
      </c>
    </row>
    <row r="18" spans="2:23" x14ac:dyDescent="0.3">
      <c r="C18" s="70" t="s">
        <v>2441</v>
      </c>
      <c r="E18" s="70"/>
      <c r="F18" s="70"/>
      <c r="G18" s="70"/>
      <c r="I18" s="70"/>
      <c r="J18" s="79">
        <f>BP!$J$41</f>
        <v>-13465360.65</v>
      </c>
      <c r="K18" s="276"/>
      <c r="L18" s="70">
        <f>SUM('BALANCETE 2021'!I507)</f>
        <v>13465360.65</v>
      </c>
      <c r="M18" s="70"/>
      <c r="P18" s="70">
        <f>SUMIFS(BP!J:J,BP!K:K,DFC!C18)</f>
        <v>0</v>
      </c>
      <c r="R18" s="70">
        <f>J18-P18</f>
        <v>-13465360.65</v>
      </c>
      <c r="U18" s="283">
        <v>2098384.59</v>
      </c>
      <c r="V18" s="285">
        <f>-V16+V17</f>
        <v>-6283183.709999999</v>
      </c>
      <c r="W18" s="285">
        <f>V18-U14</f>
        <v>-2099029.5699999989</v>
      </c>
    </row>
    <row r="19" spans="2:23" x14ac:dyDescent="0.3">
      <c r="C19" s="70" t="s">
        <v>2503</v>
      </c>
      <c r="E19" s="70"/>
      <c r="F19" s="70"/>
      <c r="G19" s="70"/>
      <c r="I19" s="70"/>
      <c r="J19" s="81">
        <f>DMPL!E32</f>
        <v>3638625.42</v>
      </c>
      <c r="K19" s="70"/>
      <c r="L19" s="70">
        <v>18568448.399999999</v>
      </c>
      <c r="M19" s="70"/>
      <c r="P19" s="70">
        <f>SUMIFS(BP!J:J,BP!K:K,DFC!C19)</f>
        <v>0</v>
      </c>
      <c r="R19" s="70">
        <f>J19-P19</f>
        <v>3638625.42</v>
      </c>
      <c r="V19" s="285">
        <f>+V18-U14</f>
        <v>-2099029.5699999989</v>
      </c>
      <c r="W19" s="285">
        <f>+W18-U10</f>
        <v>-3638625.419999999</v>
      </c>
    </row>
    <row r="20" spans="2:23" x14ac:dyDescent="0.3">
      <c r="C20" s="70" t="s">
        <v>2504</v>
      </c>
      <c r="E20" s="70"/>
      <c r="F20" s="70"/>
      <c r="G20" s="70"/>
      <c r="I20" s="70"/>
      <c r="J20" s="195">
        <f>U36</f>
        <v>26534665.100000001</v>
      </c>
      <c r="K20" s="276"/>
      <c r="L20" s="70">
        <v>-13720126.17</v>
      </c>
      <c r="M20" s="70"/>
      <c r="P20" s="70">
        <f>SUMIFS(BP!J:J,BP!K:K,DFC!C20)</f>
        <v>0</v>
      </c>
      <c r="R20" s="70">
        <f t="shared" si="0"/>
        <v>26534665.100000001</v>
      </c>
      <c r="U20" s="70">
        <f>J10</f>
        <v>-17323206.559999999</v>
      </c>
      <c r="V20" s="40" t="s">
        <v>3360</v>
      </c>
    </row>
    <row r="21" spans="2:23" x14ac:dyDescent="0.3">
      <c r="C21" s="70" t="s">
        <v>3338</v>
      </c>
      <c r="E21" s="70"/>
      <c r="F21" s="70"/>
      <c r="G21" s="70"/>
      <c r="I21" s="70"/>
      <c r="J21" s="195">
        <f>U37</f>
        <v>6016200.1799999997</v>
      </c>
      <c r="K21" s="276"/>
      <c r="L21" s="70">
        <v>0</v>
      </c>
      <c r="M21" s="70"/>
      <c r="P21" s="70"/>
      <c r="R21" s="70"/>
    </row>
    <row r="22" spans="2:23" x14ac:dyDescent="0.3">
      <c r="B22" s="41" t="s">
        <v>2505</v>
      </c>
      <c r="D22" s="70"/>
      <c r="E22" s="70"/>
      <c r="F22" s="70"/>
      <c r="G22" s="70"/>
      <c r="I22" s="70"/>
      <c r="J22" s="78">
        <f>SUM(J10:J21)</f>
        <v>-9400721.859999992</v>
      </c>
      <c r="K22" s="70"/>
      <c r="L22" s="78">
        <f>SUM(L10:L21)</f>
        <v>12635380.449999997</v>
      </c>
      <c r="M22" s="70"/>
      <c r="P22" s="71">
        <f>SUM(P10:P20)</f>
        <v>0</v>
      </c>
      <c r="R22" s="71">
        <f t="shared" si="0"/>
        <v>-9400721.859999992</v>
      </c>
      <c r="U22" s="70">
        <f>'Balancete 2022 DMPL (Zerado)'!$N$473</f>
        <v>-1413188.0199999996</v>
      </c>
      <c r="V22" s="40" t="s">
        <v>3335</v>
      </c>
    </row>
    <row r="23" spans="2:23" x14ac:dyDescent="0.3">
      <c r="B23" s="41"/>
      <c r="D23" s="70"/>
      <c r="E23" s="70"/>
      <c r="F23" s="70"/>
      <c r="G23" s="70"/>
      <c r="I23" s="70"/>
      <c r="J23" s="79"/>
      <c r="K23" s="70"/>
      <c r="L23" s="70"/>
      <c r="M23" s="70"/>
      <c r="P23" s="70"/>
      <c r="R23" s="71"/>
      <c r="U23" s="70" t="e">
        <f>'BALANCETE 2022'!#REF!</f>
        <v>#REF!</v>
      </c>
      <c r="V23" s="40" t="s">
        <v>3336</v>
      </c>
      <c r="W23" s="285">
        <f>+U18+U13+W10</f>
        <v>-13440553.459999999</v>
      </c>
    </row>
    <row r="24" spans="2:23" x14ac:dyDescent="0.3">
      <c r="B24" s="41" t="s">
        <v>2506</v>
      </c>
      <c r="D24" s="70"/>
      <c r="E24" s="70"/>
      <c r="F24" s="70"/>
      <c r="G24" s="70"/>
      <c r="I24" s="70"/>
      <c r="J24" s="78">
        <f>SUM(J25:J31)</f>
        <v>-4357426.9619999994</v>
      </c>
      <c r="K24" s="70"/>
      <c r="L24" s="71">
        <f>SUM(L25:L31)</f>
        <v>9350193.0519999973</v>
      </c>
      <c r="M24" s="70"/>
      <c r="P24" s="71">
        <f>SUM(P25:P31)</f>
        <v>-4357426.9619999994</v>
      </c>
      <c r="R24" s="71">
        <f t="shared" si="0"/>
        <v>0</v>
      </c>
      <c r="W24" s="47">
        <f>+U11</f>
        <v>-15177736.26</v>
      </c>
    </row>
    <row r="25" spans="2:23" x14ac:dyDescent="0.3">
      <c r="C25" s="40" t="s">
        <v>2410</v>
      </c>
      <c r="I25" s="70"/>
      <c r="J25" s="79">
        <f>BP!J16</f>
        <v>5707987.5999999996</v>
      </c>
      <c r="K25" s="276"/>
      <c r="L25" s="70">
        <f>SUM('BALANCETE 2021'!H30-'BALANCETE 2021'!G30)</f>
        <v>-2467860.0500000007</v>
      </c>
      <c r="M25" s="70"/>
      <c r="P25" s="70">
        <f>SUMIFS(BP!J:J,BP!K:K,DFC!C25)</f>
        <v>5707987.5999999996</v>
      </c>
      <c r="R25" s="71">
        <f t="shared" si="0"/>
        <v>0</v>
      </c>
      <c r="U25" s="70">
        <f>+U20+U17+U11+T10</f>
        <v>-32916195.370000001</v>
      </c>
    </row>
    <row r="26" spans="2:23" x14ac:dyDescent="0.3">
      <c r="C26" s="40" t="s">
        <v>2412</v>
      </c>
      <c r="I26" s="70"/>
      <c r="J26" s="79">
        <f>BP!J17</f>
        <v>-1062196.77</v>
      </c>
      <c r="K26" s="276"/>
      <c r="L26" s="70">
        <f>SUM('BALANCETE 2021'!H168-'BALANCETE 2021'!G168)</f>
        <v>840414.39999999991</v>
      </c>
      <c r="M26" s="70"/>
      <c r="P26" s="70">
        <f>SUMIFS(BP!J:J,BP!K:K,DFC!C26)</f>
        <v>-1062196.77</v>
      </c>
      <c r="R26" s="71">
        <f t="shared" si="0"/>
        <v>0</v>
      </c>
    </row>
    <row r="27" spans="2:23" x14ac:dyDescent="0.3">
      <c r="C27" s="40" t="s">
        <v>2414</v>
      </c>
      <c r="I27" s="70"/>
      <c r="J27" s="81">
        <f>BP!J18</f>
        <v>387500.99</v>
      </c>
      <c r="K27" s="276"/>
      <c r="L27" s="70">
        <v>12447045.789999999</v>
      </c>
      <c r="M27" s="70"/>
      <c r="P27" s="70">
        <f>SUMIFS(BP!J:J,BP!K:K,DFC!C27)</f>
        <v>387500.99</v>
      </c>
      <c r="R27" s="71">
        <f t="shared" si="0"/>
        <v>0</v>
      </c>
      <c r="U27" s="70">
        <v>1539595.85</v>
      </c>
    </row>
    <row r="28" spans="2:23" x14ac:dyDescent="0.3">
      <c r="C28" s="40" t="s">
        <v>2418</v>
      </c>
      <c r="I28" s="70"/>
      <c r="J28" s="81">
        <f>BP!J20</f>
        <v>-2049492.5700000003</v>
      </c>
      <c r="K28" s="276"/>
      <c r="L28" s="70">
        <v>208591.79</v>
      </c>
      <c r="M28" s="70"/>
      <c r="P28" s="70">
        <f>SUMIFS(BP!J:J,BP!K:K,DFC!C28)</f>
        <v>-2049492.5700000003</v>
      </c>
      <c r="R28" s="71">
        <f t="shared" si="0"/>
        <v>0</v>
      </c>
      <c r="U28" s="70">
        <f>+U17-U27</f>
        <v>-2891442.17</v>
      </c>
    </row>
    <row r="29" spans="2:23" x14ac:dyDescent="0.3">
      <c r="C29" s="40" t="s">
        <v>2416</v>
      </c>
      <c r="I29" s="70"/>
      <c r="J29" s="79">
        <f>BP!J19</f>
        <v>-6105422.2119999994</v>
      </c>
      <c r="K29" s="276"/>
      <c r="L29" s="70">
        <f>SUM('BALANCETE 2021'!E187-'BALANCETE 2021'!I187+'BALANCETE 2021'!E201-'BALANCETE 2021'!I201+'BALANCETE 2021'!E204-'BALANCETE 2021'!I204+'BALANCETE 2021'!E208-'BALANCETE 2021'!I208)+0.01</f>
        <v>-1552387.5180000002</v>
      </c>
      <c r="M29" s="70"/>
      <c r="P29" s="70">
        <f>SUMIFS(BP!J:J,BP!K:K,DFC!C29)</f>
        <v>-6105422.2119999994</v>
      </c>
      <c r="R29" s="71">
        <f t="shared" si="0"/>
        <v>0</v>
      </c>
    </row>
    <row r="30" spans="2:23" x14ac:dyDescent="0.3">
      <c r="C30" s="40" t="s">
        <v>2507</v>
      </c>
      <c r="D30" s="42"/>
      <c r="I30" s="70"/>
      <c r="J30" s="79"/>
      <c r="K30" s="276"/>
      <c r="L30" s="70"/>
      <c r="M30" s="70"/>
      <c r="P30" s="70">
        <f>SUMIFS(BP!J:J,BP!K:K,DFC!C30)</f>
        <v>0</v>
      </c>
      <c r="R30" s="71">
        <f t="shared" si="0"/>
        <v>0</v>
      </c>
    </row>
    <row r="31" spans="2:23" x14ac:dyDescent="0.3">
      <c r="C31" s="40" t="s">
        <v>2421</v>
      </c>
      <c r="D31" s="42"/>
      <c r="I31" s="70"/>
      <c r="J31" s="79">
        <f>BP!J23</f>
        <v>-1235804</v>
      </c>
      <c r="K31" s="276"/>
      <c r="L31" s="70">
        <f>SUM('BALANCETE 2021'!H220-'BALANCETE 2021'!G220)</f>
        <v>-125611.35999999999</v>
      </c>
      <c r="M31" s="70"/>
      <c r="P31" s="70">
        <f>SUMIFS(BP!J:J,BP!K:K,DFC!C31)</f>
        <v>-1235804</v>
      </c>
      <c r="R31" s="71">
        <f t="shared" si="0"/>
        <v>0</v>
      </c>
    </row>
    <row r="32" spans="2:23" x14ac:dyDescent="0.3">
      <c r="D32" s="42"/>
      <c r="I32" s="70"/>
      <c r="J32" s="79"/>
      <c r="K32" s="70"/>
      <c r="L32" s="70"/>
      <c r="M32" s="70"/>
      <c r="P32" s="70"/>
      <c r="R32" s="71"/>
    </row>
    <row r="33" spans="1:23" x14ac:dyDescent="0.3">
      <c r="B33" s="41" t="s">
        <v>2508</v>
      </c>
      <c r="C33" s="72"/>
      <c r="I33" s="70"/>
      <c r="J33" s="78">
        <f>SUM(J34:J39)</f>
        <v>9724606.1000000034</v>
      </c>
      <c r="K33" s="70"/>
      <c r="L33" s="71">
        <f>SUM(L34:L39)</f>
        <v>3524739.8099999982</v>
      </c>
      <c r="M33" s="70"/>
      <c r="P33" s="71">
        <f>SUM(P34:P39)</f>
        <v>9724606.1000000034</v>
      </c>
      <c r="R33" s="71">
        <f t="shared" si="0"/>
        <v>0</v>
      </c>
      <c r="U33" s="200">
        <f>-BP!$J$25</f>
        <v>-32917878.189999998</v>
      </c>
      <c r="V33" s="196" t="s">
        <v>3333</v>
      </c>
    </row>
    <row r="34" spans="1:23" x14ac:dyDescent="0.3">
      <c r="C34" s="40" t="s">
        <v>2427</v>
      </c>
      <c r="I34" s="70"/>
      <c r="J34" s="82">
        <f>BP!J31+BP!J35</f>
        <v>-491637.4300000011</v>
      </c>
      <c r="K34" s="276"/>
      <c r="L34" s="70">
        <v>10051358.189999999</v>
      </c>
      <c r="M34" s="70"/>
      <c r="P34" s="70">
        <f>SUMIFS(BP!J:J,BP!K:K,DFC!C34)</f>
        <v>-491637.4300000011</v>
      </c>
      <c r="R34" s="71">
        <f t="shared" si="0"/>
        <v>0</v>
      </c>
      <c r="U34" s="201">
        <f>J13</f>
        <v>376090.91</v>
      </c>
      <c r="V34" s="197" t="s">
        <v>2097</v>
      </c>
      <c r="W34" s="179">
        <f>SUM(U33,U34)</f>
        <v>-32541787.279999997</v>
      </c>
    </row>
    <row r="35" spans="1:23" hidden="1" x14ac:dyDescent="0.3">
      <c r="C35" s="40" t="s">
        <v>2509</v>
      </c>
      <c r="I35" s="70"/>
      <c r="J35" s="81"/>
      <c r="K35" s="70"/>
      <c r="L35" s="70"/>
      <c r="M35" s="70"/>
      <c r="P35" s="70">
        <f>SUMIFS(BP!J:J,BP!K:K,DFC!C35)</f>
        <v>0</v>
      </c>
      <c r="R35" s="71">
        <f t="shared" si="0"/>
        <v>0</v>
      </c>
    </row>
    <row r="36" spans="1:23" x14ac:dyDescent="0.3">
      <c r="C36" s="40" t="s">
        <v>2429</v>
      </c>
      <c r="I36" s="70"/>
      <c r="J36" s="81">
        <f>BP!J32</f>
        <v>56741.800000000163</v>
      </c>
      <c r="K36" s="276"/>
      <c r="L36" s="70">
        <v>-714527.8</v>
      </c>
      <c r="M36" s="70"/>
      <c r="P36" s="70">
        <f>SUMIFS(BP!J:J,BP!K:K,DFC!C36)</f>
        <v>56741.800000000163</v>
      </c>
      <c r="R36" s="71">
        <f t="shared" si="0"/>
        <v>0</v>
      </c>
      <c r="U36" s="202">
        <v>26534665.100000001</v>
      </c>
      <c r="V36" s="198" t="s">
        <v>2504</v>
      </c>
      <c r="W36" s="44" t="s">
        <v>3341</v>
      </c>
    </row>
    <row r="37" spans="1:23" x14ac:dyDescent="0.3">
      <c r="C37" s="40" t="s">
        <v>2431</v>
      </c>
      <c r="I37" s="70"/>
      <c r="J37" s="79">
        <f>BP!J33</f>
        <v>243988.96000000008</v>
      </c>
      <c r="K37" s="276"/>
      <c r="L37" s="70">
        <f>SUM('BALANCETE 2021'!H441-'BALANCETE 2021'!G441)</f>
        <v>-2020917.4000000004</v>
      </c>
      <c r="M37" s="70"/>
      <c r="P37" s="70">
        <f>SUMIFS(BP!J:J,BP!K:K,DFC!C37)</f>
        <v>243988.96000000008</v>
      </c>
      <c r="R37" s="71">
        <f t="shared" si="0"/>
        <v>0</v>
      </c>
      <c r="U37" s="201">
        <v>6016200.1799999997</v>
      </c>
      <c r="V37" s="197" t="s">
        <v>3338</v>
      </c>
      <c r="W37" s="208">
        <f>SUM(U36,U37)</f>
        <v>32550865.280000001</v>
      </c>
    </row>
    <row r="38" spans="1:23" x14ac:dyDescent="0.3">
      <c r="C38" s="40" t="s">
        <v>2433</v>
      </c>
      <c r="I38" s="70"/>
      <c r="J38" s="79">
        <f>BP!J34</f>
        <v>2795183.63</v>
      </c>
      <c r="K38" s="276"/>
      <c r="L38" s="70">
        <f>SUM(-'BALANCETE 2021'!G462)</f>
        <v>-29237</v>
      </c>
      <c r="M38" s="70"/>
      <c r="P38" s="70">
        <f>SUMIFS(BP!J:J,BP!K:K,DFC!C38)</f>
        <v>2795183.63</v>
      </c>
      <c r="R38" s="71">
        <f t="shared" si="0"/>
        <v>0</v>
      </c>
      <c r="U38" s="205">
        <v>-9078</v>
      </c>
      <c r="V38" s="206" t="s">
        <v>3339</v>
      </c>
      <c r="W38" s="179">
        <f>SUM(W34,W37)</f>
        <v>9078.0000000037253</v>
      </c>
    </row>
    <row r="39" spans="1:23" x14ac:dyDescent="0.3">
      <c r="C39" s="40" t="s">
        <v>2437</v>
      </c>
      <c r="I39" s="70"/>
      <c r="J39" s="81">
        <f>BP!J38+BP!J39+BP!J40</f>
        <v>7120329.1400000043</v>
      </c>
      <c r="K39" s="276"/>
      <c r="L39" s="70">
        <v>-3761936.18</v>
      </c>
      <c r="M39" s="70"/>
      <c r="P39" s="70">
        <f>SUMIFS(BP!J:J,BP!K:K,DFC!C39)</f>
        <v>7120329.1400000043</v>
      </c>
      <c r="R39" s="71">
        <f t="shared" si="0"/>
        <v>0</v>
      </c>
      <c r="U39" s="207">
        <f>SUM(U33:U38)</f>
        <v>3.7252902984619141E-9</v>
      </c>
    </row>
    <row r="40" spans="1:23" x14ac:dyDescent="0.3">
      <c r="I40" s="70"/>
      <c r="J40" s="79"/>
      <c r="K40" s="70"/>
      <c r="L40" s="70"/>
      <c r="M40" s="70"/>
      <c r="P40" s="70"/>
      <c r="R40" s="71"/>
      <c r="U40" s="207"/>
    </row>
    <row r="41" spans="1:23" x14ac:dyDescent="0.3">
      <c r="B41" s="41" t="s">
        <v>2510</v>
      </c>
      <c r="I41" s="70"/>
      <c r="J41" s="78">
        <f>SUM(J22+J24+J33)</f>
        <v>-4033542.721999988</v>
      </c>
      <c r="K41" s="70"/>
      <c r="L41" s="71">
        <f>SUM(L22+L24+L33)</f>
        <v>25510313.311999995</v>
      </c>
      <c r="M41" s="70"/>
      <c r="P41" s="71">
        <f>SUM(P22+P24+P33)</f>
        <v>5367179.138000004</v>
      </c>
      <c r="R41" s="71">
        <f t="shared" si="0"/>
        <v>-9400721.859999992</v>
      </c>
    </row>
    <row r="42" spans="1:23" hidden="1" x14ac:dyDescent="0.3">
      <c r="C42" s="70" t="s">
        <v>2511</v>
      </c>
      <c r="I42" s="70"/>
      <c r="J42" s="79"/>
      <c r="K42" s="70"/>
      <c r="L42" s="70"/>
      <c r="M42" s="70"/>
      <c r="P42" s="70">
        <f>SUMIFS(BP!J:J,BP!K:K,DFC!C42)</f>
        <v>0</v>
      </c>
      <c r="R42" s="71">
        <f t="shared" si="0"/>
        <v>0</v>
      </c>
    </row>
    <row r="43" spans="1:23" x14ac:dyDescent="0.3">
      <c r="C43" s="70" t="s">
        <v>2512</v>
      </c>
      <c r="I43" s="70"/>
      <c r="J43" s="79">
        <v>0</v>
      </c>
      <c r="K43" s="70"/>
      <c r="L43" s="70">
        <v>0</v>
      </c>
      <c r="M43" s="70"/>
      <c r="P43" s="70">
        <f>SUMIFS(BP!J:J,BP!K:K,DFC!C43)</f>
        <v>0</v>
      </c>
      <c r="R43" s="71">
        <f t="shared" si="0"/>
        <v>0</v>
      </c>
    </row>
    <row r="44" spans="1:23" x14ac:dyDescent="0.3">
      <c r="C44" s="70"/>
      <c r="I44" s="70"/>
      <c r="J44" s="79"/>
      <c r="K44" s="70"/>
      <c r="L44" s="70"/>
      <c r="M44" s="70"/>
      <c r="P44" s="70"/>
      <c r="R44" s="71"/>
    </row>
    <row r="45" spans="1:23" x14ac:dyDescent="0.3">
      <c r="B45" s="43" t="s">
        <v>2513</v>
      </c>
      <c r="I45" s="70"/>
      <c r="J45" s="78">
        <f>SUM(J41:J43)</f>
        <v>-4033542.721999988</v>
      </c>
      <c r="K45" s="70"/>
      <c r="L45" s="71">
        <f>SUM(L41:L43)</f>
        <v>25510313.311999995</v>
      </c>
      <c r="M45" s="70"/>
      <c r="P45" s="71">
        <f>SUM(P41:P43)</f>
        <v>5367179.138000004</v>
      </c>
      <c r="R45" s="71">
        <f t="shared" si="0"/>
        <v>-9400721.859999992</v>
      </c>
    </row>
    <row r="46" spans="1:23" x14ac:dyDescent="0.3">
      <c r="B46" s="41"/>
      <c r="I46" s="70"/>
      <c r="J46" s="79"/>
      <c r="K46" s="70"/>
      <c r="L46" s="70"/>
      <c r="M46" s="70"/>
      <c r="P46" s="70"/>
      <c r="R46" s="71"/>
    </row>
    <row r="47" spans="1:23" x14ac:dyDescent="0.3">
      <c r="A47" s="41" t="s">
        <v>2514</v>
      </c>
      <c r="I47" s="70"/>
      <c r="J47" s="78">
        <f>SUM(J49:J52)</f>
        <v>-9078.0000000074506</v>
      </c>
      <c r="K47" s="71"/>
      <c r="L47" s="71">
        <f>SUM(L49:L52)</f>
        <v>-28648521.91</v>
      </c>
      <c r="M47" s="70"/>
      <c r="P47" s="71">
        <f>SUM(P49:P51)</f>
        <v>0</v>
      </c>
      <c r="R47" s="71">
        <f t="shared" si="0"/>
        <v>-9078.0000000074506</v>
      </c>
    </row>
    <row r="48" spans="1:23" x14ac:dyDescent="0.3">
      <c r="A48" s="41"/>
      <c r="I48" s="70"/>
      <c r="J48" s="79"/>
      <c r="K48" s="70"/>
      <c r="L48" s="71"/>
      <c r="M48" s="70"/>
      <c r="P48" s="70"/>
      <c r="R48" s="71"/>
    </row>
    <row r="49" spans="1:21" x14ac:dyDescent="0.3">
      <c r="B49" s="40" t="s">
        <v>2515</v>
      </c>
      <c r="J49" s="79">
        <v>0</v>
      </c>
      <c r="L49" s="70">
        <v>0</v>
      </c>
      <c r="N49" s="211"/>
      <c r="P49" s="70">
        <f>SUMIFS(BP!J:J,BP!K:K,DFC!C49)</f>
        <v>0</v>
      </c>
      <c r="R49" s="70">
        <f t="shared" si="0"/>
        <v>0</v>
      </c>
    </row>
    <row r="50" spans="1:21" x14ac:dyDescent="0.3">
      <c r="B50" s="40" t="s">
        <v>2516</v>
      </c>
      <c r="J50" s="79">
        <v>0</v>
      </c>
      <c r="L50" s="70">
        <v>0</v>
      </c>
      <c r="N50" s="211"/>
      <c r="P50" s="70">
        <f>SUMIFS(BP!J:J,BP!K:K,DFC!C50)</f>
        <v>0</v>
      </c>
      <c r="R50" s="70">
        <f t="shared" si="0"/>
        <v>0</v>
      </c>
    </row>
    <row r="51" spans="1:21" x14ac:dyDescent="0.3">
      <c r="B51" s="40" t="s">
        <v>2517</v>
      </c>
      <c r="I51" s="70"/>
      <c r="J51" s="81">
        <v>0</v>
      </c>
      <c r="K51" s="70"/>
      <c r="L51" s="70">
        <v>-28648521.91</v>
      </c>
      <c r="M51" s="70"/>
      <c r="N51" s="211"/>
      <c r="P51" s="70">
        <f>SUMIFS(BP!J:J,BP!K:K,DFC!C51)</f>
        <v>0</v>
      </c>
      <c r="R51" s="70">
        <f t="shared" si="0"/>
        <v>0</v>
      </c>
    </row>
    <row r="52" spans="1:21" x14ac:dyDescent="0.3">
      <c r="B52" s="40" t="s">
        <v>3339</v>
      </c>
      <c r="I52" s="70"/>
      <c r="J52" s="195">
        <v>-9078.0000000074506</v>
      </c>
      <c r="K52" s="276"/>
      <c r="L52" s="70">
        <v>0</v>
      </c>
      <c r="M52" s="70"/>
      <c r="N52" s="211"/>
      <c r="P52" s="70">
        <f>SUMIFS(BP!J:J,BP!K:K,DFC!C52)</f>
        <v>0</v>
      </c>
      <c r="R52" s="70">
        <f t="shared" si="0"/>
        <v>-9078.0000000074506</v>
      </c>
    </row>
    <row r="53" spans="1:21" x14ac:dyDescent="0.3">
      <c r="I53" s="70"/>
      <c r="J53" s="79"/>
      <c r="K53" s="70"/>
      <c r="L53" s="70"/>
      <c r="M53" s="70"/>
      <c r="P53" s="70"/>
      <c r="R53" s="71"/>
    </row>
    <row r="54" spans="1:21" x14ac:dyDescent="0.3">
      <c r="A54" s="41" t="s">
        <v>2518</v>
      </c>
      <c r="I54" s="70"/>
      <c r="J54" s="78">
        <f>SUM(J55:J58)</f>
        <v>0</v>
      </c>
      <c r="K54" s="71"/>
      <c r="L54" s="71">
        <f>SUM(L55:L58)</f>
        <v>0</v>
      </c>
      <c r="M54" s="70"/>
      <c r="P54" s="71">
        <f>SUM(P55:P58)</f>
        <v>0</v>
      </c>
      <c r="R54" s="71">
        <f t="shared" si="0"/>
        <v>0</v>
      </c>
    </row>
    <row r="55" spans="1:21" x14ac:dyDescent="0.3">
      <c r="B55" s="40" t="s">
        <v>2519</v>
      </c>
      <c r="D55" s="70"/>
      <c r="E55" s="70"/>
      <c r="F55" s="70"/>
      <c r="G55" s="70"/>
      <c r="I55" s="70"/>
      <c r="J55" s="79">
        <v>0</v>
      </c>
      <c r="K55" s="70"/>
      <c r="L55" s="70">
        <v>0</v>
      </c>
      <c r="M55" s="70"/>
      <c r="P55" s="70">
        <f>SUMIFS(BP!J:J,BP!K:K,DFC!C55)</f>
        <v>0</v>
      </c>
      <c r="R55" s="70">
        <f t="shared" si="0"/>
        <v>0</v>
      </c>
    </row>
    <row r="56" spans="1:21" x14ac:dyDescent="0.3">
      <c r="B56" s="40" t="s">
        <v>2520</v>
      </c>
      <c r="C56" s="44"/>
      <c r="I56" s="70"/>
      <c r="J56" s="79">
        <v>0</v>
      </c>
      <c r="K56" s="70"/>
      <c r="L56" s="70">
        <v>0</v>
      </c>
      <c r="M56" s="70"/>
      <c r="P56" s="70">
        <f>SUMIFS(BP!J:J,BP!K:K,DFC!C56)</f>
        <v>0</v>
      </c>
      <c r="R56" s="70">
        <f t="shared" si="0"/>
        <v>0</v>
      </c>
    </row>
    <row r="57" spans="1:21" x14ac:dyDescent="0.3">
      <c r="B57" s="40" t="s">
        <v>2521</v>
      </c>
      <c r="I57" s="70"/>
      <c r="J57" s="79">
        <v>0</v>
      </c>
      <c r="K57" s="70"/>
      <c r="L57" s="70">
        <v>0</v>
      </c>
      <c r="M57" s="70"/>
      <c r="P57" s="70">
        <f>SUMIFS(BP!J:J,BP!K:K,DFC!C57)</f>
        <v>0</v>
      </c>
      <c r="R57" s="70">
        <f t="shared" si="0"/>
        <v>0</v>
      </c>
    </row>
    <row r="58" spans="1:21" x14ac:dyDescent="0.3">
      <c r="B58" s="40" t="s">
        <v>2522</v>
      </c>
      <c r="I58" s="70"/>
      <c r="J58" s="79">
        <v>0</v>
      </c>
      <c r="K58" s="70"/>
      <c r="L58" s="70">
        <v>0</v>
      </c>
      <c r="M58" s="70"/>
      <c r="P58" s="70">
        <f>SUMIFS(BP!J:J,BP!K:K,DFC!C58)</f>
        <v>0</v>
      </c>
      <c r="R58" s="70">
        <f t="shared" si="0"/>
        <v>0</v>
      </c>
    </row>
    <row r="59" spans="1:21" x14ac:dyDescent="0.3">
      <c r="B59" s="40" t="s">
        <v>2523</v>
      </c>
      <c r="I59" s="70"/>
      <c r="J59" s="79"/>
      <c r="K59" s="70"/>
      <c r="L59" s="70"/>
      <c r="M59" s="70"/>
      <c r="P59" s="70"/>
      <c r="R59" s="71"/>
    </row>
    <row r="60" spans="1:21" s="41" customFormat="1" x14ac:dyDescent="0.3">
      <c r="A60" s="40"/>
      <c r="B60" s="43" t="s">
        <v>2524</v>
      </c>
      <c r="C60" s="40"/>
      <c r="D60" s="40"/>
      <c r="E60" s="40"/>
      <c r="F60" s="40"/>
      <c r="G60" s="40"/>
      <c r="H60" s="70"/>
      <c r="I60" s="70"/>
      <c r="J60" s="78">
        <v>0</v>
      </c>
      <c r="K60" s="70"/>
      <c r="L60" s="71">
        <v>0</v>
      </c>
      <c r="M60" s="70"/>
      <c r="N60" s="38"/>
      <c r="P60" s="70">
        <f>SUMIFS(BP!J:J,BP!K:K,DFC!C60)</f>
        <v>0</v>
      </c>
      <c r="R60" s="71">
        <f t="shared" si="0"/>
        <v>0</v>
      </c>
      <c r="U60" s="71"/>
    </row>
    <row r="61" spans="1:21" x14ac:dyDescent="0.3">
      <c r="B61" s="43"/>
      <c r="I61" s="70"/>
      <c r="J61" s="79"/>
      <c r="K61" s="70"/>
      <c r="L61" s="70"/>
      <c r="M61" s="70"/>
      <c r="P61" s="70"/>
      <c r="R61" s="71"/>
    </row>
    <row r="62" spans="1:21" x14ac:dyDescent="0.3">
      <c r="A62" s="41" t="s">
        <v>2525</v>
      </c>
      <c r="B62" s="43"/>
      <c r="C62" s="41"/>
      <c r="D62" s="41"/>
      <c r="E62" s="41"/>
      <c r="F62" s="41"/>
      <c r="G62" s="41"/>
      <c r="H62" s="71"/>
      <c r="I62" s="71"/>
      <c r="J62" s="78">
        <f>SUM(J45+J54)+J47</f>
        <v>-4042620.7219999954</v>
      </c>
      <c r="K62" s="71"/>
      <c r="L62" s="71">
        <f>SUM(L45+L47)</f>
        <v>-3138208.5980000049</v>
      </c>
      <c r="M62" s="71"/>
      <c r="P62" s="71">
        <f>SUM(P45+P54)</f>
        <v>5367179.138000004</v>
      </c>
      <c r="R62" s="71">
        <f t="shared" si="0"/>
        <v>-9409799.8599999994</v>
      </c>
    </row>
    <row r="63" spans="1:21" x14ac:dyDescent="0.3">
      <c r="I63" s="70"/>
      <c r="J63" s="79"/>
      <c r="K63" s="70"/>
      <c r="L63" s="70"/>
      <c r="M63" s="70"/>
      <c r="P63" s="70"/>
      <c r="R63" s="71"/>
    </row>
    <row r="64" spans="1:21" x14ac:dyDescent="0.3">
      <c r="A64" s="41"/>
      <c r="I64" s="70"/>
      <c r="J64" s="79"/>
      <c r="K64" s="70"/>
      <c r="L64" s="70"/>
      <c r="M64" s="70"/>
      <c r="P64" s="70"/>
      <c r="R64" s="71"/>
    </row>
    <row r="65" spans="1:18" x14ac:dyDescent="0.3">
      <c r="A65" s="40" t="s">
        <v>2400</v>
      </c>
      <c r="I65" s="70"/>
      <c r="J65" s="79">
        <f>SUM('BALANCETE 2022'!C14)</f>
        <v>6903819.0899999999</v>
      </c>
      <c r="K65" s="276"/>
      <c r="L65" s="70">
        <f>SUM('BALANCETE 2021'!E12)</f>
        <v>10042027.689999999</v>
      </c>
      <c r="M65" s="70"/>
      <c r="P65" s="70">
        <f>SUMIFS(BP!J:J,BP!K:K,DFC!A65)</f>
        <v>6903819.0899999999</v>
      </c>
      <c r="R65" s="70">
        <f t="shared" si="0"/>
        <v>0</v>
      </c>
    </row>
    <row r="66" spans="1:18" x14ac:dyDescent="0.3">
      <c r="A66" s="40" t="s">
        <v>2402</v>
      </c>
      <c r="I66" s="70"/>
      <c r="J66" s="79">
        <f>SUM('BALANCETE 2022'!F14)</f>
        <v>2861198.37</v>
      </c>
      <c r="K66" s="276"/>
      <c r="L66" s="70">
        <f>SUM('BALANCETE 2021'!I12)</f>
        <v>6903819.0899999999</v>
      </c>
      <c r="M66" s="70"/>
      <c r="P66" s="70">
        <f>SUMIFS(BP!J:J,BP!K:K,DFC!A66)</f>
        <v>2861198.37</v>
      </c>
      <c r="R66" s="70">
        <f t="shared" si="0"/>
        <v>0</v>
      </c>
    </row>
    <row r="67" spans="1:18" x14ac:dyDescent="0.3">
      <c r="A67" s="41" t="s">
        <v>2525</v>
      </c>
      <c r="I67" s="70"/>
      <c r="J67" s="78">
        <f>SUM(J66-J65)</f>
        <v>-4042620.7199999997</v>
      </c>
      <c r="K67" s="276"/>
      <c r="L67" s="71">
        <f>SUM(L66-L65)</f>
        <v>-3138208.5999999996</v>
      </c>
      <c r="M67" s="70"/>
      <c r="P67" s="71">
        <f>SUM(P66-P65)</f>
        <v>-4042620.7199999997</v>
      </c>
      <c r="R67" s="71">
        <f t="shared" si="0"/>
        <v>0</v>
      </c>
    </row>
    <row r="68" spans="1:18" x14ac:dyDescent="0.3">
      <c r="A68" s="41"/>
      <c r="I68" s="70"/>
      <c r="J68" s="78"/>
      <c r="K68" s="70"/>
      <c r="L68" s="71"/>
      <c r="M68" s="70"/>
      <c r="P68" s="71"/>
      <c r="R68" s="71"/>
    </row>
    <row r="69" spans="1:18" x14ac:dyDescent="0.3">
      <c r="A69" s="41"/>
      <c r="I69" s="70"/>
      <c r="J69" s="192">
        <f>J67-J62</f>
        <v>1.9999956712126732E-3</v>
      </c>
      <c r="K69" s="70"/>
      <c r="L69" s="192">
        <f>L67-L62</f>
        <v>-1.9999947398900986E-3</v>
      </c>
      <c r="M69" s="70"/>
      <c r="P69" s="71"/>
      <c r="R69" s="71"/>
    </row>
    <row r="70" spans="1:18" x14ac:dyDescent="0.3">
      <c r="A70" s="41"/>
      <c r="I70" s="70"/>
      <c r="J70" s="282">
        <f>J69*2</f>
        <v>3.9999913424253464E-3</v>
      </c>
      <c r="K70" s="70"/>
      <c r="L70" s="71">
        <f>L67-L62</f>
        <v>-1.9999947398900986E-3</v>
      </c>
      <c r="M70" s="70"/>
      <c r="P70" s="71">
        <f>P67-P62</f>
        <v>-9409799.8580000028</v>
      </c>
      <c r="R70" s="71">
        <f>J69-P70</f>
        <v>9409799.8599999994</v>
      </c>
    </row>
    <row r="71" spans="1:18" x14ac:dyDescent="0.3">
      <c r="A71" s="41"/>
      <c r="I71" s="70"/>
      <c r="J71" s="212">
        <f>J69/2</f>
        <v>9.9999783560633659E-4</v>
      </c>
      <c r="K71" s="70"/>
      <c r="L71" s="71"/>
      <c r="M71" s="70"/>
      <c r="P71" s="71"/>
      <c r="R71" s="71"/>
    </row>
    <row r="72" spans="1:18" ht="10.5" customHeight="1" x14ac:dyDescent="0.3">
      <c r="A72" s="41"/>
      <c r="I72" s="70"/>
      <c r="J72" s="79"/>
      <c r="K72" s="70"/>
      <c r="L72" s="70"/>
      <c r="M72" s="70"/>
      <c r="P72" s="70"/>
      <c r="R72" s="70"/>
    </row>
    <row r="73" spans="1:18" x14ac:dyDescent="0.3">
      <c r="A73" s="707" t="s">
        <v>2526</v>
      </c>
      <c r="B73" s="707"/>
      <c r="C73" s="707"/>
      <c r="D73" s="707"/>
      <c r="E73" s="707"/>
      <c r="F73" s="707"/>
      <c r="G73" s="707"/>
      <c r="H73" s="707"/>
      <c r="I73" s="707"/>
      <c r="J73" s="707"/>
      <c r="K73" s="707"/>
      <c r="L73" s="707"/>
      <c r="M73" s="707"/>
    </row>
    <row r="74" spans="1:18" ht="7.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76"/>
      <c r="K74" s="3"/>
      <c r="L74" s="3"/>
      <c r="M74" s="3"/>
      <c r="P74" s="3"/>
      <c r="R74" s="3"/>
    </row>
    <row r="75" spans="1:18" x14ac:dyDescent="0.3">
      <c r="A75" s="41"/>
      <c r="D75" s="45" t="s">
        <v>2527</v>
      </c>
      <c r="E75" s="45"/>
      <c r="F75" s="45"/>
      <c r="I75" s="70"/>
      <c r="J75" s="83" t="s">
        <v>2528</v>
      </c>
      <c r="K75" s="46"/>
      <c r="L75" s="46"/>
      <c r="M75" s="46"/>
      <c r="N75" s="40"/>
      <c r="P75" s="46" t="s">
        <v>2528</v>
      </c>
      <c r="R75" s="46" t="s">
        <v>2528</v>
      </c>
    </row>
    <row r="76" spans="1:18" ht="13.5" customHeight="1" x14ac:dyDescent="0.3">
      <c r="I76" s="47"/>
      <c r="J76" s="84"/>
      <c r="K76" s="47"/>
      <c r="L76" s="47"/>
      <c r="M76" s="47"/>
      <c r="N76" s="40"/>
      <c r="P76" s="47"/>
      <c r="R76" s="47"/>
    </row>
    <row r="77" spans="1:18" ht="13.5" customHeight="1" x14ac:dyDescent="0.3">
      <c r="I77" s="47"/>
      <c r="J77" s="84"/>
      <c r="K77" s="47"/>
      <c r="L77" s="47"/>
      <c r="M77" s="47"/>
      <c r="N77" s="40"/>
      <c r="P77" s="47"/>
      <c r="R77" s="47"/>
    </row>
    <row r="78" spans="1:18" ht="13.5" customHeight="1" x14ac:dyDescent="0.3">
      <c r="D78" s="48"/>
      <c r="E78" s="48"/>
      <c r="F78" s="48"/>
      <c r="G78" s="48"/>
      <c r="H78" s="48"/>
      <c r="I78" s="37"/>
      <c r="J78" s="85"/>
      <c r="K78" s="49"/>
      <c r="L78" s="49"/>
      <c r="M78" s="37"/>
      <c r="N78" s="40"/>
      <c r="P78" s="49"/>
      <c r="R78" s="49"/>
    </row>
    <row r="79" spans="1:18" x14ac:dyDescent="0.3">
      <c r="D79" s="708" t="s">
        <v>2529</v>
      </c>
      <c r="E79" s="708"/>
      <c r="F79" s="708"/>
      <c r="G79" s="708"/>
      <c r="H79" s="708"/>
      <c r="I79" s="708"/>
      <c r="J79" s="708"/>
      <c r="K79" s="708"/>
      <c r="L79" s="708"/>
      <c r="M79" s="70"/>
      <c r="N79" s="40"/>
    </row>
    <row r="80" spans="1:18" x14ac:dyDescent="0.3">
      <c r="D80" s="708" t="s">
        <v>2530</v>
      </c>
      <c r="E80" s="708"/>
      <c r="F80" s="708"/>
      <c r="G80" s="708"/>
      <c r="H80" s="708"/>
      <c r="I80" s="708"/>
      <c r="J80" s="708"/>
      <c r="K80" s="708"/>
      <c r="L80" s="708"/>
      <c r="M80" s="70"/>
      <c r="N80" s="40"/>
    </row>
    <row r="81" spans="4:14" ht="20.25" customHeight="1" x14ac:dyDescent="0.3">
      <c r="D81" s="709" t="s">
        <v>2531</v>
      </c>
      <c r="E81" s="709"/>
      <c r="F81" s="709"/>
      <c r="G81" s="709"/>
      <c r="H81" s="709"/>
      <c r="I81" s="709"/>
      <c r="J81" s="709"/>
      <c r="K81" s="709"/>
      <c r="L81" s="709"/>
      <c r="M81" s="73"/>
      <c r="N81" s="40"/>
    </row>
  </sheetData>
  <mergeCells count="8">
    <mergeCell ref="D80:L80"/>
    <mergeCell ref="D81:L81"/>
    <mergeCell ref="A1:L1"/>
    <mergeCell ref="A2:L2"/>
    <mergeCell ref="A4:L4"/>
    <mergeCell ref="A5:L5"/>
    <mergeCell ref="A73:M73"/>
    <mergeCell ref="D79:L79"/>
  </mergeCells>
  <pageMargins left="0.511811024" right="0.511811024" top="0.78740157499999996" bottom="0.78740157499999996" header="0.31496062000000002" footer="0.31496062000000002"/>
  <pageSetup paperSize="9" scale="84" orientation="portrait" r:id="rId1"/>
  <colBreaks count="1" manualBreakCount="1">
    <brk id="12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438B0-6D37-4175-95BD-1D76DDF6A2A0}">
  <sheetPr>
    <tabColor rgb="FF00B050"/>
  </sheetPr>
  <dimension ref="B3:Q668"/>
  <sheetViews>
    <sheetView topLeftCell="A145" zoomScale="85" zoomScaleNormal="85" workbookViewId="0">
      <selection activeCell="L171" activeCellId="3" sqref="L160 L162 L164 L171"/>
    </sheetView>
  </sheetViews>
  <sheetFormatPr defaultRowHeight="15" customHeight="1" x14ac:dyDescent="0.3"/>
  <cols>
    <col min="1" max="1" width="1.44140625" style="298" customWidth="1"/>
    <col min="2" max="2" width="4.109375" style="298" customWidth="1"/>
    <col min="3" max="3" width="16.109375" style="298" bestFit="1" customWidth="1"/>
    <col min="4" max="4" width="61.5546875" style="299" customWidth="1"/>
    <col min="5" max="5" width="19.44140625" style="420" hidden="1" customWidth="1"/>
    <col min="6" max="6" width="22.109375" style="420" hidden="1" customWidth="1"/>
    <col min="7" max="7" width="20.33203125" style="420" hidden="1" customWidth="1"/>
    <col min="8" max="8" width="22" style="420" hidden="1" customWidth="1"/>
    <col min="9" max="9" width="17.88671875" style="318" customWidth="1"/>
    <col min="10" max="10" width="17.88671875" style="300" customWidth="1"/>
    <col min="11" max="11" width="14" style="300" bestFit="1" customWidth="1"/>
    <col min="12" max="12" width="15.88671875" style="300" bestFit="1" customWidth="1"/>
    <col min="13" max="13" width="18.33203125" style="302" bestFit="1" customWidth="1"/>
    <col min="14" max="14" width="9.6640625" style="303" customWidth="1"/>
    <col min="15" max="15" width="1.44140625" style="298" customWidth="1"/>
    <col min="16" max="16" width="21" style="298" customWidth="1"/>
    <col min="17" max="252" width="6.88671875" style="298" customWidth="1"/>
    <col min="253" max="253" width="9.109375" style="298"/>
    <col min="254" max="254" width="24.44140625" style="298" customWidth="1"/>
    <col min="255" max="255" width="67.5546875" style="298" customWidth="1"/>
    <col min="256" max="256" width="0" style="298" hidden="1" customWidth="1"/>
    <col min="257" max="259" width="12.88671875" style="298" customWidth="1"/>
    <col min="260" max="260" width="3.88671875" style="298" customWidth="1"/>
    <col min="261" max="261" width="12.88671875" style="298" customWidth="1"/>
    <col min="262" max="508" width="6.88671875" style="298" customWidth="1"/>
    <col min="509" max="509" width="9.109375" style="298"/>
    <col min="510" max="510" width="24.44140625" style="298" customWidth="1"/>
    <col min="511" max="511" width="67.5546875" style="298" customWidth="1"/>
    <col min="512" max="512" width="0" style="298" hidden="1" customWidth="1"/>
    <col min="513" max="515" width="12.88671875" style="298" customWidth="1"/>
    <col min="516" max="516" width="3.88671875" style="298" customWidth="1"/>
    <col min="517" max="517" width="12.88671875" style="298" customWidth="1"/>
    <col min="518" max="764" width="6.88671875" style="298" customWidth="1"/>
    <col min="765" max="765" width="9.109375" style="298"/>
    <col min="766" max="766" width="24.44140625" style="298" customWidth="1"/>
    <col min="767" max="767" width="67.5546875" style="298" customWidth="1"/>
    <col min="768" max="768" width="0" style="298" hidden="1" customWidth="1"/>
    <col min="769" max="771" width="12.88671875" style="298" customWidth="1"/>
    <col min="772" max="772" width="3.88671875" style="298" customWidth="1"/>
    <col min="773" max="773" width="12.88671875" style="298" customWidth="1"/>
    <col min="774" max="1020" width="6.88671875" style="298" customWidth="1"/>
    <col min="1021" max="1021" width="9.109375" style="298"/>
    <col min="1022" max="1022" width="24.44140625" style="298" customWidth="1"/>
    <col min="1023" max="1023" width="67.5546875" style="298" customWidth="1"/>
    <col min="1024" max="1024" width="0" style="298" hidden="1" customWidth="1"/>
    <col min="1025" max="1027" width="12.88671875" style="298" customWidth="1"/>
    <col min="1028" max="1028" width="3.88671875" style="298" customWidth="1"/>
    <col min="1029" max="1029" width="12.88671875" style="298" customWidth="1"/>
    <col min="1030" max="1276" width="6.88671875" style="298" customWidth="1"/>
    <col min="1277" max="1277" width="9.109375" style="298"/>
    <col min="1278" max="1278" width="24.44140625" style="298" customWidth="1"/>
    <col min="1279" max="1279" width="67.5546875" style="298" customWidth="1"/>
    <col min="1280" max="1280" width="0" style="298" hidden="1" customWidth="1"/>
    <col min="1281" max="1283" width="12.88671875" style="298" customWidth="1"/>
    <col min="1284" max="1284" width="3.88671875" style="298" customWidth="1"/>
    <col min="1285" max="1285" width="12.88671875" style="298" customWidth="1"/>
    <col min="1286" max="1532" width="6.88671875" style="298" customWidth="1"/>
    <col min="1533" max="1533" width="9.109375" style="298"/>
    <col min="1534" max="1534" width="24.44140625" style="298" customWidth="1"/>
    <col min="1535" max="1535" width="67.5546875" style="298" customWidth="1"/>
    <col min="1536" max="1536" width="0" style="298" hidden="1" customWidth="1"/>
    <col min="1537" max="1539" width="12.88671875" style="298" customWidth="1"/>
    <col min="1540" max="1540" width="3.88671875" style="298" customWidth="1"/>
    <col min="1541" max="1541" width="12.88671875" style="298" customWidth="1"/>
    <col min="1542" max="1788" width="6.88671875" style="298" customWidth="1"/>
    <col min="1789" max="1789" width="9.109375" style="298"/>
    <col min="1790" max="1790" width="24.44140625" style="298" customWidth="1"/>
    <col min="1791" max="1791" width="67.5546875" style="298" customWidth="1"/>
    <col min="1792" max="1792" width="0" style="298" hidden="1" customWidth="1"/>
    <col min="1793" max="1795" width="12.88671875" style="298" customWidth="1"/>
    <col min="1796" max="1796" width="3.88671875" style="298" customWidth="1"/>
    <col min="1797" max="1797" width="12.88671875" style="298" customWidth="1"/>
    <col min="1798" max="2044" width="6.88671875" style="298" customWidth="1"/>
    <col min="2045" max="2045" width="9.109375" style="298"/>
    <col min="2046" max="2046" width="24.44140625" style="298" customWidth="1"/>
    <col min="2047" max="2047" width="67.5546875" style="298" customWidth="1"/>
    <col min="2048" max="2048" width="0" style="298" hidden="1" customWidth="1"/>
    <col min="2049" max="2051" width="12.88671875" style="298" customWidth="1"/>
    <col min="2052" max="2052" width="3.88671875" style="298" customWidth="1"/>
    <col min="2053" max="2053" width="12.88671875" style="298" customWidth="1"/>
    <col min="2054" max="2300" width="6.88671875" style="298" customWidth="1"/>
    <col min="2301" max="2301" width="9.109375" style="298"/>
    <col min="2302" max="2302" width="24.44140625" style="298" customWidth="1"/>
    <col min="2303" max="2303" width="67.5546875" style="298" customWidth="1"/>
    <col min="2304" max="2304" width="0" style="298" hidden="1" customWidth="1"/>
    <col min="2305" max="2307" width="12.88671875" style="298" customWidth="1"/>
    <col min="2308" max="2308" width="3.88671875" style="298" customWidth="1"/>
    <col min="2309" max="2309" width="12.88671875" style="298" customWidth="1"/>
    <col min="2310" max="2556" width="6.88671875" style="298" customWidth="1"/>
    <col min="2557" max="2557" width="9.109375" style="298"/>
    <col min="2558" max="2558" width="24.44140625" style="298" customWidth="1"/>
    <col min="2559" max="2559" width="67.5546875" style="298" customWidth="1"/>
    <col min="2560" max="2560" width="0" style="298" hidden="1" customWidth="1"/>
    <col min="2561" max="2563" width="12.88671875" style="298" customWidth="1"/>
    <col min="2564" max="2564" width="3.88671875" style="298" customWidth="1"/>
    <col min="2565" max="2565" width="12.88671875" style="298" customWidth="1"/>
    <col min="2566" max="2812" width="6.88671875" style="298" customWidth="1"/>
    <col min="2813" max="2813" width="9.109375" style="298"/>
    <col min="2814" max="2814" width="24.44140625" style="298" customWidth="1"/>
    <col min="2815" max="2815" width="67.5546875" style="298" customWidth="1"/>
    <col min="2816" max="2816" width="0" style="298" hidden="1" customWidth="1"/>
    <col min="2817" max="2819" width="12.88671875" style="298" customWidth="1"/>
    <col min="2820" max="2820" width="3.88671875" style="298" customWidth="1"/>
    <col min="2821" max="2821" width="12.88671875" style="298" customWidth="1"/>
    <col min="2822" max="3068" width="6.88671875" style="298" customWidth="1"/>
    <col min="3069" max="3069" width="9.109375" style="298"/>
    <col min="3070" max="3070" width="24.44140625" style="298" customWidth="1"/>
    <col min="3071" max="3071" width="67.5546875" style="298" customWidth="1"/>
    <col min="3072" max="3072" width="0" style="298" hidden="1" customWidth="1"/>
    <col min="3073" max="3075" width="12.88671875" style="298" customWidth="1"/>
    <col min="3076" max="3076" width="3.88671875" style="298" customWidth="1"/>
    <col min="3077" max="3077" width="12.88671875" style="298" customWidth="1"/>
    <col min="3078" max="3324" width="6.88671875" style="298" customWidth="1"/>
    <col min="3325" max="3325" width="9.109375" style="298"/>
    <col min="3326" max="3326" width="24.44140625" style="298" customWidth="1"/>
    <col min="3327" max="3327" width="67.5546875" style="298" customWidth="1"/>
    <col min="3328" max="3328" width="0" style="298" hidden="1" customWidth="1"/>
    <col min="3329" max="3331" width="12.88671875" style="298" customWidth="1"/>
    <col min="3332" max="3332" width="3.88671875" style="298" customWidth="1"/>
    <col min="3333" max="3333" width="12.88671875" style="298" customWidth="1"/>
    <col min="3334" max="3580" width="6.88671875" style="298" customWidth="1"/>
    <col min="3581" max="3581" width="9.109375" style="298"/>
    <col min="3582" max="3582" width="24.44140625" style="298" customWidth="1"/>
    <col min="3583" max="3583" width="67.5546875" style="298" customWidth="1"/>
    <col min="3584" max="3584" width="0" style="298" hidden="1" customWidth="1"/>
    <col min="3585" max="3587" width="12.88671875" style="298" customWidth="1"/>
    <col min="3588" max="3588" width="3.88671875" style="298" customWidth="1"/>
    <col min="3589" max="3589" width="12.88671875" style="298" customWidth="1"/>
    <col min="3590" max="3836" width="6.88671875" style="298" customWidth="1"/>
    <col min="3837" max="3837" width="9.109375" style="298"/>
    <col min="3838" max="3838" width="24.44140625" style="298" customWidth="1"/>
    <col min="3839" max="3839" width="67.5546875" style="298" customWidth="1"/>
    <col min="3840" max="3840" width="0" style="298" hidden="1" customWidth="1"/>
    <col min="3841" max="3843" width="12.88671875" style="298" customWidth="1"/>
    <col min="3844" max="3844" width="3.88671875" style="298" customWidth="1"/>
    <col min="3845" max="3845" width="12.88671875" style="298" customWidth="1"/>
    <col min="3846" max="4092" width="6.88671875" style="298" customWidth="1"/>
    <col min="4093" max="4093" width="9.109375" style="298"/>
    <col min="4094" max="4094" width="24.44140625" style="298" customWidth="1"/>
    <col min="4095" max="4095" width="67.5546875" style="298" customWidth="1"/>
    <col min="4096" max="4096" width="0" style="298" hidden="1" customWidth="1"/>
    <col min="4097" max="4099" width="12.88671875" style="298" customWidth="1"/>
    <col min="4100" max="4100" width="3.88671875" style="298" customWidth="1"/>
    <col min="4101" max="4101" width="12.88671875" style="298" customWidth="1"/>
    <col min="4102" max="4348" width="6.88671875" style="298" customWidth="1"/>
    <col min="4349" max="4349" width="9.109375" style="298"/>
    <col min="4350" max="4350" width="24.44140625" style="298" customWidth="1"/>
    <col min="4351" max="4351" width="67.5546875" style="298" customWidth="1"/>
    <col min="4352" max="4352" width="0" style="298" hidden="1" customWidth="1"/>
    <col min="4353" max="4355" width="12.88671875" style="298" customWidth="1"/>
    <col min="4356" max="4356" width="3.88671875" style="298" customWidth="1"/>
    <col min="4357" max="4357" width="12.88671875" style="298" customWidth="1"/>
    <col min="4358" max="4604" width="6.88671875" style="298" customWidth="1"/>
    <col min="4605" max="4605" width="9.109375" style="298"/>
    <col min="4606" max="4606" width="24.44140625" style="298" customWidth="1"/>
    <col min="4607" max="4607" width="67.5546875" style="298" customWidth="1"/>
    <col min="4608" max="4608" width="0" style="298" hidden="1" customWidth="1"/>
    <col min="4609" max="4611" width="12.88671875" style="298" customWidth="1"/>
    <col min="4612" max="4612" width="3.88671875" style="298" customWidth="1"/>
    <col min="4613" max="4613" width="12.88671875" style="298" customWidth="1"/>
    <col min="4614" max="4860" width="6.88671875" style="298" customWidth="1"/>
    <col min="4861" max="4861" width="9.109375" style="298"/>
    <col min="4862" max="4862" width="24.44140625" style="298" customWidth="1"/>
    <col min="4863" max="4863" width="67.5546875" style="298" customWidth="1"/>
    <col min="4864" max="4864" width="0" style="298" hidden="1" customWidth="1"/>
    <col min="4865" max="4867" width="12.88671875" style="298" customWidth="1"/>
    <col min="4868" max="4868" width="3.88671875" style="298" customWidth="1"/>
    <col min="4869" max="4869" width="12.88671875" style="298" customWidth="1"/>
    <col min="4870" max="5116" width="6.88671875" style="298" customWidth="1"/>
    <col min="5117" max="5117" width="9.109375" style="298"/>
    <col min="5118" max="5118" width="24.44140625" style="298" customWidth="1"/>
    <col min="5119" max="5119" width="67.5546875" style="298" customWidth="1"/>
    <col min="5120" max="5120" width="0" style="298" hidden="1" customWidth="1"/>
    <col min="5121" max="5123" width="12.88671875" style="298" customWidth="1"/>
    <col min="5124" max="5124" width="3.88671875" style="298" customWidth="1"/>
    <col min="5125" max="5125" width="12.88671875" style="298" customWidth="1"/>
    <col min="5126" max="5372" width="6.88671875" style="298" customWidth="1"/>
    <col min="5373" max="5373" width="9.109375" style="298"/>
    <col min="5374" max="5374" width="24.44140625" style="298" customWidth="1"/>
    <col min="5375" max="5375" width="67.5546875" style="298" customWidth="1"/>
    <col min="5376" max="5376" width="0" style="298" hidden="1" customWidth="1"/>
    <col min="5377" max="5379" width="12.88671875" style="298" customWidth="1"/>
    <col min="5380" max="5380" width="3.88671875" style="298" customWidth="1"/>
    <col min="5381" max="5381" width="12.88671875" style="298" customWidth="1"/>
    <col min="5382" max="5628" width="6.88671875" style="298" customWidth="1"/>
    <col min="5629" max="5629" width="9.109375" style="298"/>
    <col min="5630" max="5630" width="24.44140625" style="298" customWidth="1"/>
    <col min="5631" max="5631" width="67.5546875" style="298" customWidth="1"/>
    <col min="5632" max="5632" width="0" style="298" hidden="1" customWidth="1"/>
    <col min="5633" max="5635" width="12.88671875" style="298" customWidth="1"/>
    <col min="5636" max="5636" width="3.88671875" style="298" customWidth="1"/>
    <col min="5637" max="5637" width="12.88671875" style="298" customWidth="1"/>
    <col min="5638" max="5884" width="6.88671875" style="298" customWidth="1"/>
    <col min="5885" max="5885" width="9.109375" style="298"/>
    <col min="5886" max="5886" width="24.44140625" style="298" customWidth="1"/>
    <col min="5887" max="5887" width="67.5546875" style="298" customWidth="1"/>
    <col min="5888" max="5888" width="0" style="298" hidden="1" customWidth="1"/>
    <col min="5889" max="5891" width="12.88671875" style="298" customWidth="1"/>
    <col min="5892" max="5892" width="3.88671875" style="298" customWidth="1"/>
    <col min="5893" max="5893" width="12.88671875" style="298" customWidth="1"/>
    <col min="5894" max="6140" width="6.88671875" style="298" customWidth="1"/>
    <col min="6141" max="6141" width="9.109375" style="298"/>
    <col min="6142" max="6142" width="24.44140625" style="298" customWidth="1"/>
    <col min="6143" max="6143" width="67.5546875" style="298" customWidth="1"/>
    <col min="6144" max="6144" width="0" style="298" hidden="1" customWidth="1"/>
    <col min="6145" max="6147" width="12.88671875" style="298" customWidth="1"/>
    <col min="6148" max="6148" width="3.88671875" style="298" customWidth="1"/>
    <col min="6149" max="6149" width="12.88671875" style="298" customWidth="1"/>
    <col min="6150" max="6396" width="6.88671875" style="298" customWidth="1"/>
    <col min="6397" max="6397" width="9.109375" style="298"/>
    <col min="6398" max="6398" width="24.44140625" style="298" customWidth="1"/>
    <col min="6399" max="6399" width="67.5546875" style="298" customWidth="1"/>
    <col min="6400" max="6400" width="0" style="298" hidden="1" customWidth="1"/>
    <col min="6401" max="6403" width="12.88671875" style="298" customWidth="1"/>
    <col min="6404" max="6404" width="3.88671875" style="298" customWidth="1"/>
    <col min="6405" max="6405" width="12.88671875" style="298" customWidth="1"/>
    <col min="6406" max="6652" width="6.88671875" style="298" customWidth="1"/>
    <col min="6653" max="6653" width="9.109375" style="298"/>
    <col min="6654" max="6654" width="24.44140625" style="298" customWidth="1"/>
    <col min="6655" max="6655" width="67.5546875" style="298" customWidth="1"/>
    <col min="6656" max="6656" width="0" style="298" hidden="1" customWidth="1"/>
    <col min="6657" max="6659" width="12.88671875" style="298" customWidth="1"/>
    <col min="6660" max="6660" width="3.88671875" style="298" customWidth="1"/>
    <col min="6661" max="6661" width="12.88671875" style="298" customWidth="1"/>
    <col min="6662" max="6908" width="6.88671875" style="298" customWidth="1"/>
    <col min="6909" max="6909" width="9.109375" style="298"/>
    <col min="6910" max="6910" width="24.44140625" style="298" customWidth="1"/>
    <col min="6911" max="6911" width="67.5546875" style="298" customWidth="1"/>
    <col min="6912" max="6912" width="0" style="298" hidden="1" customWidth="1"/>
    <col min="6913" max="6915" width="12.88671875" style="298" customWidth="1"/>
    <col min="6916" max="6916" width="3.88671875" style="298" customWidth="1"/>
    <col min="6917" max="6917" width="12.88671875" style="298" customWidth="1"/>
    <col min="6918" max="7164" width="6.88671875" style="298" customWidth="1"/>
    <col min="7165" max="7165" width="9.109375" style="298"/>
    <col min="7166" max="7166" width="24.44140625" style="298" customWidth="1"/>
    <col min="7167" max="7167" width="67.5546875" style="298" customWidth="1"/>
    <col min="7168" max="7168" width="0" style="298" hidden="1" customWidth="1"/>
    <col min="7169" max="7171" width="12.88671875" style="298" customWidth="1"/>
    <col min="7172" max="7172" width="3.88671875" style="298" customWidth="1"/>
    <col min="7173" max="7173" width="12.88671875" style="298" customWidth="1"/>
    <col min="7174" max="7420" width="6.88671875" style="298" customWidth="1"/>
    <col min="7421" max="7421" width="9.109375" style="298"/>
    <col min="7422" max="7422" width="24.44140625" style="298" customWidth="1"/>
    <col min="7423" max="7423" width="67.5546875" style="298" customWidth="1"/>
    <col min="7424" max="7424" width="0" style="298" hidden="1" customWidth="1"/>
    <col min="7425" max="7427" width="12.88671875" style="298" customWidth="1"/>
    <col min="7428" max="7428" width="3.88671875" style="298" customWidth="1"/>
    <col min="7429" max="7429" width="12.88671875" style="298" customWidth="1"/>
    <col min="7430" max="7676" width="6.88671875" style="298" customWidth="1"/>
    <col min="7677" max="7677" width="9.109375" style="298"/>
    <col min="7678" max="7678" width="24.44140625" style="298" customWidth="1"/>
    <col min="7679" max="7679" width="67.5546875" style="298" customWidth="1"/>
    <col min="7680" max="7680" width="0" style="298" hidden="1" customWidth="1"/>
    <col min="7681" max="7683" width="12.88671875" style="298" customWidth="1"/>
    <col min="7684" max="7684" width="3.88671875" style="298" customWidth="1"/>
    <col min="7685" max="7685" width="12.88671875" style="298" customWidth="1"/>
    <col min="7686" max="7932" width="6.88671875" style="298" customWidth="1"/>
    <col min="7933" max="7933" width="9.109375" style="298"/>
    <col min="7934" max="7934" width="24.44140625" style="298" customWidth="1"/>
    <col min="7935" max="7935" width="67.5546875" style="298" customWidth="1"/>
    <col min="7936" max="7936" width="0" style="298" hidden="1" customWidth="1"/>
    <col min="7937" max="7939" width="12.88671875" style="298" customWidth="1"/>
    <col min="7940" max="7940" width="3.88671875" style="298" customWidth="1"/>
    <col min="7941" max="7941" width="12.88671875" style="298" customWidth="1"/>
    <col min="7942" max="8188" width="6.88671875" style="298" customWidth="1"/>
    <col min="8189" max="8189" width="9.109375" style="298"/>
    <col min="8190" max="8190" width="24.44140625" style="298" customWidth="1"/>
    <col min="8191" max="8191" width="67.5546875" style="298" customWidth="1"/>
    <col min="8192" max="8192" width="0" style="298" hidden="1" customWidth="1"/>
    <col min="8193" max="8195" width="12.88671875" style="298" customWidth="1"/>
    <col min="8196" max="8196" width="3.88671875" style="298" customWidth="1"/>
    <col min="8197" max="8197" width="12.88671875" style="298" customWidth="1"/>
    <col min="8198" max="8444" width="6.88671875" style="298" customWidth="1"/>
    <col min="8445" max="8445" width="9.109375" style="298"/>
    <col min="8446" max="8446" width="24.44140625" style="298" customWidth="1"/>
    <col min="8447" max="8447" width="67.5546875" style="298" customWidth="1"/>
    <col min="8448" max="8448" width="0" style="298" hidden="1" customWidth="1"/>
    <col min="8449" max="8451" width="12.88671875" style="298" customWidth="1"/>
    <col min="8452" max="8452" width="3.88671875" style="298" customWidth="1"/>
    <col min="8453" max="8453" width="12.88671875" style="298" customWidth="1"/>
    <col min="8454" max="8700" width="6.88671875" style="298" customWidth="1"/>
    <col min="8701" max="8701" width="9.109375" style="298"/>
    <col min="8702" max="8702" width="24.44140625" style="298" customWidth="1"/>
    <col min="8703" max="8703" width="67.5546875" style="298" customWidth="1"/>
    <col min="8704" max="8704" width="0" style="298" hidden="1" customWidth="1"/>
    <col min="8705" max="8707" width="12.88671875" style="298" customWidth="1"/>
    <col min="8708" max="8708" width="3.88671875" style="298" customWidth="1"/>
    <col min="8709" max="8709" width="12.88671875" style="298" customWidth="1"/>
    <col min="8710" max="8956" width="6.88671875" style="298" customWidth="1"/>
    <col min="8957" max="8957" width="9.109375" style="298"/>
    <col min="8958" max="8958" width="24.44140625" style="298" customWidth="1"/>
    <col min="8959" max="8959" width="67.5546875" style="298" customWidth="1"/>
    <col min="8960" max="8960" width="0" style="298" hidden="1" customWidth="1"/>
    <col min="8961" max="8963" width="12.88671875" style="298" customWidth="1"/>
    <col min="8964" max="8964" width="3.88671875" style="298" customWidth="1"/>
    <col min="8965" max="8965" width="12.88671875" style="298" customWidth="1"/>
    <col min="8966" max="9212" width="6.88671875" style="298" customWidth="1"/>
    <col min="9213" max="9213" width="9.109375" style="298"/>
    <col min="9214" max="9214" width="24.44140625" style="298" customWidth="1"/>
    <col min="9215" max="9215" width="67.5546875" style="298" customWidth="1"/>
    <col min="9216" max="9216" width="0" style="298" hidden="1" customWidth="1"/>
    <col min="9217" max="9219" width="12.88671875" style="298" customWidth="1"/>
    <col min="9220" max="9220" width="3.88671875" style="298" customWidth="1"/>
    <col min="9221" max="9221" width="12.88671875" style="298" customWidth="1"/>
    <col min="9222" max="9468" width="6.88671875" style="298" customWidth="1"/>
    <col min="9469" max="9469" width="9.109375" style="298"/>
    <col min="9470" max="9470" width="24.44140625" style="298" customWidth="1"/>
    <col min="9471" max="9471" width="67.5546875" style="298" customWidth="1"/>
    <col min="9472" max="9472" width="0" style="298" hidden="1" customWidth="1"/>
    <col min="9473" max="9475" width="12.88671875" style="298" customWidth="1"/>
    <col min="9476" max="9476" width="3.88671875" style="298" customWidth="1"/>
    <col min="9477" max="9477" width="12.88671875" style="298" customWidth="1"/>
    <col min="9478" max="9724" width="6.88671875" style="298" customWidth="1"/>
    <col min="9725" max="9725" width="9.109375" style="298"/>
    <col min="9726" max="9726" width="24.44140625" style="298" customWidth="1"/>
    <col min="9727" max="9727" width="67.5546875" style="298" customWidth="1"/>
    <col min="9728" max="9728" width="0" style="298" hidden="1" customWidth="1"/>
    <col min="9729" max="9731" width="12.88671875" style="298" customWidth="1"/>
    <col min="9732" max="9732" width="3.88671875" style="298" customWidth="1"/>
    <col min="9733" max="9733" width="12.88671875" style="298" customWidth="1"/>
    <col min="9734" max="9980" width="6.88671875" style="298" customWidth="1"/>
    <col min="9981" max="9981" width="9.109375" style="298"/>
    <col min="9982" max="9982" width="24.44140625" style="298" customWidth="1"/>
    <col min="9983" max="9983" width="67.5546875" style="298" customWidth="1"/>
    <col min="9984" max="9984" width="0" style="298" hidden="1" customWidth="1"/>
    <col min="9985" max="9987" width="12.88671875" style="298" customWidth="1"/>
    <col min="9988" max="9988" width="3.88671875" style="298" customWidth="1"/>
    <col min="9989" max="9989" width="12.88671875" style="298" customWidth="1"/>
    <col min="9990" max="10236" width="6.88671875" style="298" customWidth="1"/>
    <col min="10237" max="10237" width="9.109375" style="298"/>
    <col min="10238" max="10238" width="24.44140625" style="298" customWidth="1"/>
    <col min="10239" max="10239" width="67.5546875" style="298" customWidth="1"/>
    <col min="10240" max="10240" width="0" style="298" hidden="1" customWidth="1"/>
    <col min="10241" max="10243" width="12.88671875" style="298" customWidth="1"/>
    <col min="10244" max="10244" width="3.88671875" style="298" customWidth="1"/>
    <col min="10245" max="10245" width="12.88671875" style="298" customWidth="1"/>
    <col min="10246" max="10492" width="6.88671875" style="298" customWidth="1"/>
    <col min="10493" max="10493" width="9.109375" style="298"/>
    <col min="10494" max="10494" width="24.44140625" style="298" customWidth="1"/>
    <col min="10495" max="10495" width="67.5546875" style="298" customWidth="1"/>
    <col min="10496" max="10496" width="0" style="298" hidden="1" customWidth="1"/>
    <col min="10497" max="10499" width="12.88671875" style="298" customWidth="1"/>
    <col min="10500" max="10500" width="3.88671875" style="298" customWidth="1"/>
    <col min="10501" max="10501" width="12.88671875" style="298" customWidth="1"/>
    <col min="10502" max="10748" width="6.88671875" style="298" customWidth="1"/>
    <col min="10749" max="10749" width="9.109375" style="298"/>
    <col min="10750" max="10750" width="24.44140625" style="298" customWidth="1"/>
    <col min="10751" max="10751" width="67.5546875" style="298" customWidth="1"/>
    <col min="10752" max="10752" width="0" style="298" hidden="1" customWidth="1"/>
    <col min="10753" max="10755" width="12.88671875" style="298" customWidth="1"/>
    <col min="10756" max="10756" width="3.88671875" style="298" customWidth="1"/>
    <col min="10757" max="10757" width="12.88671875" style="298" customWidth="1"/>
    <col min="10758" max="11004" width="6.88671875" style="298" customWidth="1"/>
    <col min="11005" max="11005" width="9.109375" style="298"/>
    <col min="11006" max="11006" width="24.44140625" style="298" customWidth="1"/>
    <col min="11007" max="11007" width="67.5546875" style="298" customWidth="1"/>
    <col min="11008" max="11008" width="0" style="298" hidden="1" customWidth="1"/>
    <col min="11009" max="11011" width="12.88671875" style="298" customWidth="1"/>
    <col min="11012" max="11012" width="3.88671875" style="298" customWidth="1"/>
    <col min="11013" max="11013" width="12.88671875" style="298" customWidth="1"/>
    <col min="11014" max="11260" width="6.88671875" style="298" customWidth="1"/>
    <col min="11261" max="11261" width="9.109375" style="298"/>
    <col min="11262" max="11262" width="24.44140625" style="298" customWidth="1"/>
    <col min="11263" max="11263" width="67.5546875" style="298" customWidth="1"/>
    <col min="11264" max="11264" width="0" style="298" hidden="1" customWidth="1"/>
    <col min="11265" max="11267" width="12.88671875" style="298" customWidth="1"/>
    <col min="11268" max="11268" width="3.88671875" style="298" customWidth="1"/>
    <col min="11269" max="11269" width="12.88671875" style="298" customWidth="1"/>
    <col min="11270" max="11516" width="6.88671875" style="298" customWidth="1"/>
    <col min="11517" max="11517" width="9.109375" style="298"/>
    <col min="11518" max="11518" width="24.44140625" style="298" customWidth="1"/>
    <col min="11519" max="11519" width="67.5546875" style="298" customWidth="1"/>
    <col min="11520" max="11520" width="0" style="298" hidden="1" customWidth="1"/>
    <col min="11521" max="11523" width="12.88671875" style="298" customWidth="1"/>
    <col min="11524" max="11524" width="3.88671875" style="298" customWidth="1"/>
    <col min="11525" max="11525" width="12.88671875" style="298" customWidth="1"/>
    <col min="11526" max="11772" width="6.88671875" style="298" customWidth="1"/>
    <col min="11773" max="11773" width="9.109375" style="298"/>
    <col min="11774" max="11774" width="24.44140625" style="298" customWidth="1"/>
    <col min="11775" max="11775" width="67.5546875" style="298" customWidth="1"/>
    <col min="11776" max="11776" width="0" style="298" hidden="1" customWidth="1"/>
    <col min="11777" max="11779" width="12.88671875" style="298" customWidth="1"/>
    <col min="11780" max="11780" width="3.88671875" style="298" customWidth="1"/>
    <col min="11781" max="11781" width="12.88671875" style="298" customWidth="1"/>
    <col min="11782" max="12028" width="6.88671875" style="298" customWidth="1"/>
    <col min="12029" max="12029" width="9.109375" style="298"/>
    <col min="12030" max="12030" width="24.44140625" style="298" customWidth="1"/>
    <col min="12031" max="12031" width="67.5546875" style="298" customWidth="1"/>
    <col min="12032" max="12032" width="0" style="298" hidden="1" customWidth="1"/>
    <col min="12033" max="12035" width="12.88671875" style="298" customWidth="1"/>
    <col min="12036" max="12036" width="3.88671875" style="298" customWidth="1"/>
    <col min="12037" max="12037" width="12.88671875" style="298" customWidth="1"/>
    <col min="12038" max="12284" width="6.88671875" style="298" customWidth="1"/>
    <col min="12285" max="12285" width="9.109375" style="298"/>
    <col min="12286" max="12286" width="24.44140625" style="298" customWidth="1"/>
    <col min="12287" max="12287" width="67.5546875" style="298" customWidth="1"/>
    <col min="12288" max="12288" width="0" style="298" hidden="1" customWidth="1"/>
    <col min="12289" max="12291" width="12.88671875" style="298" customWidth="1"/>
    <col min="12292" max="12292" width="3.88671875" style="298" customWidth="1"/>
    <col min="12293" max="12293" width="12.88671875" style="298" customWidth="1"/>
    <col min="12294" max="12540" width="6.88671875" style="298" customWidth="1"/>
    <col min="12541" max="12541" width="9.109375" style="298"/>
    <col min="12542" max="12542" width="24.44140625" style="298" customWidth="1"/>
    <col min="12543" max="12543" width="67.5546875" style="298" customWidth="1"/>
    <col min="12544" max="12544" width="0" style="298" hidden="1" customWidth="1"/>
    <col min="12545" max="12547" width="12.88671875" style="298" customWidth="1"/>
    <col min="12548" max="12548" width="3.88671875" style="298" customWidth="1"/>
    <col min="12549" max="12549" width="12.88671875" style="298" customWidth="1"/>
    <col min="12550" max="12796" width="6.88671875" style="298" customWidth="1"/>
    <col min="12797" max="12797" width="9.109375" style="298"/>
    <col min="12798" max="12798" width="24.44140625" style="298" customWidth="1"/>
    <col min="12799" max="12799" width="67.5546875" style="298" customWidth="1"/>
    <col min="12800" max="12800" width="0" style="298" hidden="1" customWidth="1"/>
    <col min="12801" max="12803" width="12.88671875" style="298" customWidth="1"/>
    <col min="12804" max="12804" width="3.88671875" style="298" customWidth="1"/>
    <col min="12805" max="12805" width="12.88671875" style="298" customWidth="1"/>
    <col min="12806" max="13052" width="6.88671875" style="298" customWidth="1"/>
    <col min="13053" max="13053" width="9.109375" style="298"/>
    <col min="13054" max="13054" width="24.44140625" style="298" customWidth="1"/>
    <col min="13055" max="13055" width="67.5546875" style="298" customWidth="1"/>
    <col min="13056" max="13056" width="0" style="298" hidden="1" customWidth="1"/>
    <col min="13057" max="13059" width="12.88671875" style="298" customWidth="1"/>
    <col min="13060" max="13060" width="3.88671875" style="298" customWidth="1"/>
    <col min="13061" max="13061" width="12.88671875" style="298" customWidth="1"/>
    <col min="13062" max="13308" width="6.88671875" style="298" customWidth="1"/>
    <col min="13309" max="13309" width="9.109375" style="298"/>
    <col min="13310" max="13310" width="24.44140625" style="298" customWidth="1"/>
    <col min="13311" max="13311" width="67.5546875" style="298" customWidth="1"/>
    <col min="13312" max="13312" width="0" style="298" hidden="1" customWidth="1"/>
    <col min="13313" max="13315" width="12.88671875" style="298" customWidth="1"/>
    <col min="13316" max="13316" width="3.88671875" style="298" customWidth="1"/>
    <col min="13317" max="13317" width="12.88671875" style="298" customWidth="1"/>
    <col min="13318" max="13564" width="6.88671875" style="298" customWidth="1"/>
    <col min="13565" max="13565" width="9.109375" style="298"/>
    <col min="13566" max="13566" width="24.44140625" style="298" customWidth="1"/>
    <col min="13567" max="13567" width="67.5546875" style="298" customWidth="1"/>
    <col min="13568" max="13568" width="0" style="298" hidden="1" customWidth="1"/>
    <col min="13569" max="13571" width="12.88671875" style="298" customWidth="1"/>
    <col min="13572" max="13572" width="3.88671875" style="298" customWidth="1"/>
    <col min="13573" max="13573" width="12.88671875" style="298" customWidth="1"/>
    <col min="13574" max="13820" width="6.88671875" style="298" customWidth="1"/>
    <col min="13821" max="13821" width="9.109375" style="298"/>
    <col min="13822" max="13822" width="24.44140625" style="298" customWidth="1"/>
    <col min="13823" max="13823" width="67.5546875" style="298" customWidth="1"/>
    <col min="13824" max="13824" width="0" style="298" hidden="1" customWidth="1"/>
    <col min="13825" max="13827" width="12.88671875" style="298" customWidth="1"/>
    <col min="13828" max="13828" width="3.88671875" style="298" customWidth="1"/>
    <col min="13829" max="13829" width="12.88671875" style="298" customWidth="1"/>
    <col min="13830" max="14076" width="6.88671875" style="298" customWidth="1"/>
    <col min="14077" max="14077" width="9.109375" style="298"/>
    <col min="14078" max="14078" width="24.44140625" style="298" customWidth="1"/>
    <col min="14079" max="14079" width="67.5546875" style="298" customWidth="1"/>
    <col min="14080" max="14080" width="0" style="298" hidden="1" customWidth="1"/>
    <col min="14081" max="14083" width="12.88671875" style="298" customWidth="1"/>
    <col min="14084" max="14084" width="3.88671875" style="298" customWidth="1"/>
    <col min="14085" max="14085" width="12.88671875" style="298" customWidth="1"/>
    <col min="14086" max="14332" width="6.88671875" style="298" customWidth="1"/>
    <col min="14333" max="14333" width="9.109375" style="298"/>
    <col min="14334" max="14334" width="24.44140625" style="298" customWidth="1"/>
    <col min="14335" max="14335" width="67.5546875" style="298" customWidth="1"/>
    <col min="14336" max="14336" width="0" style="298" hidden="1" customWidth="1"/>
    <col min="14337" max="14339" width="12.88671875" style="298" customWidth="1"/>
    <col min="14340" max="14340" width="3.88671875" style="298" customWidth="1"/>
    <col min="14341" max="14341" width="12.88671875" style="298" customWidth="1"/>
    <col min="14342" max="14588" width="6.88671875" style="298" customWidth="1"/>
    <col min="14589" max="14589" width="9.109375" style="298"/>
    <col min="14590" max="14590" width="24.44140625" style="298" customWidth="1"/>
    <col min="14591" max="14591" width="67.5546875" style="298" customWidth="1"/>
    <col min="14592" max="14592" width="0" style="298" hidden="1" customWidth="1"/>
    <col min="14593" max="14595" width="12.88671875" style="298" customWidth="1"/>
    <col min="14596" max="14596" width="3.88671875" style="298" customWidth="1"/>
    <col min="14597" max="14597" width="12.88671875" style="298" customWidth="1"/>
    <col min="14598" max="14844" width="6.88671875" style="298" customWidth="1"/>
    <col min="14845" max="14845" width="9.109375" style="298"/>
    <col min="14846" max="14846" width="24.44140625" style="298" customWidth="1"/>
    <col min="14847" max="14847" width="67.5546875" style="298" customWidth="1"/>
    <col min="14848" max="14848" width="0" style="298" hidden="1" customWidth="1"/>
    <col min="14849" max="14851" width="12.88671875" style="298" customWidth="1"/>
    <col min="14852" max="14852" width="3.88671875" style="298" customWidth="1"/>
    <col min="14853" max="14853" width="12.88671875" style="298" customWidth="1"/>
    <col min="14854" max="15100" width="6.88671875" style="298" customWidth="1"/>
    <col min="15101" max="15101" width="9.109375" style="298"/>
    <col min="15102" max="15102" width="24.44140625" style="298" customWidth="1"/>
    <col min="15103" max="15103" width="67.5546875" style="298" customWidth="1"/>
    <col min="15104" max="15104" width="0" style="298" hidden="1" customWidth="1"/>
    <col min="15105" max="15107" width="12.88671875" style="298" customWidth="1"/>
    <col min="15108" max="15108" width="3.88671875" style="298" customWidth="1"/>
    <col min="15109" max="15109" width="12.88671875" style="298" customWidth="1"/>
    <col min="15110" max="15356" width="6.88671875" style="298" customWidth="1"/>
    <col min="15357" max="15357" width="9.109375" style="298"/>
    <col min="15358" max="15358" width="24.44140625" style="298" customWidth="1"/>
    <col min="15359" max="15359" width="67.5546875" style="298" customWidth="1"/>
    <col min="15360" max="15360" width="0" style="298" hidden="1" customWidth="1"/>
    <col min="15361" max="15363" width="12.88671875" style="298" customWidth="1"/>
    <col min="15364" max="15364" width="3.88671875" style="298" customWidth="1"/>
    <col min="15365" max="15365" width="12.88671875" style="298" customWidth="1"/>
    <col min="15366" max="15612" width="6.88671875" style="298" customWidth="1"/>
    <col min="15613" max="15613" width="9.109375" style="298"/>
    <col min="15614" max="15614" width="24.44140625" style="298" customWidth="1"/>
    <col min="15615" max="15615" width="67.5546875" style="298" customWidth="1"/>
    <col min="15616" max="15616" width="0" style="298" hidden="1" customWidth="1"/>
    <col min="15617" max="15619" width="12.88671875" style="298" customWidth="1"/>
    <col min="15620" max="15620" width="3.88671875" style="298" customWidth="1"/>
    <col min="15621" max="15621" width="12.88671875" style="298" customWidth="1"/>
    <col min="15622" max="15868" width="6.88671875" style="298" customWidth="1"/>
    <col min="15869" max="15869" width="9.109375" style="298"/>
    <col min="15870" max="15870" width="24.44140625" style="298" customWidth="1"/>
    <col min="15871" max="15871" width="67.5546875" style="298" customWidth="1"/>
    <col min="15872" max="15872" width="0" style="298" hidden="1" customWidth="1"/>
    <col min="15873" max="15875" width="12.88671875" style="298" customWidth="1"/>
    <col min="15876" max="15876" width="3.88671875" style="298" customWidth="1"/>
    <col min="15877" max="15877" width="12.88671875" style="298" customWidth="1"/>
    <col min="15878" max="16124" width="6.88671875" style="298" customWidth="1"/>
    <col min="16125" max="16125" width="9.109375" style="298"/>
    <col min="16126" max="16126" width="24.44140625" style="298" customWidth="1"/>
    <col min="16127" max="16127" width="67.5546875" style="298" customWidth="1"/>
    <col min="16128" max="16128" width="0" style="298" hidden="1" customWidth="1"/>
    <col min="16129" max="16131" width="12.88671875" style="298" customWidth="1"/>
    <col min="16132" max="16132" width="3.88671875" style="298" customWidth="1"/>
    <col min="16133" max="16133" width="12.88671875" style="298" customWidth="1"/>
    <col min="16134" max="16384" width="6.88671875" style="298" customWidth="1"/>
  </cols>
  <sheetData>
    <row r="3" spans="3:17" s="286" customFormat="1" ht="15" customHeight="1" x14ac:dyDescent="0.35">
      <c r="D3" s="287"/>
      <c r="E3" s="418"/>
      <c r="F3" s="418"/>
      <c r="G3" s="418"/>
      <c r="H3" s="418"/>
      <c r="I3" s="288"/>
      <c r="J3" s="289"/>
      <c r="K3" s="289"/>
      <c r="L3" s="289"/>
      <c r="M3" s="290"/>
      <c r="N3" s="291"/>
      <c r="P3" s="298"/>
      <c r="Q3" s="298"/>
    </row>
    <row r="4" spans="3:17" s="286" customFormat="1" ht="15" customHeight="1" x14ac:dyDescent="0.35">
      <c r="D4" s="287"/>
      <c r="E4" s="418"/>
      <c r="F4" s="418"/>
      <c r="G4" s="418"/>
      <c r="H4" s="418"/>
      <c r="I4" s="288"/>
      <c r="J4" s="292"/>
      <c r="K4" s="292"/>
      <c r="L4" s="292"/>
      <c r="M4" s="293"/>
      <c r="N4" s="291"/>
      <c r="P4" s="298"/>
      <c r="Q4" s="298"/>
    </row>
    <row r="5" spans="3:17" s="286" customFormat="1" ht="15" customHeight="1" x14ac:dyDescent="0.35">
      <c r="D5" s="287"/>
      <c r="E5" s="418"/>
      <c r="F5" s="418"/>
      <c r="G5" s="418"/>
      <c r="H5" s="418"/>
      <c r="I5" s="288"/>
      <c r="J5" s="292"/>
      <c r="K5" s="292"/>
      <c r="L5" s="292"/>
      <c r="M5" s="293"/>
      <c r="N5" s="291"/>
      <c r="P5" s="298"/>
      <c r="Q5" s="298"/>
    </row>
    <row r="6" spans="3:17" s="286" customFormat="1" ht="15" customHeight="1" x14ac:dyDescent="0.35">
      <c r="D6" s="287"/>
      <c r="E6" s="418"/>
      <c r="F6" s="418"/>
      <c r="G6" s="418"/>
      <c r="H6" s="418"/>
      <c r="I6" s="288"/>
      <c r="J6" s="292"/>
      <c r="K6" s="292"/>
      <c r="L6" s="292"/>
      <c r="M6" s="293"/>
      <c r="N6" s="291"/>
      <c r="P6" s="298"/>
      <c r="Q6" s="298"/>
    </row>
    <row r="7" spans="3:17" s="286" customFormat="1" ht="15" customHeight="1" x14ac:dyDescent="0.35">
      <c r="C7" s="294" t="s">
        <v>4310</v>
      </c>
      <c r="D7" s="295"/>
      <c r="E7" s="419"/>
      <c r="F7" s="419"/>
      <c r="G7" s="419"/>
      <c r="H7" s="419"/>
      <c r="I7" s="288"/>
      <c r="J7" s="292"/>
      <c r="K7" s="292"/>
      <c r="L7" s="292"/>
      <c r="M7" s="293"/>
      <c r="N7" s="291"/>
      <c r="P7" s="298"/>
      <c r="Q7" s="298"/>
    </row>
    <row r="8" spans="3:17" s="286" customFormat="1" ht="15" customHeight="1" x14ac:dyDescent="0.35">
      <c r="C8" s="296" t="s">
        <v>4311</v>
      </c>
      <c r="D8" s="295"/>
      <c r="E8" s="419"/>
      <c r="F8" s="419"/>
      <c r="G8" s="419"/>
      <c r="H8" s="419"/>
      <c r="I8" s="288"/>
      <c r="J8" s="292"/>
      <c r="K8" s="292"/>
      <c r="L8" s="297">
        <v>45400</v>
      </c>
      <c r="M8" s="293"/>
      <c r="N8" s="291"/>
      <c r="P8" s="298"/>
      <c r="Q8" s="298"/>
    </row>
    <row r="10" spans="3:17" ht="21" customHeight="1" x14ac:dyDescent="0.3">
      <c r="I10" s="301">
        <v>2022</v>
      </c>
      <c r="K10" s="301"/>
      <c r="L10" s="301">
        <v>2023</v>
      </c>
    </row>
    <row r="11" spans="3:17" s="309" customFormat="1" ht="15" customHeight="1" x14ac:dyDescent="0.3">
      <c r="C11" s="304" t="s">
        <v>2</v>
      </c>
      <c r="D11" s="305" t="s">
        <v>3</v>
      </c>
      <c r="E11" s="306" t="s">
        <v>6</v>
      </c>
      <c r="F11" s="307" t="s">
        <v>7</v>
      </c>
      <c r="G11" s="308" t="s">
        <v>8</v>
      </c>
      <c r="H11" s="308" t="s">
        <v>2118</v>
      </c>
      <c r="I11" s="306" t="s">
        <v>6</v>
      </c>
      <c r="J11" s="307" t="s">
        <v>7</v>
      </c>
      <c r="K11" s="308" t="s">
        <v>8</v>
      </c>
      <c r="L11" s="308" t="s">
        <v>2118</v>
      </c>
      <c r="M11" s="302" t="s">
        <v>2406</v>
      </c>
      <c r="N11" s="301" t="s">
        <v>3694</v>
      </c>
      <c r="P11" s="286"/>
      <c r="Q11" s="286"/>
    </row>
    <row r="12" spans="3:17" ht="15" customHeight="1" x14ac:dyDescent="0.3">
      <c r="C12" s="310">
        <v>1</v>
      </c>
      <c r="D12" s="311" t="s">
        <v>11</v>
      </c>
      <c r="E12" s="421">
        <v>58488220.68</v>
      </c>
      <c r="F12" s="421">
        <v>80119025.709999993</v>
      </c>
      <c r="G12" s="421">
        <v>82900129.840000004</v>
      </c>
      <c r="H12" s="421">
        <v>55707116.549999997</v>
      </c>
      <c r="I12" s="312">
        <v>58488220.68</v>
      </c>
      <c r="J12" s="313">
        <v>80119025.709999993</v>
      </c>
      <c r="K12" s="313">
        <v>82900129.840000004</v>
      </c>
      <c r="L12" s="313">
        <v>55707116.549999997</v>
      </c>
      <c r="P12" s="286"/>
      <c r="Q12" s="286"/>
    </row>
    <row r="13" spans="3:17" ht="15" customHeight="1" x14ac:dyDescent="0.3">
      <c r="C13" s="310" t="s">
        <v>4312</v>
      </c>
      <c r="D13" s="311" t="s">
        <v>3361</v>
      </c>
      <c r="E13" s="421">
        <v>22601893.190000001</v>
      </c>
      <c r="F13" s="421">
        <v>67018128.939999998</v>
      </c>
      <c r="G13" s="421">
        <v>70381690.120000005</v>
      </c>
      <c r="H13" s="421">
        <v>19238332.010000002</v>
      </c>
      <c r="I13" s="312">
        <v>22601893.190000001</v>
      </c>
      <c r="J13" s="313">
        <v>67018128.939999998</v>
      </c>
      <c r="K13" s="313">
        <v>70381690.120000005</v>
      </c>
      <c r="L13" s="313">
        <v>19238332.010000002</v>
      </c>
      <c r="P13" s="286"/>
      <c r="Q13" s="286"/>
    </row>
    <row r="14" spans="3:17" ht="15" customHeight="1" x14ac:dyDescent="0.35">
      <c r="C14" s="310" t="s">
        <v>4313</v>
      </c>
      <c r="D14" s="311" t="s">
        <v>3362</v>
      </c>
      <c r="E14" s="421">
        <v>2861198.37</v>
      </c>
      <c r="F14" s="421">
        <v>44813626.490000002</v>
      </c>
      <c r="G14" s="421">
        <v>44565557.509999998</v>
      </c>
      <c r="H14" s="421">
        <v>3109267.35</v>
      </c>
      <c r="I14" s="312">
        <v>2861198.37</v>
      </c>
      <c r="J14" s="313">
        <v>44813626.490000002</v>
      </c>
      <c r="K14" s="313">
        <v>44565557.509999998</v>
      </c>
      <c r="L14" s="356">
        <v>3109267.35</v>
      </c>
      <c r="M14" s="290" t="s">
        <v>3363</v>
      </c>
      <c r="N14" s="291">
        <v>4</v>
      </c>
      <c r="P14" s="286"/>
      <c r="Q14" s="286"/>
    </row>
    <row r="15" spans="3:17" ht="15" customHeight="1" x14ac:dyDescent="0.3">
      <c r="C15" s="310" t="s">
        <v>4314</v>
      </c>
      <c r="D15" s="311" t="s">
        <v>29</v>
      </c>
      <c r="E15" s="421">
        <v>509731.36</v>
      </c>
      <c r="F15" s="421">
        <v>44684491.57</v>
      </c>
      <c r="G15" s="421">
        <v>42922129.609999999</v>
      </c>
      <c r="H15" s="421">
        <v>2272093.3199999998</v>
      </c>
      <c r="I15" s="312">
        <v>509731.36</v>
      </c>
      <c r="J15" s="313">
        <v>44684491.57</v>
      </c>
      <c r="K15" s="313">
        <v>42922129.609999999</v>
      </c>
      <c r="L15" s="356">
        <v>2272093.3199999998</v>
      </c>
      <c r="P15" s="286"/>
      <c r="Q15" s="286"/>
    </row>
    <row r="16" spans="3:17" ht="15" customHeight="1" x14ac:dyDescent="0.3">
      <c r="C16" s="314" t="s">
        <v>4315</v>
      </c>
      <c r="D16" s="315" t="s">
        <v>33</v>
      </c>
      <c r="E16" s="421">
        <v>13222.72</v>
      </c>
      <c r="F16" s="421">
        <v>866.21</v>
      </c>
      <c r="G16" s="421">
        <v>14088.93</v>
      </c>
      <c r="H16" s="421">
        <v>0</v>
      </c>
      <c r="I16" s="316">
        <v>13222.72</v>
      </c>
      <c r="J16" s="317">
        <v>866.21</v>
      </c>
      <c r="K16" s="317">
        <v>14088.93</v>
      </c>
      <c r="L16" s="357">
        <v>0</v>
      </c>
      <c r="P16" s="286"/>
      <c r="Q16" s="286"/>
    </row>
    <row r="17" spans="3:17" ht="15" customHeight="1" x14ac:dyDescent="0.3">
      <c r="C17" s="314" t="s">
        <v>4316</v>
      </c>
      <c r="D17" s="315" t="s">
        <v>35</v>
      </c>
      <c r="E17" s="421">
        <v>2.7</v>
      </c>
      <c r="F17" s="421">
        <v>118616.79</v>
      </c>
      <c r="G17" s="421">
        <v>118609.49</v>
      </c>
      <c r="H17" s="421">
        <v>10</v>
      </c>
      <c r="I17" s="316">
        <v>2.7</v>
      </c>
      <c r="J17" s="317">
        <v>118616.79</v>
      </c>
      <c r="K17" s="317">
        <v>118609.49</v>
      </c>
      <c r="L17" s="357">
        <v>10</v>
      </c>
    </row>
    <row r="18" spans="3:17" ht="15" customHeight="1" x14ac:dyDescent="0.3">
      <c r="C18" s="314" t="s">
        <v>4317</v>
      </c>
      <c r="D18" s="315" t="s">
        <v>3364</v>
      </c>
      <c r="E18" s="421">
        <v>0</v>
      </c>
      <c r="F18" s="421">
        <v>725.2</v>
      </c>
      <c r="G18" s="421">
        <v>725.2</v>
      </c>
      <c r="H18" s="421">
        <v>0</v>
      </c>
      <c r="I18" s="316">
        <v>0</v>
      </c>
      <c r="J18" s="317">
        <v>725.2</v>
      </c>
      <c r="K18" s="317">
        <v>725.2</v>
      </c>
      <c r="L18" s="357">
        <v>0</v>
      </c>
    </row>
    <row r="19" spans="3:17" ht="15" customHeight="1" x14ac:dyDescent="0.3">
      <c r="C19" s="314" t="s">
        <v>4318</v>
      </c>
      <c r="D19" s="315" t="s">
        <v>38</v>
      </c>
      <c r="E19" s="421">
        <v>0</v>
      </c>
      <c r="F19" s="421">
        <v>1098520.01</v>
      </c>
      <c r="G19" s="421">
        <v>1098520.01</v>
      </c>
      <c r="H19" s="421">
        <v>0</v>
      </c>
      <c r="I19" s="316">
        <v>0</v>
      </c>
      <c r="J19" s="317">
        <v>1098520.01</v>
      </c>
      <c r="K19" s="317">
        <v>1098520.01</v>
      </c>
      <c r="L19" s="357">
        <v>0</v>
      </c>
      <c r="P19" s="309"/>
      <c r="Q19" s="309"/>
    </row>
    <row r="20" spans="3:17" ht="15" customHeight="1" x14ac:dyDescent="0.3">
      <c r="C20" s="314" t="s">
        <v>4319</v>
      </c>
      <c r="D20" s="315" t="s">
        <v>3365</v>
      </c>
      <c r="E20" s="421">
        <v>0</v>
      </c>
      <c r="F20" s="421">
        <v>1582255.18</v>
      </c>
      <c r="G20" s="421">
        <v>1582255.18</v>
      </c>
      <c r="H20" s="421">
        <v>0</v>
      </c>
      <c r="I20" s="316">
        <v>0</v>
      </c>
      <c r="J20" s="317">
        <v>1582255.18</v>
      </c>
      <c r="K20" s="317">
        <v>1582255.18</v>
      </c>
      <c r="L20" s="357">
        <v>0</v>
      </c>
    </row>
    <row r="21" spans="3:17" ht="15" customHeight="1" x14ac:dyDescent="0.3">
      <c r="C21" s="314" t="s">
        <v>4320</v>
      </c>
      <c r="D21" s="315" t="s">
        <v>42</v>
      </c>
      <c r="E21" s="421">
        <v>0</v>
      </c>
      <c r="F21" s="421">
        <v>1719812.23</v>
      </c>
      <c r="G21" s="421">
        <v>1719812.23</v>
      </c>
      <c r="H21" s="421">
        <v>0</v>
      </c>
      <c r="I21" s="316">
        <v>0</v>
      </c>
      <c r="J21" s="317">
        <v>1719812.23</v>
      </c>
      <c r="K21" s="317">
        <v>1719812.23</v>
      </c>
      <c r="L21" s="357">
        <v>0</v>
      </c>
    </row>
    <row r="22" spans="3:17" ht="15" customHeight="1" x14ac:dyDescent="0.3">
      <c r="C22" s="314" t="s">
        <v>4321</v>
      </c>
      <c r="D22" s="315" t="s">
        <v>46</v>
      </c>
      <c r="E22" s="421">
        <v>20844</v>
      </c>
      <c r="F22" s="421">
        <v>1170.95</v>
      </c>
      <c r="G22" s="421">
        <v>22014.95</v>
      </c>
      <c r="H22" s="421">
        <v>0</v>
      </c>
      <c r="I22" s="316">
        <v>20844</v>
      </c>
      <c r="J22" s="317">
        <v>1170.95</v>
      </c>
      <c r="K22" s="317">
        <v>22014.95</v>
      </c>
      <c r="L22" s="357">
        <v>0</v>
      </c>
    </row>
    <row r="23" spans="3:17" ht="15" customHeight="1" x14ac:dyDescent="0.3">
      <c r="C23" s="314" t="s">
        <v>4322</v>
      </c>
      <c r="D23" s="315" t="s">
        <v>3366</v>
      </c>
      <c r="E23" s="421">
        <v>0</v>
      </c>
      <c r="F23" s="421">
        <v>2014.37</v>
      </c>
      <c r="G23" s="421">
        <v>2014.37</v>
      </c>
      <c r="H23" s="421">
        <v>0</v>
      </c>
      <c r="I23" s="316">
        <v>0</v>
      </c>
      <c r="J23" s="317">
        <v>2014.37</v>
      </c>
      <c r="K23" s="317">
        <v>2014.37</v>
      </c>
      <c r="L23" s="357">
        <v>0</v>
      </c>
    </row>
    <row r="24" spans="3:17" ht="15" customHeight="1" x14ac:dyDescent="0.3">
      <c r="C24" s="314" t="s">
        <v>4323</v>
      </c>
      <c r="D24" s="315" t="s">
        <v>53</v>
      </c>
      <c r="E24" s="421">
        <v>0</v>
      </c>
      <c r="F24" s="421">
        <v>33907.15</v>
      </c>
      <c r="G24" s="421">
        <v>33907.15</v>
      </c>
      <c r="H24" s="421">
        <v>0</v>
      </c>
      <c r="I24" s="316">
        <v>0</v>
      </c>
      <c r="J24" s="317">
        <v>33907.15</v>
      </c>
      <c r="K24" s="317">
        <v>33907.15</v>
      </c>
      <c r="L24" s="357">
        <v>0</v>
      </c>
    </row>
    <row r="25" spans="3:17" ht="15" customHeight="1" x14ac:dyDescent="0.3">
      <c r="C25" s="314" t="s">
        <v>4324</v>
      </c>
      <c r="D25" s="315" t="s">
        <v>3367</v>
      </c>
      <c r="E25" s="421">
        <v>218884.75</v>
      </c>
      <c r="F25" s="421">
        <v>8595874.4199999999</v>
      </c>
      <c r="G25" s="421">
        <v>8297739.9900000002</v>
      </c>
      <c r="H25" s="421">
        <v>517019.18</v>
      </c>
      <c r="I25" s="316">
        <v>218884.75</v>
      </c>
      <c r="J25" s="317">
        <v>8595874.4199999999</v>
      </c>
      <c r="K25" s="317">
        <v>8297739.9900000002</v>
      </c>
      <c r="L25" s="357">
        <v>517019.18</v>
      </c>
    </row>
    <row r="26" spans="3:17" ht="15" customHeight="1" x14ac:dyDescent="0.3">
      <c r="C26" s="314" t="s">
        <v>4325</v>
      </c>
      <c r="D26" s="315" t="s">
        <v>3368</v>
      </c>
      <c r="E26" s="421">
        <v>256777.19</v>
      </c>
      <c r="F26" s="421">
        <v>31530729.059999999</v>
      </c>
      <c r="G26" s="421">
        <v>30032442.109999999</v>
      </c>
      <c r="H26" s="421">
        <v>1755064.14</v>
      </c>
      <c r="I26" s="316">
        <v>256777.19</v>
      </c>
      <c r="J26" s="317">
        <v>31530729.059999999</v>
      </c>
      <c r="K26" s="317">
        <v>30032442.109999999</v>
      </c>
      <c r="L26" s="357">
        <v>1755064.14</v>
      </c>
    </row>
    <row r="27" spans="3:17" ht="15" customHeight="1" x14ac:dyDescent="0.3">
      <c r="C27" s="310" t="s">
        <v>4326</v>
      </c>
      <c r="D27" s="319" t="s">
        <v>3369</v>
      </c>
      <c r="E27" s="421">
        <v>5473.17</v>
      </c>
      <c r="F27" s="421">
        <v>1624.43</v>
      </c>
      <c r="G27" s="421">
        <v>876.57</v>
      </c>
      <c r="H27" s="421">
        <v>6221.03</v>
      </c>
      <c r="I27" s="312">
        <v>5473.17</v>
      </c>
      <c r="J27" s="313">
        <v>1624.43</v>
      </c>
      <c r="K27" s="313">
        <v>876.57</v>
      </c>
      <c r="L27" s="356">
        <v>6221.03</v>
      </c>
    </row>
    <row r="28" spans="3:17" ht="15" customHeight="1" x14ac:dyDescent="0.3">
      <c r="C28" s="314" t="s">
        <v>4327</v>
      </c>
      <c r="D28" s="320" t="s">
        <v>59</v>
      </c>
      <c r="E28" s="421">
        <v>0</v>
      </c>
      <c r="F28" s="421">
        <v>311.42</v>
      </c>
      <c r="G28" s="421">
        <v>216.05</v>
      </c>
      <c r="H28" s="421">
        <v>95.37</v>
      </c>
      <c r="I28" s="316">
        <v>0</v>
      </c>
      <c r="J28" s="317">
        <v>311.42</v>
      </c>
      <c r="K28" s="317">
        <v>216.05</v>
      </c>
      <c r="L28" s="357">
        <v>95.37</v>
      </c>
    </row>
    <row r="29" spans="3:17" ht="15" customHeight="1" x14ac:dyDescent="0.3">
      <c r="C29" s="314" t="s">
        <v>4328</v>
      </c>
      <c r="D29" s="320" t="s">
        <v>3370</v>
      </c>
      <c r="E29" s="421">
        <v>0</v>
      </c>
      <c r="F29" s="421">
        <v>740.71</v>
      </c>
      <c r="G29" s="421">
        <v>0</v>
      </c>
      <c r="H29" s="421">
        <v>740.71</v>
      </c>
      <c r="I29" s="316">
        <v>0</v>
      </c>
      <c r="J29" s="317">
        <v>740.71</v>
      </c>
      <c r="K29" s="317">
        <v>0</v>
      </c>
      <c r="L29" s="357">
        <v>740.71</v>
      </c>
    </row>
    <row r="30" spans="3:17" ht="15" customHeight="1" x14ac:dyDescent="0.3">
      <c r="C30" s="314" t="s">
        <v>4329</v>
      </c>
      <c r="D30" s="320" t="s">
        <v>63</v>
      </c>
      <c r="E30" s="421">
        <v>5387.47</v>
      </c>
      <c r="F30" s="421">
        <v>569.07000000000005</v>
      </c>
      <c r="G30" s="421">
        <v>571.59</v>
      </c>
      <c r="H30" s="421">
        <v>5384.95</v>
      </c>
      <c r="I30" s="316">
        <v>5387.47</v>
      </c>
      <c r="J30" s="317">
        <v>569.07000000000005</v>
      </c>
      <c r="K30" s="317">
        <v>571.59</v>
      </c>
      <c r="L30" s="357">
        <v>5384.95</v>
      </c>
    </row>
    <row r="31" spans="3:17" ht="15" customHeight="1" x14ac:dyDescent="0.3">
      <c r="C31" s="314" t="s">
        <v>4330</v>
      </c>
      <c r="D31" s="320" t="s">
        <v>67</v>
      </c>
      <c r="E31" s="421">
        <v>85.7</v>
      </c>
      <c r="F31" s="421">
        <v>3.23</v>
      </c>
      <c r="G31" s="421">
        <v>88.93</v>
      </c>
      <c r="H31" s="421">
        <v>0</v>
      </c>
      <c r="I31" s="316">
        <v>85.7</v>
      </c>
      <c r="J31" s="317">
        <v>3.23</v>
      </c>
      <c r="K31" s="317">
        <v>88.93</v>
      </c>
      <c r="L31" s="357">
        <v>0</v>
      </c>
    </row>
    <row r="32" spans="3:17" ht="15" customHeight="1" x14ac:dyDescent="0.3">
      <c r="C32" s="310" t="s">
        <v>4331</v>
      </c>
      <c r="D32" s="311" t="s">
        <v>74</v>
      </c>
      <c r="E32" s="421">
        <v>2345993.84</v>
      </c>
      <c r="F32" s="421">
        <v>127510.49</v>
      </c>
      <c r="G32" s="421">
        <v>1642551.33</v>
      </c>
      <c r="H32" s="421">
        <v>830953</v>
      </c>
      <c r="I32" s="312">
        <v>2345993.84</v>
      </c>
      <c r="J32" s="313">
        <v>127510.49</v>
      </c>
      <c r="K32" s="313">
        <v>1642551.33</v>
      </c>
      <c r="L32" s="356">
        <v>830953</v>
      </c>
    </row>
    <row r="33" spans="2:14" ht="15" customHeight="1" x14ac:dyDescent="0.3">
      <c r="C33" s="314" t="s">
        <v>4332</v>
      </c>
      <c r="D33" s="315" t="s">
        <v>78</v>
      </c>
      <c r="E33" s="421">
        <v>2345993.84</v>
      </c>
      <c r="F33" s="421">
        <v>127510.49</v>
      </c>
      <c r="G33" s="421">
        <v>1642551.33</v>
      </c>
      <c r="H33" s="421">
        <v>830953</v>
      </c>
      <c r="I33" s="316">
        <v>2345993.84</v>
      </c>
      <c r="J33" s="317">
        <v>127510.49</v>
      </c>
      <c r="K33" s="317">
        <v>1642551.33</v>
      </c>
      <c r="L33" s="357">
        <v>830953</v>
      </c>
    </row>
    <row r="34" spans="2:14" ht="15" customHeight="1" x14ac:dyDescent="0.35">
      <c r="C34" s="365" t="s">
        <v>4333</v>
      </c>
      <c r="D34" s="366" t="s">
        <v>3371</v>
      </c>
      <c r="E34" s="421">
        <v>1889386.78</v>
      </c>
      <c r="F34" s="421">
        <v>5971348.3200000003</v>
      </c>
      <c r="G34" s="421">
        <v>7821448.7000000002</v>
      </c>
      <c r="H34" s="421">
        <v>39286.400000000001</v>
      </c>
      <c r="I34" s="367">
        <v>1889386.78</v>
      </c>
      <c r="J34" s="368">
        <v>5971348.3200000003</v>
      </c>
      <c r="K34" s="356">
        <v>7821448.7000000002</v>
      </c>
      <c r="L34" s="356">
        <v>39286.400000000001</v>
      </c>
      <c r="M34" s="290" t="s">
        <v>3363</v>
      </c>
      <c r="N34" s="291">
        <v>5</v>
      </c>
    </row>
    <row r="35" spans="2:14" ht="15" customHeight="1" x14ac:dyDescent="0.3">
      <c r="C35" s="365" t="s">
        <v>4334</v>
      </c>
      <c r="D35" s="366" t="s">
        <v>84</v>
      </c>
      <c r="E35" s="421">
        <v>1613764.58</v>
      </c>
      <c r="F35" s="421">
        <v>5971348.3200000003</v>
      </c>
      <c r="G35" s="421">
        <v>7545826.5</v>
      </c>
      <c r="H35" s="421">
        <v>39286.400000000001</v>
      </c>
      <c r="I35" s="367">
        <v>1613764.58</v>
      </c>
      <c r="J35" s="368">
        <v>5971348.3200000003</v>
      </c>
      <c r="K35" s="356">
        <v>7545826.5</v>
      </c>
      <c r="L35" s="356">
        <v>39286.400000000001</v>
      </c>
    </row>
    <row r="36" spans="2:14" ht="15" customHeight="1" x14ac:dyDescent="0.3">
      <c r="B36"/>
      <c r="C36" s="369" t="s">
        <v>4335</v>
      </c>
      <c r="D36" s="366" t="s">
        <v>3372</v>
      </c>
      <c r="E36" s="421">
        <v>0</v>
      </c>
      <c r="F36" s="421">
        <v>0</v>
      </c>
      <c r="G36" s="421">
        <v>362277.03</v>
      </c>
      <c r="H36" s="421">
        <v>-362277.03</v>
      </c>
      <c r="I36" s="367">
        <v>0</v>
      </c>
      <c r="J36" s="368">
        <v>0</v>
      </c>
      <c r="K36" s="356">
        <v>362277.03</v>
      </c>
      <c r="L36" s="356">
        <v>-362277.03</v>
      </c>
    </row>
    <row r="37" spans="2:14" ht="15" customHeight="1" x14ac:dyDescent="0.3">
      <c r="C37" s="369" t="s">
        <v>4336</v>
      </c>
      <c r="D37" s="370" t="s">
        <v>3373</v>
      </c>
      <c r="E37" s="421">
        <v>0</v>
      </c>
      <c r="F37" s="421">
        <v>19380</v>
      </c>
      <c r="G37" s="421">
        <v>19380</v>
      </c>
      <c r="H37" s="421">
        <v>0</v>
      </c>
      <c r="I37" s="371">
        <v>0</v>
      </c>
      <c r="J37" s="372">
        <v>19380</v>
      </c>
      <c r="K37" s="357">
        <v>19380</v>
      </c>
      <c r="L37" s="357">
        <v>0</v>
      </c>
    </row>
    <row r="38" spans="2:14" ht="15" customHeight="1" x14ac:dyDescent="0.3">
      <c r="C38" s="369" t="s">
        <v>4337</v>
      </c>
      <c r="D38" s="370" t="s">
        <v>3374</v>
      </c>
      <c r="E38" s="421">
        <v>0</v>
      </c>
      <c r="F38" s="421">
        <v>410900</v>
      </c>
      <c r="G38" s="421">
        <v>168000</v>
      </c>
      <c r="H38" s="421">
        <v>242900</v>
      </c>
      <c r="I38" s="371">
        <v>0</v>
      </c>
      <c r="J38" s="372">
        <v>410900</v>
      </c>
      <c r="K38" s="357">
        <v>168000</v>
      </c>
      <c r="L38" s="357">
        <v>242900</v>
      </c>
    </row>
    <row r="39" spans="2:14" ht="15" customHeight="1" x14ac:dyDescent="0.3">
      <c r="C39" s="369" t="s">
        <v>4338</v>
      </c>
      <c r="D39" s="370" t="s">
        <v>209</v>
      </c>
      <c r="E39" s="421">
        <v>0</v>
      </c>
      <c r="F39" s="421">
        <v>16193.65</v>
      </c>
      <c r="G39" s="421">
        <v>16193.65</v>
      </c>
      <c r="H39" s="421">
        <v>0</v>
      </c>
      <c r="I39" s="371">
        <v>0</v>
      </c>
      <c r="J39" s="372">
        <v>16193.65</v>
      </c>
      <c r="K39" s="357">
        <v>16193.65</v>
      </c>
      <c r="L39" s="357">
        <v>0</v>
      </c>
    </row>
    <row r="40" spans="2:14" ht="15" customHeight="1" x14ac:dyDescent="0.3">
      <c r="C40" s="369" t="s">
        <v>4339</v>
      </c>
      <c r="D40" s="370" t="s">
        <v>211</v>
      </c>
      <c r="E40" s="421">
        <v>20584.03</v>
      </c>
      <c r="F40" s="421">
        <v>0</v>
      </c>
      <c r="G40" s="421">
        <v>0</v>
      </c>
      <c r="H40" s="421">
        <v>20584.03</v>
      </c>
      <c r="I40" s="371">
        <v>20584.03</v>
      </c>
      <c r="J40" s="372">
        <v>0</v>
      </c>
      <c r="K40" s="357">
        <v>0</v>
      </c>
      <c r="L40" s="357">
        <v>20584.03</v>
      </c>
    </row>
    <row r="41" spans="2:14" ht="15" customHeight="1" x14ac:dyDescent="0.3">
      <c r="C41" s="369" t="s">
        <v>4340</v>
      </c>
      <c r="D41" s="370" t="s">
        <v>217</v>
      </c>
      <c r="E41" s="421">
        <v>0</v>
      </c>
      <c r="F41" s="421">
        <v>23520</v>
      </c>
      <c r="G41" s="421">
        <v>23520</v>
      </c>
      <c r="H41" s="421">
        <v>0</v>
      </c>
      <c r="I41" s="371">
        <v>0</v>
      </c>
      <c r="J41" s="372">
        <v>23520</v>
      </c>
      <c r="K41" s="357">
        <v>23520</v>
      </c>
      <c r="L41" s="357">
        <v>0</v>
      </c>
    </row>
    <row r="42" spans="2:14" ht="15" customHeight="1" x14ac:dyDescent="0.3">
      <c r="C42" s="369" t="s">
        <v>4341</v>
      </c>
      <c r="D42" s="370" t="s">
        <v>222</v>
      </c>
      <c r="E42" s="421">
        <v>0</v>
      </c>
      <c r="F42" s="421">
        <v>3816</v>
      </c>
      <c r="G42" s="421">
        <v>3816</v>
      </c>
      <c r="H42" s="421">
        <v>0</v>
      </c>
      <c r="I42" s="371">
        <v>0</v>
      </c>
      <c r="J42" s="372">
        <v>3816</v>
      </c>
      <c r="K42" s="357">
        <v>3816</v>
      </c>
      <c r="L42" s="357">
        <v>0</v>
      </c>
    </row>
    <row r="43" spans="2:14" ht="15" customHeight="1" x14ac:dyDescent="0.3">
      <c r="C43" s="369" t="s">
        <v>4342</v>
      </c>
      <c r="D43" s="370" t="s">
        <v>224</v>
      </c>
      <c r="E43" s="421">
        <v>0</v>
      </c>
      <c r="F43" s="421">
        <v>21000</v>
      </c>
      <c r="G43" s="421">
        <v>21000</v>
      </c>
      <c r="H43" s="421">
        <v>0</v>
      </c>
      <c r="I43" s="371">
        <v>0</v>
      </c>
      <c r="J43" s="372">
        <v>21000</v>
      </c>
      <c r="K43" s="357">
        <v>21000</v>
      </c>
      <c r="L43" s="357">
        <v>0</v>
      </c>
    </row>
    <row r="44" spans="2:14" ht="15" customHeight="1" x14ac:dyDescent="0.3">
      <c r="C44" s="369" t="s">
        <v>4343</v>
      </c>
      <c r="D44" s="370" t="s">
        <v>245</v>
      </c>
      <c r="E44" s="421">
        <v>0</v>
      </c>
      <c r="F44" s="421">
        <v>33600</v>
      </c>
      <c r="G44" s="421">
        <v>33600</v>
      </c>
      <c r="H44" s="421">
        <v>0</v>
      </c>
      <c r="I44" s="371">
        <v>0</v>
      </c>
      <c r="J44" s="372">
        <v>33600</v>
      </c>
      <c r="K44" s="357">
        <v>33600</v>
      </c>
      <c r="L44" s="357">
        <v>0</v>
      </c>
    </row>
    <row r="45" spans="2:14" ht="15" customHeight="1" x14ac:dyDescent="0.3">
      <c r="C45" s="369" t="s">
        <v>4344</v>
      </c>
      <c r="D45" s="370" t="s">
        <v>247</v>
      </c>
      <c r="E45" s="421">
        <v>0</v>
      </c>
      <c r="F45" s="421">
        <v>21300</v>
      </c>
      <c r="G45" s="421">
        <v>21300</v>
      </c>
      <c r="H45" s="421">
        <v>0</v>
      </c>
      <c r="I45" s="371">
        <v>0</v>
      </c>
      <c r="J45" s="372">
        <v>21300</v>
      </c>
      <c r="K45" s="357">
        <v>21300</v>
      </c>
      <c r="L45" s="357">
        <v>0</v>
      </c>
    </row>
    <row r="46" spans="2:14" ht="15" customHeight="1" x14ac:dyDescent="0.3">
      <c r="C46" s="369" t="s">
        <v>4345</v>
      </c>
      <c r="D46" s="370" t="s">
        <v>249</v>
      </c>
      <c r="E46" s="421">
        <v>0</v>
      </c>
      <c r="F46" s="421">
        <v>7593</v>
      </c>
      <c r="G46" s="421">
        <v>7593</v>
      </c>
      <c r="H46" s="421">
        <v>0</v>
      </c>
      <c r="I46" s="371">
        <v>0</v>
      </c>
      <c r="J46" s="372">
        <v>7593</v>
      </c>
      <c r="K46" s="357">
        <v>7593</v>
      </c>
      <c r="L46" s="357">
        <v>0</v>
      </c>
    </row>
    <row r="47" spans="2:14" ht="15" customHeight="1" x14ac:dyDescent="0.3">
      <c r="C47" s="369" t="s">
        <v>4346</v>
      </c>
      <c r="D47" s="370" t="s">
        <v>254</v>
      </c>
      <c r="E47" s="421">
        <v>0</v>
      </c>
      <c r="F47" s="421">
        <v>41370</v>
      </c>
      <c r="G47" s="421">
        <v>41370</v>
      </c>
      <c r="H47" s="421">
        <v>0</v>
      </c>
      <c r="I47" s="371">
        <v>0</v>
      </c>
      <c r="J47" s="372">
        <v>41370</v>
      </c>
      <c r="K47" s="357">
        <v>41370</v>
      </c>
      <c r="L47" s="357">
        <v>0</v>
      </c>
    </row>
    <row r="48" spans="2:14" ht="15" customHeight="1" x14ac:dyDescent="0.3">
      <c r="C48" s="369" t="s">
        <v>4347</v>
      </c>
      <c r="D48" s="370" t="s">
        <v>259</v>
      </c>
      <c r="E48" s="421">
        <v>825</v>
      </c>
      <c r="F48" s="421">
        <v>36034.5</v>
      </c>
      <c r="G48" s="421">
        <v>36859.5</v>
      </c>
      <c r="H48" s="421">
        <v>0</v>
      </c>
      <c r="I48" s="371">
        <v>825</v>
      </c>
      <c r="J48" s="372">
        <v>36034.5</v>
      </c>
      <c r="K48" s="357">
        <v>36859.5</v>
      </c>
      <c r="L48" s="357">
        <v>0</v>
      </c>
    </row>
    <row r="49" spans="3:12" ht="15" customHeight="1" x14ac:dyDescent="0.3">
      <c r="C49" s="369" t="s">
        <v>4348</v>
      </c>
      <c r="D49" s="370" t="s">
        <v>261</v>
      </c>
      <c r="E49" s="421">
        <v>0</v>
      </c>
      <c r="F49" s="421">
        <v>28800</v>
      </c>
      <c r="G49" s="421">
        <v>28800</v>
      </c>
      <c r="H49" s="421">
        <v>0</v>
      </c>
      <c r="I49" s="371">
        <v>0</v>
      </c>
      <c r="J49" s="372">
        <v>28800</v>
      </c>
      <c r="K49" s="357">
        <v>28800</v>
      </c>
      <c r="L49" s="357">
        <v>0</v>
      </c>
    </row>
    <row r="50" spans="3:12" ht="15" customHeight="1" x14ac:dyDescent="0.3">
      <c r="C50" s="369" t="s">
        <v>4349</v>
      </c>
      <c r="D50" s="370" t="s">
        <v>263</v>
      </c>
      <c r="E50" s="421">
        <v>2100</v>
      </c>
      <c r="F50" s="421">
        <v>5250</v>
      </c>
      <c r="G50" s="421">
        <v>7350</v>
      </c>
      <c r="H50" s="421">
        <v>0</v>
      </c>
      <c r="I50" s="371">
        <v>2100</v>
      </c>
      <c r="J50" s="372">
        <v>5250</v>
      </c>
      <c r="K50" s="357">
        <v>7350</v>
      </c>
      <c r="L50" s="357">
        <v>0</v>
      </c>
    </row>
    <row r="51" spans="3:12" ht="15" customHeight="1" x14ac:dyDescent="0.3">
      <c r="C51" s="369" t="s">
        <v>4350</v>
      </c>
      <c r="D51" s="370" t="s">
        <v>265</v>
      </c>
      <c r="E51" s="421">
        <v>0</v>
      </c>
      <c r="F51" s="421">
        <v>6510</v>
      </c>
      <c r="G51" s="421">
        <v>6510</v>
      </c>
      <c r="H51" s="421">
        <v>0</v>
      </c>
      <c r="I51" s="371">
        <v>0</v>
      </c>
      <c r="J51" s="372">
        <v>6510</v>
      </c>
      <c r="K51" s="357">
        <v>6510</v>
      </c>
      <c r="L51" s="357">
        <v>0</v>
      </c>
    </row>
    <row r="52" spans="3:12" ht="15" customHeight="1" x14ac:dyDescent="0.3">
      <c r="C52" s="369" t="s">
        <v>4351</v>
      </c>
      <c r="D52" s="370" t="s">
        <v>267</v>
      </c>
      <c r="E52" s="421">
        <v>0</v>
      </c>
      <c r="F52" s="421">
        <v>254006.2</v>
      </c>
      <c r="G52" s="421">
        <v>254006.2</v>
      </c>
      <c r="H52" s="421">
        <v>0</v>
      </c>
      <c r="I52" s="371">
        <v>0</v>
      </c>
      <c r="J52" s="372">
        <v>254006.2</v>
      </c>
      <c r="K52" s="357">
        <v>254006.2</v>
      </c>
      <c r="L52" s="357">
        <v>0</v>
      </c>
    </row>
    <row r="53" spans="3:12" ht="15" customHeight="1" x14ac:dyDescent="0.3">
      <c r="C53" s="369" t="s">
        <v>4352</v>
      </c>
      <c r="D53" s="370" t="s">
        <v>3375</v>
      </c>
      <c r="E53" s="421">
        <v>0</v>
      </c>
      <c r="F53" s="421">
        <v>5130</v>
      </c>
      <c r="G53" s="421">
        <v>5130</v>
      </c>
      <c r="H53" s="421">
        <v>0</v>
      </c>
      <c r="I53" s="371">
        <v>0</v>
      </c>
      <c r="J53" s="372">
        <v>5130</v>
      </c>
      <c r="K53" s="357">
        <v>5130</v>
      </c>
      <c r="L53" s="357">
        <v>0</v>
      </c>
    </row>
    <row r="54" spans="3:12" ht="15" customHeight="1" x14ac:dyDescent="0.3">
      <c r="C54" s="369" t="s">
        <v>4353</v>
      </c>
      <c r="D54" s="370" t="s">
        <v>271</v>
      </c>
      <c r="E54" s="421">
        <v>315</v>
      </c>
      <c r="F54" s="421">
        <v>2415</v>
      </c>
      <c r="G54" s="421">
        <v>2730</v>
      </c>
      <c r="H54" s="421">
        <v>0</v>
      </c>
      <c r="I54" s="371">
        <v>315</v>
      </c>
      <c r="J54" s="372">
        <v>2415</v>
      </c>
      <c r="K54" s="357">
        <v>2730</v>
      </c>
      <c r="L54" s="357">
        <v>0</v>
      </c>
    </row>
    <row r="55" spans="3:12" ht="15" customHeight="1" x14ac:dyDescent="0.3">
      <c r="C55" s="369" t="s">
        <v>4354</v>
      </c>
      <c r="D55" s="370" t="s">
        <v>273</v>
      </c>
      <c r="E55" s="421">
        <v>0</v>
      </c>
      <c r="F55" s="421">
        <v>4515</v>
      </c>
      <c r="G55" s="421">
        <v>4515</v>
      </c>
      <c r="H55" s="421">
        <v>0</v>
      </c>
      <c r="I55" s="371">
        <v>0</v>
      </c>
      <c r="J55" s="372">
        <v>4515</v>
      </c>
      <c r="K55" s="357">
        <v>4515</v>
      </c>
      <c r="L55" s="357">
        <v>0</v>
      </c>
    </row>
    <row r="56" spans="3:12" ht="15" customHeight="1" x14ac:dyDescent="0.3">
      <c r="C56" s="369" t="s">
        <v>4355</v>
      </c>
      <c r="D56" s="370" t="s">
        <v>277</v>
      </c>
      <c r="E56" s="421">
        <v>2295</v>
      </c>
      <c r="F56" s="421">
        <v>16200</v>
      </c>
      <c r="G56" s="421">
        <v>18495</v>
      </c>
      <c r="H56" s="421">
        <v>0</v>
      </c>
      <c r="I56" s="371">
        <v>2295</v>
      </c>
      <c r="J56" s="372">
        <v>16200</v>
      </c>
      <c r="K56" s="357">
        <v>18495</v>
      </c>
      <c r="L56" s="357">
        <v>0</v>
      </c>
    </row>
    <row r="57" spans="3:12" ht="15" customHeight="1" x14ac:dyDescent="0.3">
      <c r="C57" s="369" t="s">
        <v>4356</v>
      </c>
      <c r="D57" s="370" t="s">
        <v>287</v>
      </c>
      <c r="E57" s="421">
        <v>4750</v>
      </c>
      <c r="F57" s="421">
        <v>0</v>
      </c>
      <c r="G57" s="421">
        <v>0</v>
      </c>
      <c r="H57" s="421">
        <v>4750</v>
      </c>
      <c r="I57" s="371">
        <v>4750</v>
      </c>
      <c r="J57" s="372">
        <v>0</v>
      </c>
      <c r="K57" s="357">
        <v>0</v>
      </c>
      <c r="L57" s="357">
        <v>4750</v>
      </c>
    </row>
    <row r="58" spans="3:12" ht="15" customHeight="1" x14ac:dyDescent="0.3">
      <c r="C58" s="369" t="s">
        <v>4357</v>
      </c>
      <c r="D58" s="370" t="s">
        <v>294</v>
      </c>
      <c r="E58" s="421">
        <v>2100</v>
      </c>
      <c r="F58" s="421">
        <v>10140</v>
      </c>
      <c r="G58" s="421">
        <v>12240</v>
      </c>
      <c r="H58" s="421">
        <v>0</v>
      </c>
      <c r="I58" s="371">
        <v>2100</v>
      </c>
      <c r="J58" s="372">
        <v>10140</v>
      </c>
      <c r="K58" s="357">
        <v>12240</v>
      </c>
      <c r="L58" s="357">
        <v>0</v>
      </c>
    </row>
    <row r="59" spans="3:12" ht="15" customHeight="1" x14ac:dyDescent="0.3">
      <c r="C59" s="369" t="s">
        <v>4358</v>
      </c>
      <c r="D59" s="370" t="s">
        <v>3376</v>
      </c>
      <c r="E59" s="421">
        <v>0</v>
      </c>
      <c r="F59" s="421">
        <v>39753</v>
      </c>
      <c r="G59" s="421">
        <v>39753</v>
      </c>
      <c r="H59" s="421">
        <v>0</v>
      </c>
      <c r="I59" s="371">
        <v>0</v>
      </c>
      <c r="J59" s="372">
        <v>39753</v>
      </c>
      <c r="K59" s="357">
        <v>39753</v>
      </c>
      <c r="L59" s="357">
        <v>0</v>
      </c>
    </row>
    <row r="60" spans="3:12" ht="15" customHeight="1" x14ac:dyDescent="0.3">
      <c r="C60" s="369" t="s">
        <v>4359</v>
      </c>
      <c r="D60" s="370" t="s">
        <v>298</v>
      </c>
      <c r="E60" s="421">
        <v>11184</v>
      </c>
      <c r="F60" s="421">
        <v>19089</v>
      </c>
      <c r="G60" s="421">
        <v>30273</v>
      </c>
      <c r="H60" s="421">
        <v>0</v>
      </c>
      <c r="I60" s="371">
        <v>11184</v>
      </c>
      <c r="J60" s="372">
        <v>19089</v>
      </c>
      <c r="K60" s="357">
        <v>30273</v>
      </c>
      <c r="L60" s="357">
        <v>0</v>
      </c>
    </row>
    <row r="61" spans="3:12" ht="15" customHeight="1" x14ac:dyDescent="0.3">
      <c r="C61" s="369" t="s">
        <v>4360</v>
      </c>
      <c r="D61" s="370" t="s">
        <v>301</v>
      </c>
      <c r="E61" s="421">
        <v>10163</v>
      </c>
      <c r="F61" s="421">
        <v>0</v>
      </c>
      <c r="G61" s="421">
        <v>0</v>
      </c>
      <c r="H61" s="421">
        <v>10163</v>
      </c>
      <c r="I61" s="371">
        <v>10163</v>
      </c>
      <c r="J61" s="372">
        <v>0</v>
      </c>
      <c r="K61" s="357">
        <v>0</v>
      </c>
      <c r="L61" s="357">
        <v>10163</v>
      </c>
    </row>
    <row r="62" spans="3:12" ht="15" customHeight="1" x14ac:dyDescent="0.3">
      <c r="C62" s="369" t="s">
        <v>4361</v>
      </c>
      <c r="D62" s="370" t="s">
        <v>304</v>
      </c>
      <c r="E62" s="421">
        <v>0</v>
      </c>
      <c r="F62" s="421">
        <v>20825</v>
      </c>
      <c r="G62" s="421">
        <v>20825</v>
      </c>
      <c r="H62" s="421">
        <v>0</v>
      </c>
      <c r="I62" s="371">
        <v>0</v>
      </c>
      <c r="J62" s="372">
        <v>20825</v>
      </c>
      <c r="K62" s="357">
        <v>20825</v>
      </c>
      <c r="L62" s="357">
        <v>0</v>
      </c>
    </row>
    <row r="63" spans="3:12" ht="15" customHeight="1" x14ac:dyDescent="0.3">
      <c r="C63" s="369" t="s">
        <v>4362</v>
      </c>
      <c r="D63" s="370" t="s">
        <v>306</v>
      </c>
      <c r="E63" s="421">
        <v>12400</v>
      </c>
      <c r="F63" s="421">
        <v>18600</v>
      </c>
      <c r="G63" s="421">
        <v>31000</v>
      </c>
      <c r="H63" s="421">
        <v>0</v>
      </c>
      <c r="I63" s="371">
        <v>12400</v>
      </c>
      <c r="J63" s="372">
        <v>18600</v>
      </c>
      <c r="K63" s="357">
        <v>31000</v>
      </c>
      <c r="L63" s="357">
        <v>0</v>
      </c>
    </row>
    <row r="64" spans="3:12" ht="15" customHeight="1" x14ac:dyDescent="0.3">
      <c r="C64" s="369" t="s">
        <v>4363</v>
      </c>
      <c r="D64" s="370" t="s">
        <v>308</v>
      </c>
      <c r="E64" s="421">
        <v>0</v>
      </c>
      <c r="F64" s="421">
        <v>35400</v>
      </c>
      <c r="G64" s="421">
        <v>35400</v>
      </c>
      <c r="H64" s="421">
        <v>0</v>
      </c>
      <c r="I64" s="371">
        <v>0</v>
      </c>
      <c r="J64" s="372">
        <v>35400</v>
      </c>
      <c r="K64" s="357">
        <v>35400</v>
      </c>
      <c r="L64" s="357">
        <v>0</v>
      </c>
    </row>
    <row r="65" spans="3:12" ht="15" customHeight="1" x14ac:dyDescent="0.3">
      <c r="C65" s="369" t="s">
        <v>4364</v>
      </c>
      <c r="D65" s="370" t="s">
        <v>310</v>
      </c>
      <c r="E65" s="421">
        <v>0</v>
      </c>
      <c r="F65" s="421">
        <v>43988.5</v>
      </c>
      <c r="G65" s="421">
        <v>27500</v>
      </c>
      <c r="H65" s="421">
        <v>16488.5</v>
      </c>
      <c r="I65" s="371">
        <v>0</v>
      </c>
      <c r="J65" s="372">
        <v>43988.5</v>
      </c>
      <c r="K65" s="357">
        <v>27500</v>
      </c>
      <c r="L65" s="357">
        <v>16488.5</v>
      </c>
    </row>
    <row r="66" spans="3:12" ht="15" customHeight="1" x14ac:dyDescent="0.3">
      <c r="C66" s="369" t="s">
        <v>4365</v>
      </c>
      <c r="D66" s="370" t="s">
        <v>313</v>
      </c>
      <c r="E66" s="421">
        <v>1350</v>
      </c>
      <c r="F66" s="421">
        <v>1350</v>
      </c>
      <c r="G66" s="421">
        <v>2700</v>
      </c>
      <c r="H66" s="421">
        <v>0</v>
      </c>
      <c r="I66" s="371">
        <v>1350</v>
      </c>
      <c r="J66" s="372">
        <v>1350</v>
      </c>
      <c r="K66" s="357">
        <v>2700</v>
      </c>
      <c r="L66" s="357">
        <v>0</v>
      </c>
    </row>
    <row r="67" spans="3:12" ht="15" customHeight="1" x14ac:dyDescent="0.3">
      <c r="C67" s="369" t="s">
        <v>4366</v>
      </c>
      <c r="D67" s="370" t="s">
        <v>315</v>
      </c>
      <c r="E67" s="421">
        <v>0</v>
      </c>
      <c r="F67" s="421">
        <v>54000</v>
      </c>
      <c r="G67" s="421">
        <v>54000</v>
      </c>
      <c r="H67" s="421">
        <v>0</v>
      </c>
      <c r="I67" s="371">
        <v>0</v>
      </c>
      <c r="J67" s="372">
        <v>54000</v>
      </c>
      <c r="K67" s="357">
        <v>54000</v>
      </c>
      <c r="L67" s="357">
        <v>0</v>
      </c>
    </row>
    <row r="68" spans="3:12" ht="15" customHeight="1" x14ac:dyDescent="0.3">
      <c r="C68" s="369" t="s">
        <v>4367</v>
      </c>
      <c r="D68" s="370" t="s">
        <v>317</v>
      </c>
      <c r="E68" s="421">
        <v>0</v>
      </c>
      <c r="F68" s="421">
        <v>31920</v>
      </c>
      <c r="G68" s="421">
        <v>12840</v>
      </c>
      <c r="H68" s="421">
        <v>19080</v>
      </c>
      <c r="I68" s="371">
        <v>0</v>
      </c>
      <c r="J68" s="372">
        <v>31920</v>
      </c>
      <c r="K68" s="357">
        <v>12840</v>
      </c>
      <c r="L68" s="357">
        <v>19080</v>
      </c>
    </row>
    <row r="69" spans="3:12" ht="15" customHeight="1" x14ac:dyDescent="0.3">
      <c r="C69" s="369" t="s">
        <v>4368</v>
      </c>
      <c r="D69" s="370" t="s">
        <v>323</v>
      </c>
      <c r="E69" s="421">
        <v>0</v>
      </c>
      <c r="F69" s="421">
        <v>11403</v>
      </c>
      <c r="G69" s="421">
        <v>11403</v>
      </c>
      <c r="H69" s="421">
        <v>0</v>
      </c>
      <c r="I69" s="371">
        <v>0</v>
      </c>
      <c r="J69" s="372">
        <v>11403</v>
      </c>
      <c r="K69" s="357">
        <v>11403</v>
      </c>
      <c r="L69" s="357">
        <v>0</v>
      </c>
    </row>
    <row r="70" spans="3:12" ht="15" customHeight="1" x14ac:dyDescent="0.3">
      <c r="C70" s="369" t="s">
        <v>4369</v>
      </c>
      <c r="D70" s="370" t="s">
        <v>325</v>
      </c>
      <c r="E70" s="421">
        <v>0</v>
      </c>
      <c r="F70" s="421">
        <v>15750</v>
      </c>
      <c r="G70" s="421">
        <v>15750</v>
      </c>
      <c r="H70" s="421">
        <v>0</v>
      </c>
      <c r="I70" s="371">
        <v>0</v>
      </c>
      <c r="J70" s="372">
        <v>15750</v>
      </c>
      <c r="K70" s="357">
        <v>15750</v>
      </c>
      <c r="L70" s="357">
        <v>0</v>
      </c>
    </row>
    <row r="71" spans="3:12" ht="15" customHeight="1" x14ac:dyDescent="0.3">
      <c r="C71" s="369" t="s">
        <v>4370</v>
      </c>
      <c r="D71" s="370" t="s">
        <v>327</v>
      </c>
      <c r="E71" s="421">
        <v>14750</v>
      </c>
      <c r="F71" s="421">
        <v>147500</v>
      </c>
      <c r="G71" s="421">
        <v>162250</v>
      </c>
      <c r="H71" s="421">
        <v>0</v>
      </c>
      <c r="I71" s="371">
        <v>14750</v>
      </c>
      <c r="J71" s="372">
        <v>147500</v>
      </c>
      <c r="K71" s="357">
        <v>162250</v>
      </c>
      <c r="L71" s="357">
        <v>0</v>
      </c>
    </row>
    <row r="72" spans="3:12" ht="15" customHeight="1" x14ac:dyDescent="0.3">
      <c r="C72" s="369" t="s">
        <v>4371</v>
      </c>
      <c r="D72" s="370" t="s">
        <v>3377</v>
      </c>
      <c r="E72" s="421">
        <v>0</v>
      </c>
      <c r="F72" s="421">
        <v>1760000</v>
      </c>
      <c r="G72" s="421">
        <v>1760000</v>
      </c>
      <c r="H72" s="421">
        <v>0</v>
      </c>
      <c r="I72" s="371">
        <v>0</v>
      </c>
      <c r="J72" s="372">
        <v>1760000</v>
      </c>
      <c r="K72" s="357">
        <v>1760000</v>
      </c>
      <c r="L72" s="357">
        <v>0</v>
      </c>
    </row>
    <row r="73" spans="3:12" ht="15" customHeight="1" x14ac:dyDescent="0.3">
      <c r="C73" s="369" t="s">
        <v>4372</v>
      </c>
      <c r="D73" s="370" t="s">
        <v>337</v>
      </c>
      <c r="E73" s="421">
        <v>0</v>
      </c>
      <c r="F73" s="421">
        <v>30348.5</v>
      </c>
      <c r="G73" s="421">
        <v>30348.5</v>
      </c>
      <c r="H73" s="421">
        <v>0</v>
      </c>
      <c r="I73" s="371">
        <v>0</v>
      </c>
      <c r="J73" s="372">
        <v>30348.5</v>
      </c>
      <c r="K73" s="357">
        <v>30348.5</v>
      </c>
      <c r="L73" s="357">
        <v>0</v>
      </c>
    </row>
    <row r="74" spans="3:12" ht="15" customHeight="1" x14ac:dyDescent="0.3">
      <c r="C74" s="369" t="s">
        <v>4373</v>
      </c>
      <c r="D74" s="370" t="s">
        <v>370</v>
      </c>
      <c r="E74" s="421">
        <v>0</v>
      </c>
      <c r="F74" s="421">
        <v>36343.42</v>
      </c>
      <c r="G74" s="421">
        <v>36343.42</v>
      </c>
      <c r="H74" s="421">
        <v>0</v>
      </c>
      <c r="I74" s="371">
        <v>0</v>
      </c>
      <c r="J74" s="372">
        <v>36343.42</v>
      </c>
      <c r="K74" s="357">
        <v>36343.42</v>
      </c>
      <c r="L74" s="357">
        <v>0</v>
      </c>
    </row>
    <row r="75" spans="3:12" ht="15" customHeight="1" x14ac:dyDescent="0.3">
      <c r="C75" s="369" t="s">
        <v>4374</v>
      </c>
      <c r="D75" s="370" t="s">
        <v>372</v>
      </c>
      <c r="E75" s="421">
        <v>0</v>
      </c>
      <c r="F75" s="421">
        <v>64953</v>
      </c>
      <c r="G75" s="421">
        <v>64953</v>
      </c>
      <c r="H75" s="421">
        <v>0</v>
      </c>
      <c r="I75" s="371">
        <v>0</v>
      </c>
      <c r="J75" s="372">
        <v>64953</v>
      </c>
      <c r="K75" s="357">
        <v>64953</v>
      </c>
      <c r="L75" s="357">
        <v>0</v>
      </c>
    </row>
    <row r="76" spans="3:12" ht="15" customHeight="1" x14ac:dyDescent="0.3">
      <c r="C76" s="369" t="s">
        <v>4375</v>
      </c>
      <c r="D76" s="370" t="s">
        <v>374</v>
      </c>
      <c r="E76" s="421">
        <v>65565</v>
      </c>
      <c r="F76" s="421">
        <v>256935</v>
      </c>
      <c r="G76" s="421">
        <v>322500</v>
      </c>
      <c r="H76" s="421">
        <v>0</v>
      </c>
      <c r="I76" s="371">
        <v>65565</v>
      </c>
      <c r="J76" s="372">
        <v>256935</v>
      </c>
      <c r="K76" s="357">
        <v>322500</v>
      </c>
      <c r="L76" s="357">
        <v>0</v>
      </c>
    </row>
    <row r="77" spans="3:12" ht="15" customHeight="1" x14ac:dyDescent="0.3">
      <c r="C77" s="369" t="s">
        <v>4376</v>
      </c>
      <c r="D77" s="370" t="s">
        <v>376</v>
      </c>
      <c r="E77" s="421">
        <v>17369.55</v>
      </c>
      <c r="F77" s="421">
        <v>0</v>
      </c>
      <c r="G77" s="421">
        <v>10989.55</v>
      </c>
      <c r="H77" s="421">
        <v>6380</v>
      </c>
      <c r="I77" s="371">
        <v>17369.55</v>
      </c>
      <c r="J77" s="372">
        <v>0</v>
      </c>
      <c r="K77" s="357">
        <v>10989.55</v>
      </c>
      <c r="L77" s="357">
        <v>6380</v>
      </c>
    </row>
    <row r="78" spans="3:12" ht="15" customHeight="1" x14ac:dyDescent="0.3">
      <c r="C78" s="369" t="s">
        <v>4377</v>
      </c>
      <c r="D78" s="370" t="s">
        <v>381</v>
      </c>
      <c r="E78" s="421">
        <v>1342062</v>
      </c>
      <c r="F78" s="421">
        <v>2069831.5</v>
      </c>
      <c r="G78" s="421">
        <v>3411893.5</v>
      </c>
      <c r="H78" s="421">
        <v>0</v>
      </c>
      <c r="I78" s="371">
        <v>1342062</v>
      </c>
      <c r="J78" s="372">
        <v>2069831.5</v>
      </c>
      <c r="K78" s="357">
        <v>3411893.5</v>
      </c>
      <c r="L78" s="357">
        <v>0</v>
      </c>
    </row>
    <row r="79" spans="3:12" ht="15" customHeight="1" x14ac:dyDescent="0.3">
      <c r="C79" s="369" t="s">
        <v>4378</v>
      </c>
      <c r="D79" s="370" t="s">
        <v>384</v>
      </c>
      <c r="E79" s="421">
        <v>21472</v>
      </c>
      <c r="F79" s="421">
        <v>34897.82</v>
      </c>
      <c r="G79" s="421">
        <v>56369.82</v>
      </c>
      <c r="H79" s="421">
        <v>0</v>
      </c>
      <c r="I79" s="371">
        <v>21472</v>
      </c>
      <c r="J79" s="372">
        <v>34897.82</v>
      </c>
      <c r="K79" s="357">
        <v>56369.82</v>
      </c>
      <c r="L79" s="357">
        <v>0</v>
      </c>
    </row>
    <row r="80" spans="3:12" ht="15" customHeight="1" x14ac:dyDescent="0.3">
      <c r="C80" s="369" t="s">
        <v>4379</v>
      </c>
      <c r="D80" s="370" t="s">
        <v>388</v>
      </c>
      <c r="E80" s="421">
        <v>0</v>
      </c>
      <c r="F80" s="421">
        <v>7342.23</v>
      </c>
      <c r="G80" s="421">
        <v>7342.23</v>
      </c>
      <c r="H80" s="421">
        <v>0</v>
      </c>
      <c r="I80" s="371">
        <v>0</v>
      </c>
      <c r="J80" s="372">
        <v>7342.23</v>
      </c>
      <c r="K80" s="357">
        <v>7342.23</v>
      </c>
      <c r="L80" s="357">
        <v>0</v>
      </c>
    </row>
    <row r="81" spans="3:12" ht="15" customHeight="1" x14ac:dyDescent="0.3">
      <c r="C81" s="369" t="s">
        <v>4380</v>
      </c>
      <c r="D81" s="370" t="s">
        <v>3378</v>
      </c>
      <c r="E81" s="421">
        <v>0</v>
      </c>
      <c r="F81" s="421">
        <v>62500</v>
      </c>
      <c r="G81" s="421">
        <v>62500</v>
      </c>
      <c r="H81" s="421">
        <v>0</v>
      </c>
      <c r="I81" s="371">
        <v>0</v>
      </c>
      <c r="J81" s="372">
        <v>62500</v>
      </c>
      <c r="K81" s="357">
        <v>62500</v>
      </c>
      <c r="L81" s="357">
        <v>0</v>
      </c>
    </row>
    <row r="82" spans="3:12" ht="15" customHeight="1" x14ac:dyDescent="0.3">
      <c r="C82" s="369" t="s">
        <v>4381</v>
      </c>
      <c r="D82" s="370" t="s">
        <v>403</v>
      </c>
      <c r="E82" s="421">
        <v>0</v>
      </c>
      <c r="F82" s="421">
        <v>71300</v>
      </c>
      <c r="G82" s="421">
        <v>71300</v>
      </c>
      <c r="H82" s="421">
        <v>0</v>
      </c>
      <c r="I82" s="371">
        <v>0</v>
      </c>
      <c r="J82" s="372">
        <v>71300</v>
      </c>
      <c r="K82" s="357">
        <v>71300</v>
      </c>
      <c r="L82" s="357">
        <v>0</v>
      </c>
    </row>
    <row r="83" spans="3:12" ht="15" customHeight="1" x14ac:dyDescent="0.3">
      <c r="C83" s="369" t="s">
        <v>4382</v>
      </c>
      <c r="D83" s="370" t="s">
        <v>3379</v>
      </c>
      <c r="E83" s="421">
        <v>77500</v>
      </c>
      <c r="F83" s="421">
        <v>0</v>
      </c>
      <c r="G83" s="421">
        <v>0</v>
      </c>
      <c r="H83" s="421">
        <v>77500</v>
      </c>
      <c r="I83" s="371">
        <v>77500</v>
      </c>
      <c r="J83" s="372">
        <v>0</v>
      </c>
      <c r="K83" s="357">
        <v>0</v>
      </c>
      <c r="L83" s="357">
        <v>77500</v>
      </c>
    </row>
    <row r="84" spans="3:12" ht="15" customHeight="1" x14ac:dyDescent="0.3">
      <c r="C84" s="369" t="s">
        <v>4383</v>
      </c>
      <c r="D84" s="370" t="s">
        <v>3380</v>
      </c>
      <c r="E84" s="421">
        <v>6980</v>
      </c>
      <c r="F84" s="421">
        <v>0</v>
      </c>
      <c r="G84" s="421">
        <v>6980</v>
      </c>
      <c r="H84" s="421">
        <v>0</v>
      </c>
      <c r="I84" s="371">
        <v>6980</v>
      </c>
      <c r="J84" s="372">
        <v>0</v>
      </c>
      <c r="K84" s="357">
        <v>6980</v>
      </c>
      <c r="L84" s="357">
        <v>0</v>
      </c>
    </row>
    <row r="85" spans="3:12" ht="15" customHeight="1" x14ac:dyDescent="0.3">
      <c r="C85" s="369" t="s">
        <v>4384</v>
      </c>
      <c r="D85" s="370" t="s">
        <v>3381</v>
      </c>
      <c r="E85" s="421">
        <v>0</v>
      </c>
      <c r="F85" s="421">
        <v>259.10000000000002</v>
      </c>
      <c r="G85" s="421">
        <v>259.10000000000002</v>
      </c>
      <c r="H85" s="421">
        <v>0</v>
      </c>
      <c r="I85" s="371">
        <v>0</v>
      </c>
      <c r="J85" s="372">
        <v>259.10000000000002</v>
      </c>
      <c r="K85" s="357">
        <v>259.10000000000002</v>
      </c>
      <c r="L85" s="357">
        <v>0</v>
      </c>
    </row>
    <row r="86" spans="3:12" ht="15" customHeight="1" x14ac:dyDescent="0.3">
      <c r="C86" s="369" t="s">
        <v>4385</v>
      </c>
      <c r="D86" s="370" t="s">
        <v>3382</v>
      </c>
      <c r="E86" s="421">
        <v>0</v>
      </c>
      <c r="F86" s="421">
        <v>59000</v>
      </c>
      <c r="G86" s="421">
        <v>59000</v>
      </c>
      <c r="H86" s="421">
        <v>0</v>
      </c>
      <c r="I86" s="371">
        <v>0</v>
      </c>
      <c r="J86" s="372">
        <v>59000</v>
      </c>
      <c r="K86" s="357">
        <v>59000</v>
      </c>
      <c r="L86" s="357">
        <v>0</v>
      </c>
    </row>
    <row r="87" spans="3:12" ht="15" customHeight="1" x14ac:dyDescent="0.3">
      <c r="C87" s="369" t="s">
        <v>4386</v>
      </c>
      <c r="D87" s="370" t="s">
        <v>3383</v>
      </c>
      <c r="E87" s="421">
        <v>0</v>
      </c>
      <c r="F87" s="421">
        <v>29400</v>
      </c>
      <c r="G87" s="421">
        <v>29400</v>
      </c>
      <c r="H87" s="421">
        <v>0</v>
      </c>
      <c r="I87" s="371">
        <v>0</v>
      </c>
      <c r="J87" s="372">
        <v>29400</v>
      </c>
      <c r="K87" s="357">
        <v>29400</v>
      </c>
      <c r="L87" s="357">
        <v>0</v>
      </c>
    </row>
    <row r="88" spans="3:12" ht="15" customHeight="1" x14ac:dyDescent="0.3">
      <c r="C88" s="369" t="s">
        <v>4387</v>
      </c>
      <c r="D88" s="370" t="s">
        <v>3384</v>
      </c>
      <c r="E88" s="421">
        <v>0</v>
      </c>
      <c r="F88" s="421">
        <v>2853</v>
      </c>
      <c r="G88" s="421">
        <v>2853</v>
      </c>
      <c r="H88" s="421">
        <v>0</v>
      </c>
      <c r="I88" s="371">
        <v>0</v>
      </c>
      <c r="J88" s="372">
        <v>2853</v>
      </c>
      <c r="K88" s="357">
        <v>2853</v>
      </c>
      <c r="L88" s="357">
        <v>0</v>
      </c>
    </row>
    <row r="89" spans="3:12" ht="15" customHeight="1" x14ac:dyDescent="0.3">
      <c r="C89" s="369" t="s">
        <v>4388</v>
      </c>
      <c r="D89" s="370" t="s">
        <v>3385</v>
      </c>
      <c r="E89" s="421">
        <v>0</v>
      </c>
      <c r="F89" s="421">
        <v>30000</v>
      </c>
      <c r="G89" s="421">
        <v>30000</v>
      </c>
      <c r="H89" s="421">
        <v>0</v>
      </c>
      <c r="I89" s="371">
        <v>0</v>
      </c>
      <c r="J89" s="372">
        <v>30000</v>
      </c>
      <c r="K89" s="357">
        <v>30000</v>
      </c>
      <c r="L89" s="357">
        <v>0</v>
      </c>
    </row>
    <row r="90" spans="3:12" ht="15" customHeight="1" x14ac:dyDescent="0.3">
      <c r="C90" s="369" t="s">
        <v>4389</v>
      </c>
      <c r="D90" s="370" t="s">
        <v>3386</v>
      </c>
      <c r="E90" s="421">
        <v>0</v>
      </c>
      <c r="F90" s="421">
        <v>10950</v>
      </c>
      <c r="G90" s="421">
        <v>10950</v>
      </c>
      <c r="H90" s="421">
        <v>0</v>
      </c>
      <c r="I90" s="371">
        <v>0</v>
      </c>
      <c r="J90" s="372">
        <v>10950</v>
      </c>
      <c r="K90" s="357">
        <v>10950</v>
      </c>
      <c r="L90" s="357">
        <v>0</v>
      </c>
    </row>
    <row r="91" spans="3:12" ht="15" customHeight="1" x14ac:dyDescent="0.3">
      <c r="C91" s="369" t="s">
        <v>4390</v>
      </c>
      <c r="D91" s="370" t="s">
        <v>3387</v>
      </c>
      <c r="E91" s="421">
        <v>0</v>
      </c>
      <c r="F91" s="421">
        <v>27600</v>
      </c>
      <c r="G91" s="421">
        <v>27600</v>
      </c>
      <c r="H91" s="421">
        <v>0</v>
      </c>
      <c r="I91" s="371">
        <v>0</v>
      </c>
      <c r="J91" s="372">
        <v>27600</v>
      </c>
      <c r="K91" s="357">
        <v>27600</v>
      </c>
      <c r="L91" s="357">
        <v>0</v>
      </c>
    </row>
    <row r="92" spans="3:12" ht="15" customHeight="1" x14ac:dyDescent="0.3">
      <c r="C92" s="369" t="s">
        <v>4391</v>
      </c>
      <c r="D92" s="370" t="s">
        <v>3388</v>
      </c>
      <c r="E92" s="421">
        <v>0</v>
      </c>
      <c r="F92" s="421">
        <v>2220</v>
      </c>
      <c r="G92" s="421">
        <v>2220</v>
      </c>
      <c r="H92" s="421">
        <v>0</v>
      </c>
      <c r="I92" s="371">
        <v>0</v>
      </c>
      <c r="J92" s="372">
        <v>2220</v>
      </c>
      <c r="K92" s="357">
        <v>2220</v>
      </c>
      <c r="L92" s="357">
        <v>0</v>
      </c>
    </row>
    <row r="93" spans="3:12" ht="15" customHeight="1" x14ac:dyDescent="0.3">
      <c r="C93" s="369" t="s">
        <v>4392</v>
      </c>
      <c r="D93" s="370" t="s">
        <v>3389</v>
      </c>
      <c r="E93" s="421">
        <v>0</v>
      </c>
      <c r="F93" s="421">
        <v>3645</v>
      </c>
      <c r="G93" s="421">
        <v>3645</v>
      </c>
      <c r="H93" s="421">
        <v>0</v>
      </c>
      <c r="I93" s="371">
        <v>0</v>
      </c>
      <c r="J93" s="372">
        <v>3645</v>
      </c>
      <c r="K93" s="357">
        <v>3645</v>
      </c>
      <c r="L93" s="357">
        <v>0</v>
      </c>
    </row>
    <row r="94" spans="3:12" ht="15" customHeight="1" x14ac:dyDescent="0.3">
      <c r="C94" s="369" t="s">
        <v>4393</v>
      </c>
      <c r="D94" s="370" t="s">
        <v>3390</v>
      </c>
      <c r="E94" s="421">
        <v>0</v>
      </c>
      <c r="F94" s="421">
        <v>3717.9</v>
      </c>
      <c r="G94" s="421">
        <v>0</v>
      </c>
      <c r="H94" s="421">
        <v>3717.9</v>
      </c>
      <c r="I94" s="371">
        <v>0</v>
      </c>
      <c r="J94" s="372">
        <v>3717.9</v>
      </c>
      <c r="K94" s="357">
        <v>0</v>
      </c>
      <c r="L94" s="357">
        <v>3717.9</v>
      </c>
    </row>
    <row r="95" spans="3:12" ht="15" customHeight="1" x14ac:dyDescent="0.3">
      <c r="C95" s="365" t="s">
        <v>4394</v>
      </c>
      <c r="D95" s="366" t="s">
        <v>408</v>
      </c>
      <c r="E95" s="421">
        <v>275622.2</v>
      </c>
      <c r="F95" s="421">
        <v>0</v>
      </c>
      <c r="G95" s="421">
        <v>275622.2</v>
      </c>
      <c r="H95" s="421">
        <v>0</v>
      </c>
      <c r="I95" s="367">
        <v>275622.2</v>
      </c>
      <c r="J95" s="356">
        <v>0</v>
      </c>
      <c r="K95" s="356">
        <v>275622.2</v>
      </c>
      <c r="L95" s="356">
        <v>0</v>
      </c>
    </row>
    <row r="96" spans="3:12" ht="15" customHeight="1" x14ac:dyDescent="0.3">
      <c r="C96" s="369" t="s">
        <v>4395</v>
      </c>
      <c r="D96" s="370" t="s">
        <v>411</v>
      </c>
      <c r="E96" s="421">
        <v>275622.2</v>
      </c>
      <c r="F96" s="421">
        <v>0</v>
      </c>
      <c r="G96" s="421">
        <v>275622.2</v>
      </c>
      <c r="H96" s="421">
        <v>0</v>
      </c>
      <c r="I96" s="371">
        <v>275622.2</v>
      </c>
      <c r="J96" s="357">
        <v>0</v>
      </c>
      <c r="K96" s="357">
        <v>275622.2</v>
      </c>
      <c r="L96" s="357">
        <v>0</v>
      </c>
    </row>
    <row r="97" spans="3:14" ht="15" customHeight="1" x14ac:dyDescent="0.3">
      <c r="C97" s="310" t="s">
        <v>4396</v>
      </c>
      <c r="D97" s="311" t="s">
        <v>3391</v>
      </c>
      <c r="E97" s="421">
        <v>2432944.75</v>
      </c>
      <c r="F97" s="421">
        <v>8624781.9399999995</v>
      </c>
      <c r="G97" s="421">
        <v>1420374.02</v>
      </c>
      <c r="H97" s="421">
        <v>9637352.6699999999</v>
      </c>
      <c r="I97" s="312">
        <v>2432944.75</v>
      </c>
      <c r="J97" s="313">
        <v>8624781.9399999995</v>
      </c>
      <c r="K97" s="313">
        <v>1420374.02</v>
      </c>
      <c r="L97" s="313">
        <v>9637352.6699999999</v>
      </c>
    </row>
    <row r="98" spans="3:14" ht="15" customHeight="1" x14ac:dyDescent="0.35">
      <c r="C98" s="365" t="s">
        <v>4397</v>
      </c>
      <c r="D98" s="366" t="s">
        <v>3392</v>
      </c>
      <c r="E98" s="421">
        <v>100920.1</v>
      </c>
      <c r="F98" s="421">
        <v>1206475.6100000001</v>
      </c>
      <c r="G98" s="421">
        <v>1021786.03</v>
      </c>
      <c r="H98" s="421">
        <v>285609.68</v>
      </c>
      <c r="I98" s="367">
        <v>100920.1</v>
      </c>
      <c r="J98" s="356">
        <v>1206475.6100000001</v>
      </c>
      <c r="K98" s="356">
        <v>1021786.03</v>
      </c>
      <c r="L98" s="356">
        <v>285609.68</v>
      </c>
      <c r="M98" s="290" t="s">
        <v>3363</v>
      </c>
      <c r="N98" s="291">
        <v>7</v>
      </c>
    </row>
    <row r="99" spans="3:14" ht="15" customHeight="1" x14ac:dyDescent="0.3">
      <c r="C99" s="369" t="s">
        <v>4398</v>
      </c>
      <c r="D99" s="370" t="s">
        <v>436</v>
      </c>
      <c r="E99" s="421">
        <v>0</v>
      </c>
      <c r="F99" s="421">
        <v>377173.55</v>
      </c>
      <c r="G99" s="421">
        <v>377173.55</v>
      </c>
      <c r="H99" s="421">
        <v>0</v>
      </c>
      <c r="I99" s="371">
        <v>0</v>
      </c>
      <c r="J99" s="357">
        <v>377173.55</v>
      </c>
      <c r="K99" s="357">
        <v>377173.55</v>
      </c>
      <c r="L99" s="357">
        <v>0</v>
      </c>
    </row>
    <row r="100" spans="3:14" ht="15" customHeight="1" x14ac:dyDescent="0.3">
      <c r="C100" s="369" t="s">
        <v>4399</v>
      </c>
      <c r="D100" s="370" t="s">
        <v>438</v>
      </c>
      <c r="E100" s="421">
        <v>100920.1</v>
      </c>
      <c r="F100" s="421">
        <v>829302.06</v>
      </c>
      <c r="G100" s="421">
        <v>644612.48</v>
      </c>
      <c r="H100" s="421">
        <v>285609.68</v>
      </c>
      <c r="I100" s="371">
        <v>100920.1</v>
      </c>
      <c r="J100" s="357">
        <v>829302.06</v>
      </c>
      <c r="K100" s="357">
        <v>644612.48</v>
      </c>
      <c r="L100" s="357">
        <v>285609.68</v>
      </c>
    </row>
    <row r="101" spans="3:14" ht="15" customHeight="1" x14ac:dyDescent="0.35">
      <c r="C101" s="365" t="s">
        <v>4400</v>
      </c>
      <c r="D101" s="366" t="s">
        <v>3393</v>
      </c>
      <c r="E101" s="421">
        <v>2331952.69</v>
      </c>
      <c r="F101" s="421">
        <v>7418306.3300000001</v>
      </c>
      <c r="G101" s="421">
        <v>398587.99</v>
      </c>
      <c r="H101" s="421">
        <v>9351671.0299999993</v>
      </c>
      <c r="I101" s="367">
        <v>2331952.69</v>
      </c>
      <c r="J101" s="356">
        <v>7418306.3300000001</v>
      </c>
      <c r="K101" s="356">
        <v>398587.99</v>
      </c>
      <c r="L101" s="356">
        <v>9351671.0299999993</v>
      </c>
      <c r="M101" s="290"/>
      <c r="N101" s="291">
        <v>6</v>
      </c>
    </row>
    <row r="102" spans="3:14" ht="15" customHeight="1" x14ac:dyDescent="0.3">
      <c r="C102" s="369" t="s">
        <v>4401</v>
      </c>
      <c r="D102" s="370" t="s">
        <v>3394</v>
      </c>
      <c r="E102" s="421">
        <v>185.6</v>
      </c>
      <c r="F102" s="421">
        <v>0</v>
      </c>
      <c r="G102" s="421">
        <v>0</v>
      </c>
      <c r="H102" s="421">
        <v>185.6</v>
      </c>
      <c r="I102" s="371">
        <v>185.6</v>
      </c>
      <c r="J102" s="357">
        <v>0</v>
      </c>
      <c r="K102" s="357">
        <v>0</v>
      </c>
      <c r="L102" s="357">
        <v>185.6</v>
      </c>
    </row>
    <row r="103" spans="3:14" ht="15" customHeight="1" x14ac:dyDescent="0.3">
      <c r="C103" s="369" t="s">
        <v>4402</v>
      </c>
      <c r="D103" s="370" t="s">
        <v>445</v>
      </c>
      <c r="E103" s="421">
        <v>1796.65</v>
      </c>
      <c r="F103" s="421">
        <v>0</v>
      </c>
      <c r="G103" s="421">
        <v>0</v>
      </c>
      <c r="H103" s="421">
        <v>1796.65</v>
      </c>
      <c r="I103" s="371">
        <v>1796.65</v>
      </c>
      <c r="J103" s="357">
        <v>0</v>
      </c>
      <c r="K103" s="357">
        <v>0</v>
      </c>
      <c r="L103" s="357">
        <v>1796.65</v>
      </c>
    </row>
    <row r="104" spans="3:14" ht="15" customHeight="1" x14ac:dyDescent="0.3">
      <c r="C104" s="369" t="s">
        <v>4403</v>
      </c>
      <c r="D104" s="370" t="s">
        <v>449</v>
      </c>
      <c r="E104" s="421">
        <v>397399.05</v>
      </c>
      <c r="F104" s="421">
        <v>1188.94</v>
      </c>
      <c r="G104" s="421">
        <v>398587.99</v>
      </c>
      <c r="H104" s="421">
        <v>0</v>
      </c>
      <c r="I104" s="371">
        <v>397399.05</v>
      </c>
      <c r="J104" s="357">
        <v>1188.94</v>
      </c>
      <c r="K104" s="357">
        <v>398587.99</v>
      </c>
      <c r="L104" s="357">
        <v>0</v>
      </c>
    </row>
    <row r="105" spans="3:14" ht="15" customHeight="1" x14ac:dyDescent="0.3">
      <c r="C105" s="369" t="s">
        <v>4404</v>
      </c>
      <c r="D105" s="370" t="s">
        <v>453</v>
      </c>
      <c r="E105" s="421">
        <v>1587940.03</v>
      </c>
      <c r="F105" s="421">
        <v>6099640.7699999996</v>
      </c>
      <c r="G105" s="421">
        <v>0</v>
      </c>
      <c r="H105" s="421">
        <v>7687580.7999999998</v>
      </c>
      <c r="I105" s="371">
        <v>1587940.03</v>
      </c>
      <c r="J105" s="357">
        <v>6099640.7699999996</v>
      </c>
      <c r="K105" s="357">
        <v>0</v>
      </c>
      <c r="L105" s="357">
        <v>7687580.7999999998</v>
      </c>
    </row>
    <row r="106" spans="3:14" ht="15" customHeight="1" x14ac:dyDescent="0.3">
      <c r="C106" s="369" t="s">
        <v>4405</v>
      </c>
      <c r="D106" s="370" t="s">
        <v>457</v>
      </c>
      <c r="E106" s="421">
        <v>344566.26</v>
      </c>
      <c r="F106" s="421">
        <v>1317382.97</v>
      </c>
      <c r="G106" s="421">
        <v>0</v>
      </c>
      <c r="H106" s="421">
        <v>1661949.23</v>
      </c>
      <c r="I106" s="371">
        <v>344566.26</v>
      </c>
      <c r="J106" s="357">
        <v>1317382.97</v>
      </c>
      <c r="K106" s="357">
        <v>0</v>
      </c>
      <c r="L106" s="357">
        <v>1661949.23</v>
      </c>
    </row>
    <row r="107" spans="3:14" ht="15" customHeight="1" x14ac:dyDescent="0.3">
      <c r="C107" s="369" t="s">
        <v>4406</v>
      </c>
      <c r="D107" s="370" t="s">
        <v>467</v>
      </c>
      <c r="E107" s="421">
        <v>65.099999999999994</v>
      </c>
      <c r="F107" s="421">
        <v>0</v>
      </c>
      <c r="G107" s="421">
        <v>0</v>
      </c>
      <c r="H107" s="421">
        <v>65.099999999999994</v>
      </c>
      <c r="I107" s="371">
        <v>65.099999999999994</v>
      </c>
      <c r="J107" s="357">
        <v>0</v>
      </c>
      <c r="K107" s="357">
        <v>0</v>
      </c>
      <c r="L107" s="357">
        <v>65.099999999999994</v>
      </c>
    </row>
    <row r="108" spans="3:14" ht="15" customHeight="1" x14ac:dyDescent="0.3">
      <c r="C108" s="369" t="s">
        <v>4407</v>
      </c>
      <c r="D108" s="370" t="s">
        <v>3395</v>
      </c>
      <c r="E108" s="421">
        <v>0</v>
      </c>
      <c r="F108" s="421">
        <v>93.65</v>
      </c>
      <c r="G108" s="421">
        <v>0</v>
      </c>
      <c r="H108" s="421">
        <v>93.65</v>
      </c>
      <c r="I108" s="371">
        <v>0</v>
      </c>
      <c r="J108" s="357">
        <v>93.65</v>
      </c>
      <c r="K108" s="357">
        <v>0</v>
      </c>
      <c r="L108" s="357">
        <v>93.65</v>
      </c>
    </row>
    <row r="109" spans="3:14" ht="15" customHeight="1" x14ac:dyDescent="0.35">
      <c r="C109" s="365" t="s">
        <v>4408</v>
      </c>
      <c r="D109" s="366" t="s">
        <v>3396</v>
      </c>
      <c r="E109" s="421">
        <v>71.959999999999994</v>
      </c>
      <c r="F109" s="421">
        <v>0</v>
      </c>
      <c r="G109" s="421">
        <v>0</v>
      </c>
      <c r="H109" s="421">
        <v>71.959999999999994</v>
      </c>
      <c r="I109" s="367">
        <v>71.959999999999994</v>
      </c>
      <c r="J109" s="356">
        <v>0</v>
      </c>
      <c r="K109" s="356">
        <v>0</v>
      </c>
      <c r="L109" s="356">
        <v>71.959999999999994</v>
      </c>
      <c r="M109" s="290" t="s">
        <v>3363</v>
      </c>
      <c r="N109" s="291">
        <v>6</v>
      </c>
    </row>
    <row r="110" spans="3:14" ht="15" customHeight="1" x14ac:dyDescent="0.3">
      <c r="C110" s="369" t="s">
        <v>4409</v>
      </c>
      <c r="D110" s="370" t="s">
        <v>474</v>
      </c>
      <c r="E110" s="421">
        <v>32.44</v>
      </c>
      <c r="F110" s="421">
        <v>0</v>
      </c>
      <c r="G110" s="421">
        <v>0</v>
      </c>
      <c r="H110" s="421">
        <v>32.44</v>
      </c>
      <c r="I110" s="371">
        <v>32.44</v>
      </c>
      <c r="J110" s="357">
        <v>0</v>
      </c>
      <c r="K110" s="357">
        <v>0</v>
      </c>
      <c r="L110" s="357">
        <v>32.44</v>
      </c>
    </row>
    <row r="111" spans="3:14" ht="15" customHeight="1" x14ac:dyDescent="0.3">
      <c r="C111" s="369" t="s">
        <v>4410</v>
      </c>
      <c r="D111" s="370" t="s">
        <v>477</v>
      </c>
      <c r="E111" s="421">
        <v>30.14</v>
      </c>
      <c r="F111" s="421">
        <v>0</v>
      </c>
      <c r="G111" s="421">
        <v>0</v>
      </c>
      <c r="H111" s="421">
        <v>30.14</v>
      </c>
      <c r="I111" s="371">
        <v>30.14</v>
      </c>
      <c r="J111" s="357">
        <v>0</v>
      </c>
      <c r="K111" s="357">
        <v>0</v>
      </c>
      <c r="L111" s="357">
        <v>30.14</v>
      </c>
    </row>
    <row r="112" spans="3:14" ht="15" customHeight="1" x14ac:dyDescent="0.3">
      <c r="C112" s="369" t="s">
        <v>4411</v>
      </c>
      <c r="D112" s="370" t="s">
        <v>480</v>
      </c>
      <c r="E112" s="421">
        <v>9.3800000000000008</v>
      </c>
      <c r="F112" s="421">
        <v>0</v>
      </c>
      <c r="G112" s="421">
        <v>0</v>
      </c>
      <c r="H112" s="421">
        <v>9.3800000000000008</v>
      </c>
      <c r="I112" s="371">
        <v>9.3800000000000008</v>
      </c>
      <c r="J112" s="357">
        <v>0</v>
      </c>
      <c r="K112" s="357">
        <v>0</v>
      </c>
      <c r="L112" s="357">
        <v>9.3800000000000008</v>
      </c>
    </row>
    <row r="113" spans="3:14" ht="15" customHeight="1" x14ac:dyDescent="0.35">
      <c r="C113" s="365" t="s">
        <v>4412</v>
      </c>
      <c r="D113" s="366" t="s">
        <v>3397</v>
      </c>
      <c r="E113" s="421">
        <v>120930.33</v>
      </c>
      <c r="F113" s="421">
        <v>1740550.87</v>
      </c>
      <c r="G113" s="421">
        <v>1861481.2</v>
      </c>
      <c r="H113" s="421">
        <v>0</v>
      </c>
      <c r="I113" s="367">
        <v>120930.33</v>
      </c>
      <c r="J113" s="356">
        <v>1740550.87</v>
      </c>
      <c r="K113" s="356">
        <v>1861481.2</v>
      </c>
      <c r="L113" s="356">
        <v>0</v>
      </c>
      <c r="M113" s="290" t="s">
        <v>3363</v>
      </c>
      <c r="N113" s="291">
        <v>8</v>
      </c>
    </row>
    <row r="114" spans="3:14" ht="15" customHeight="1" x14ac:dyDescent="0.3">
      <c r="C114" s="365" t="s">
        <v>4413</v>
      </c>
      <c r="D114" s="366" t="s">
        <v>3398</v>
      </c>
      <c r="E114" s="421">
        <v>120930.33</v>
      </c>
      <c r="F114" s="421">
        <v>1740550.87</v>
      </c>
      <c r="G114" s="421">
        <v>1861481.2</v>
      </c>
      <c r="H114" s="421">
        <v>0</v>
      </c>
      <c r="I114" s="367">
        <v>120930.33</v>
      </c>
      <c r="J114" s="356">
        <v>1740550.87</v>
      </c>
      <c r="K114" s="356">
        <v>1861481.2</v>
      </c>
      <c r="L114" s="356">
        <v>0</v>
      </c>
    </row>
    <row r="115" spans="3:14" ht="15" customHeight="1" x14ac:dyDescent="0.3">
      <c r="C115" s="369" t="s">
        <v>4414</v>
      </c>
      <c r="D115" s="370" t="s">
        <v>3399</v>
      </c>
      <c r="E115" s="421">
        <v>0</v>
      </c>
      <c r="F115" s="421">
        <v>33192.33</v>
      </c>
      <c r="G115" s="421">
        <v>159058.18</v>
      </c>
      <c r="H115" s="421">
        <v>-125865.85</v>
      </c>
      <c r="I115" s="371">
        <v>0</v>
      </c>
      <c r="J115" s="357">
        <v>33192.33</v>
      </c>
      <c r="K115" s="357">
        <v>159058.18</v>
      </c>
      <c r="L115" s="357">
        <v>-125865.85</v>
      </c>
    </row>
    <row r="116" spans="3:14" ht="15" customHeight="1" x14ac:dyDescent="0.3">
      <c r="C116" s="369" t="s">
        <v>4415</v>
      </c>
      <c r="D116" s="370" t="s">
        <v>506</v>
      </c>
      <c r="E116" s="421">
        <v>-18391.52</v>
      </c>
      <c r="F116" s="421">
        <v>1701860.96</v>
      </c>
      <c r="G116" s="421">
        <v>1701860.96</v>
      </c>
      <c r="H116" s="421">
        <v>-18391.52</v>
      </c>
      <c r="I116" s="371">
        <v>-18391.52</v>
      </c>
      <c r="J116" s="357">
        <v>1701860.96</v>
      </c>
      <c r="K116" s="357">
        <v>1701860.96</v>
      </c>
      <c r="L116" s="357">
        <v>-18391.52</v>
      </c>
    </row>
    <row r="117" spans="3:14" ht="15" customHeight="1" x14ac:dyDescent="0.3">
      <c r="C117" s="369" t="s">
        <v>4416</v>
      </c>
      <c r="D117" s="370" t="s">
        <v>517</v>
      </c>
      <c r="E117" s="421">
        <v>98288.81</v>
      </c>
      <c r="F117" s="421">
        <v>0</v>
      </c>
      <c r="G117" s="421">
        <v>230.01</v>
      </c>
      <c r="H117" s="421">
        <v>98058.8</v>
      </c>
      <c r="I117" s="371">
        <v>98288.81</v>
      </c>
      <c r="J117" s="357">
        <v>0</v>
      </c>
      <c r="K117" s="357">
        <v>230.01</v>
      </c>
      <c r="L117" s="357">
        <v>98058.8</v>
      </c>
    </row>
    <row r="118" spans="3:14" ht="15" customHeight="1" x14ac:dyDescent="0.3">
      <c r="C118" s="369" t="s">
        <v>4417</v>
      </c>
      <c r="D118" s="370" t="s">
        <v>521</v>
      </c>
      <c r="E118" s="421">
        <v>37745.599999999999</v>
      </c>
      <c r="F118" s="421">
        <v>0</v>
      </c>
      <c r="G118" s="421">
        <v>119.04</v>
      </c>
      <c r="H118" s="421">
        <v>37626.559999999998</v>
      </c>
      <c r="I118" s="371">
        <v>37745.599999999999</v>
      </c>
      <c r="J118" s="357">
        <v>0</v>
      </c>
      <c r="K118" s="357">
        <v>119.04</v>
      </c>
      <c r="L118" s="357">
        <v>37626.559999999998</v>
      </c>
    </row>
    <row r="119" spans="3:14" ht="15" customHeight="1" x14ac:dyDescent="0.3">
      <c r="C119" s="369" t="s">
        <v>4418</v>
      </c>
      <c r="D119" s="370" t="s">
        <v>525</v>
      </c>
      <c r="E119" s="421">
        <v>3138.45</v>
      </c>
      <c r="F119" s="421">
        <v>0</v>
      </c>
      <c r="G119" s="421">
        <v>0</v>
      </c>
      <c r="H119" s="421">
        <v>3138.45</v>
      </c>
      <c r="I119" s="371">
        <v>3138.45</v>
      </c>
      <c r="J119" s="357">
        <v>0</v>
      </c>
      <c r="K119" s="357">
        <v>0</v>
      </c>
      <c r="L119" s="357">
        <v>3138.45</v>
      </c>
    </row>
    <row r="120" spans="3:14" ht="15" customHeight="1" x14ac:dyDescent="0.3">
      <c r="C120" s="369" t="s">
        <v>4419</v>
      </c>
      <c r="D120" s="370" t="s">
        <v>529</v>
      </c>
      <c r="E120" s="421">
        <v>148.99</v>
      </c>
      <c r="F120" s="421">
        <v>0</v>
      </c>
      <c r="G120" s="421">
        <v>0</v>
      </c>
      <c r="H120" s="421">
        <v>148.99</v>
      </c>
      <c r="I120" s="371">
        <v>148.99</v>
      </c>
      <c r="J120" s="357">
        <v>0</v>
      </c>
      <c r="K120" s="357">
        <v>0</v>
      </c>
      <c r="L120" s="357">
        <v>148.99</v>
      </c>
    </row>
    <row r="121" spans="3:14" ht="15" customHeight="1" x14ac:dyDescent="0.3">
      <c r="C121" s="369" t="s">
        <v>4420</v>
      </c>
      <c r="D121" s="370" t="s">
        <v>3400</v>
      </c>
      <c r="E121" s="421">
        <v>0</v>
      </c>
      <c r="F121" s="421">
        <v>5497.58</v>
      </c>
      <c r="G121" s="421">
        <v>213.01</v>
      </c>
      <c r="H121" s="421">
        <v>5284.57</v>
      </c>
      <c r="I121" s="371">
        <v>0</v>
      </c>
      <c r="J121" s="357">
        <v>5497.58</v>
      </c>
      <c r="K121" s="357">
        <v>213.01</v>
      </c>
      <c r="L121" s="357">
        <v>5284.57</v>
      </c>
    </row>
    <row r="122" spans="3:14" ht="15" customHeight="1" x14ac:dyDescent="0.35">
      <c r="C122" s="365" t="s">
        <v>4421</v>
      </c>
      <c r="D122" s="366" t="s">
        <v>3401</v>
      </c>
      <c r="E122" s="421">
        <v>16372.58</v>
      </c>
      <c r="F122" s="421">
        <v>0</v>
      </c>
      <c r="G122" s="421">
        <v>7447.58</v>
      </c>
      <c r="H122" s="421">
        <v>8925</v>
      </c>
      <c r="I122" s="367">
        <v>16372.58</v>
      </c>
      <c r="J122" s="356">
        <v>0</v>
      </c>
      <c r="K122" s="356">
        <v>7447.58</v>
      </c>
      <c r="L122" s="356">
        <v>8925</v>
      </c>
      <c r="M122" s="290" t="s">
        <v>3363</v>
      </c>
      <c r="N122" s="291">
        <v>8</v>
      </c>
    </row>
    <row r="123" spans="3:14" ht="15" customHeight="1" x14ac:dyDescent="0.3">
      <c r="C123" s="365" t="s">
        <v>4422</v>
      </c>
      <c r="D123" s="366" t="s">
        <v>3402</v>
      </c>
      <c r="E123" s="421">
        <v>16372.58</v>
      </c>
      <c r="F123" s="421">
        <v>0</v>
      </c>
      <c r="G123" s="421">
        <v>7447.58</v>
      </c>
      <c r="H123" s="421">
        <v>8925</v>
      </c>
      <c r="I123" s="367">
        <v>16372.58</v>
      </c>
      <c r="J123" s="356">
        <v>0</v>
      </c>
      <c r="K123" s="356">
        <v>7447.58</v>
      </c>
      <c r="L123" s="356">
        <v>8925</v>
      </c>
    </row>
    <row r="124" spans="3:14" ht="15" customHeight="1" x14ac:dyDescent="0.3">
      <c r="C124" s="369" t="s">
        <v>4423</v>
      </c>
      <c r="D124" s="370" t="s">
        <v>555</v>
      </c>
      <c r="E124" s="421">
        <v>10875</v>
      </c>
      <c r="F124" s="421">
        <v>0</v>
      </c>
      <c r="G124" s="421">
        <v>1950</v>
      </c>
      <c r="H124" s="421">
        <v>8925</v>
      </c>
      <c r="I124" s="371">
        <v>10875</v>
      </c>
      <c r="J124" s="357">
        <v>0</v>
      </c>
      <c r="K124" s="357">
        <v>1950</v>
      </c>
      <c r="L124" s="357">
        <v>8925</v>
      </c>
    </row>
    <row r="125" spans="3:14" ht="15" customHeight="1" x14ac:dyDescent="0.3">
      <c r="C125" s="369" t="s">
        <v>4424</v>
      </c>
      <c r="D125" s="370" t="s">
        <v>3403</v>
      </c>
      <c r="E125" s="421">
        <v>5497.58</v>
      </c>
      <c r="F125" s="421">
        <v>0</v>
      </c>
      <c r="G125" s="421">
        <v>5497.58</v>
      </c>
      <c r="H125" s="421">
        <v>0</v>
      </c>
      <c r="I125" s="371">
        <v>5497.58</v>
      </c>
      <c r="J125" s="357">
        <v>0</v>
      </c>
      <c r="K125" s="357">
        <v>5497.58</v>
      </c>
      <c r="L125" s="357">
        <v>0</v>
      </c>
    </row>
    <row r="126" spans="3:14" ht="15" customHeight="1" x14ac:dyDescent="0.35">
      <c r="C126" s="365" t="s">
        <v>4425</v>
      </c>
      <c r="D126" s="366" t="s">
        <v>3404</v>
      </c>
      <c r="E126" s="421">
        <v>349578.28</v>
      </c>
      <c r="F126" s="421">
        <v>13619.48</v>
      </c>
      <c r="G126" s="421">
        <v>0</v>
      </c>
      <c r="H126" s="421">
        <v>363197.76</v>
      </c>
      <c r="I126" s="367">
        <v>349578.28</v>
      </c>
      <c r="J126" s="356">
        <v>13619.48</v>
      </c>
      <c r="K126" s="356">
        <v>0</v>
      </c>
      <c r="L126" s="356">
        <v>363197.76</v>
      </c>
      <c r="M126" s="290"/>
      <c r="N126" s="291"/>
    </row>
    <row r="127" spans="3:14" ht="15" customHeight="1" x14ac:dyDescent="0.35">
      <c r="C127" s="365" t="s">
        <v>4426</v>
      </c>
      <c r="D127" s="366" t="s">
        <v>560</v>
      </c>
      <c r="E127" s="421">
        <v>349578.28</v>
      </c>
      <c r="F127" s="421">
        <v>13619.48</v>
      </c>
      <c r="G127" s="421">
        <v>0</v>
      </c>
      <c r="H127" s="421">
        <v>363197.76</v>
      </c>
      <c r="I127" s="367">
        <v>349578.28</v>
      </c>
      <c r="J127" s="356">
        <v>13619.48</v>
      </c>
      <c r="K127" s="356">
        <v>0</v>
      </c>
      <c r="L127" s="356">
        <v>363197.76</v>
      </c>
      <c r="M127" s="290" t="s">
        <v>3363</v>
      </c>
      <c r="N127" s="291">
        <v>8</v>
      </c>
    </row>
    <row r="128" spans="3:14" ht="15" customHeight="1" x14ac:dyDescent="0.3">
      <c r="C128" s="369" t="s">
        <v>4427</v>
      </c>
      <c r="D128" s="370" t="s">
        <v>3405</v>
      </c>
      <c r="E128" s="421">
        <v>364995.54</v>
      </c>
      <c r="F128" s="421">
        <v>0</v>
      </c>
      <c r="G128" s="421">
        <v>0</v>
      </c>
      <c r="H128" s="421">
        <v>364995.54</v>
      </c>
      <c r="I128" s="371">
        <v>364995.54</v>
      </c>
      <c r="J128" s="357">
        <v>0</v>
      </c>
      <c r="K128" s="357">
        <v>0</v>
      </c>
      <c r="L128" s="357">
        <v>364995.54</v>
      </c>
    </row>
    <row r="129" spans="3:14" ht="15" customHeight="1" x14ac:dyDescent="0.3">
      <c r="C129" s="369" t="s">
        <v>4428</v>
      </c>
      <c r="D129" s="370" t="s">
        <v>3406</v>
      </c>
      <c r="E129" s="421">
        <v>-15417.26</v>
      </c>
      <c r="F129" s="421">
        <v>13619.48</v>
      </c>
      <c r="G129" s="421">
        <v>0</v>
      </c>
      <c r="H129" s="421">
        <v>-1797.78</v>
      </c>
      <c r="I129" s="371">
        <v>-15417.26</v>
      </c>
      <c r="J129" s="357">
        <v>13619.48</v>
      </c>
      <c r="K129" s="357">
        <v>0</v>
      </c>
      <c r="L129" s="357">
        <v>-1797.78</v>
      </c>
    </row>
    <row r="130" spans="3:14" ht="15" customHeight="1" x14ac:dyDescent="0.35">
      <c r="C130" s="365" t="s">
        <v>4429</v>
      </c>
      <c r="D130" s="366" t="s">
        <v>3407</v>
      </c>
      <c r="E130" s="421">
        <v>9891466.0500000007</v>
      </c>
      <c r="F130" s="421">
        <v>3190445.69</v>
      </c>
      <c r="G130" s="421">
        <v>8719777.2200000007</v>
      </c>
      <c r="H130" s="421">
        <v>4362134.5199999996</v>
      </c>
      <c r="I130" s="367">
        <v>9891466.0500000007</v>
      </c>
      <c r="J130" s="356">
        <v>3190445.69</v>
      </c>
      <c r="K130" s="356">
        <v>8719777.2200000007</v>
      </c>
      <c r="L130" s="356">
        <v>4362134.5199999996</v>
      </c>
      <c r="M130" s="290" t="s">
        <v>3363</v>
      </c>
      <c r="N130" s="291">
        <v>8</v>
      </c>
    </row>
    <row r="131" spans="3:14" ht="15" customHeight="1" x14ac:dyDescent="0.3">
      <c r="C131" s="365" t="s">
        <v>4430</v>
      </c>
      <c r="D131" s="366" t="s">
        <v>3408</v>
      </c>
      <c r="E131" s="421">
        <v>9891466.0500000007</v>
      </c>
      <c r="F131" s="421">
        <v>3190445.69</v>
      </c>
      <c r="G131" s="421">
        <v>8719777.2200000007</v>
      </c>
      <c r="H131" s="421">
        <v>4362134.5199999996</v>
      </c>
      <c r="I131" s="367">
        <v>9891466.0500000007</v>
      </c>
      <c r="J131" s="356">
        <v>3190445.69</v>
      </c>
      <c r="K131" s="356">
        <v>8719777.2200000007</v>
      </c>
      <c r="L131" s="356">
        <v>4362134.5199999996</v>
      </c>
    </row>
    <row r="132" spans="3:14" ht="15" customHeight="1" x14ac:dyDescent="0.3">
      <c r="C132" s="369" t="s">
        <v>4431</v>
      </c>
      <c r="D132" s="370" t="s">
        <v>3409</v>
      </c>
      <c r="E132" s="421">
        <v>15037.61</v>
      </c>
      <c r="F132" s="421">
        <v>997.48</v>
      </c>
      <c r="G132" s="421">
        <v>1084.6400000000001</v>
      </c>
      <c r="H132" s="421">
        <v>14950.45</v>
      </c>
      <c r="I132" s="371">
        <v>15037.61</v>
      </c>
      <c r="J132" s="357">
        <v>997.48</v>
      </c>
      <c r="K132" s="357">
        <v>1084.6400000000001</v>
      </c>
      <c r="L132" s="357">
        <v>14950.45</v>
      </c>
    </row>
    <row r="133" spans="3:14" ht="15" customHeight="1" x14ac:dyDescent="0.3">
      <c r="C133" s="369" t="s">
        <v>4432</v>
      </c>
      <c r="D133" s="370" t="s">
        <v>3410</v>
      </c>
      <c r="E133" s="421">
        <v>8083.82</v>
      </c>
      <c r="F133" s="421">
        <v>1315.08</v>
      </c>
      <c r="G133" s="421">
        <v>6745.04</v>
      </c>
      <c r="H133" s="421">
        <v>2653.86</v>
      </c>
      <c r="I133" s="371">
        <v>8083.82</v>
      </c>
      <c r="J133" s="357">
        <v>1315.08</v>
      </c>
      <c r="K133" s="357">
        <v>6745.04</v>
      </c>
      <c r="L133" s="357">
        <v>2653.86</v>
      </c>
    </row>
    <row r="134" spans="3:14" ht="15" customHeight="1" x14ac:dyDescent="0.3">
      <c r="C134" s="369" t="s">
        <v>4433</v>
      </c>
      <c r="D134" s="370" t="s">
        <v>3411</v>
      </c>
      <c r="E134" s="421">
        <v>329.84</v>
      </c>
      <c r="F134" s="421">
        <v>0</v>
      </c>
      <c r="G134" s="421">
        <v>1.68</v>
      </c>
      <c r="H134" s="421">
        <v>328.16</v>
      </c>
      <c r="I134" s="371">
        <v>329.84</v>
      </c>
      <c r="J134" s="357">
        <v>0</v>
      </c>
      <c r="K134" s="357">
        <v>1.68</v>
      </c>
      <c r="L134" s="357">
        <v>328.16</v>
      </c>
    </row>
    <row r="135" spans="3:14" ht="15" customHeight="1" x14ac:dyDescent="0.3">
      <c r="C135" s="369" t="s">
        <v>4434</v>
      </c>
      <c r="D135" s="370" t="s">
        <v>3412</v>
      </c>
      <c r="E135" s="421">
        <v>384752.36</v>
      </c>
      <c r="F135" s="421">
        <v>12431.05</v>
      </c>
      <c r="G135" s="421">
        <v>277112.55</v>
      </c>
      <c r="H135" s="421">
        <v>120070.86</v>
      </c>
      <c r="I135" s="371">
        <v>384752.36</v>
      </c>
      <c r="J135" s="357">
        <v>12431.05</v>
      </c>
      <c r="K135" s="357">
        <v>277112.55</v>
      </c>
      <c r="L135" s="357">
        <v>120070.86</v>
      </c>
    </row>
    <row r="136" spans="3:14" ht="15" customHeight="1" x14ac:dyDescent="0.3">
      <c r="C136" s="369" t="s">
        <v>4435</v>
      </c>
      <c r="D136" s="370" t="s">
        <v>3413</v>
      </c>
      <c r="E136" s="421">
        <v>3090189.11</v>
      </c>
      <c r="F136" s="421">
        <v>2819807.25</v>
      </c>
      <c r="G136" s="421">
        <v>3462638.72</v>
      </c>
      <c r="H136" s="421">
        <v>2447357.64</v>
      </c>
      <c r="I136" s="371">
        <v>3090189.11</v>
      </c>
      <c r="J136" s="357">
        <v>2819807.25</v>
      </c>
      <c r="K136" s="357">
        <v>3462638.72</v>
      </c>
      <c r="L136" s="357">
        <v>2447357.64</v>
      </c>
    </row>
    <row r="137" spans="3:14" ht="15" customHeight="1" x14ac:dyDescent="0.3">
      <c r="C137" s="369" t="s">
        <v>4436</v>
      </c>
      <c r="D137" s="370" t="s">
        <v>3414</v>
      </c>
      <c r="E137" s="421">
        <v>1870632</v>
      </c>
      <c r="F137" s="421">
        <v>147322.1</v>
      </c>
      <c r="G137" s="421">
        <v>205066.1</v>
      </c>
      <c r="H137" s="421">
        <v>1812888</v>
      </c>
      <c r="I137" s="371">
        <v>1870632</v>
      </c>
      <c r="J137" s="357">
        <v>147322.1</v>
      </c>
      <c r="K137" s="357">
        <v>205066.1</v>
      </c>
      <c r="L137" s="357">
        <v>1812888</v>
      </c>
    </row>
    <row r="138" spans="3:14" ht="15" customHeight="1" x14ac:dyDescent="0.3">
      <c r="C138" s="369" t="s">
        <v>4437</v>
      </c>
      <c r="D138" s="370" t="s">
        <v>3415</v>
      </c>
      <c r="E138" s="421">
        <v>4522441.3099999996</v>
      </c>
      <c r="F138" s="421">
        <v>208572.73</v>
      </c>
      <c r="G138" s="421">
        <v>3015252.25</v>
      </c>
      <c r="H138" s="421">
        <v>1715761.79</v>
      </c>
      <c r="I138" s="371">
        <v>4522441.3099999996</v>
      </c>
      <c r="J138" s="357">
        <v>208572.73</v>
      </c>
      <c r="K138" s="357">
        <v>3015252.25</v>
      </c>
      <c r="L138" s="357">
        <v>1715761.79</v>
      </c>
    </row>
    <row r="139" spans="3:14" ht="15" customHeight="1" x14ac:dyDescent="0.3">
      <c r="C139" s="369" t="s">
        <v>4438</v>
      </c>
      <c r="D139" s="370" t="s">
        <v>3416</v>
      </c>
      <c r="E139" s="421">
        <v>0</v>
      </c>
      <c r="F139" s="421">
        <v>0</v>
      </c>
      <c r="G139" s="421">
        <v>1751876.24</v>
      </c>
      <c r="H139" s="421">
        <v>-1751876.24</v>
      </c>
      <c r="I139" s="371">
        <v>0</v>
      </c>
      <c r="J139" s="357">
        <v>0</v>
      </c>
      <c r="K139" s="357">
        <v>1751876.24</v>
      </c>
      <c r="L139" s="357">
        <v>-1751876.24</v>
      </c>
    </row>
    <row r="140" spans="3:14" ht="15" customHeight="1" x14ac:dyDescent="0.3">
      <c r="C140" s="365" t="s">
        <v>4439</v>
      </c>
      <c r="D140" s="366" t="s">
        <v>3417</v>
      </c>
      <c r="E140" s="421">
        <v>0</v>
      </c>
      <c r="F140" s="421">
        <v>5550</v>
      </c>
      <c r="G140" s="421">
        <v>5550</v>
      </c>
      <c r="H140" s="421">
        <v>0</v>
      </c>
      <c r="I140" s="367">
        <v>0</v>
      </c>
      <c r="J140" s="356">
        <v>5550</v>
      </c>
      <c r="K140" s="356">
        <v>5550</v>
      </c>
      <c r="L140" s="356">
        <v>0</v>
      </c>
    </row>
    <row r="141" spans="3:14" ht="15" customHeight="1" x14ac:dyDescent="0.3">
      <c r="C141" s="365" t="s">
        <v>4440</v>
      </c>
      <c r="D141" s="366" t="s">
        <v>3418</v>
      </c>
      <c r="E141" s="421">
        <v>0</v>
      </c>
      <c r="F141" s="421">
        <v>5550</v>
      </c>
      <c r="G141" s="421">
        <v>5550</v>
      </c>
      <c r="H141" s="421">
        <v>0</v>
      </c>
      <c r="I141" s="367">
        <v>0</v>
      </c>
      <c r="J141" s="356">
        <v>5550</v>
      </c>
      <c r="K141" s="356">
        <v>5550</v>
      </c>
      <c r="L141" s="356">
        <v>0</v>
      </c>
    </row>
    <row r="142" spans="3:14" ht="15" customHeight="1" x14ac:dyDescent="0.3">
      <c r="C142" s="369" t="s">
        <v>4441</v>
      </c>
      <c r="D142" s="370" t="s">
        <v>3419</v>
      </c>
      <c r="E142" s="421">
        <v>0</v>
      </c>
      <c r="F142" s="421">
        <v>5550</v>
      </c>
      <c r="G142" s="421">
        <v>5550</v>
      </c>
      <c r="H142" s="421">
        <v>0</v>
      </c>
      <c r="I142" s="371">
        <v>0</v>
      </c>
      <c r="J142" s="357">
        <v>5550</v>
      </c>
      <c r="K142" s="357">
        <v>5550</v>
      </c>
      <c r="L142" s="357">
        <v>0</v>
      </c>
    </row>
    <row r="143" spans="3:14" ht="15" customHeight="1" x14ac:dyDescent="0.3">
      <c r="C143" s="365" t="s">
        <v>4442</v>
      </c>
      <c r="D143" s="366" t="s">
        <v>3420</v>
      </c>
      <c r="E143" s="421">
        <v>1465155.6</v>
      </c>
      <c r="F143" s="421">
        <v>98265.79</v>
      </c>
      <c r="G143" s="421">
        <v>1457306.28</v>
      </c>
      <c r="H143" s="421">
        <v>106115.11</v>
      </c>
      <c r="I143" s="367">
        <v>1465155.6</v>
      </c>
      <c r="J143" s="356">
        <v>98265.79</v>
      </c>
      <c r="K143" s="356">
        <v>1457306.28</v>
      </c>
      <c r="L143" s="356">
        <v>106115.11</v>
      </c>
      <c r="M143" s="290" t="s">
        <v>3363</v>
      </c>
      <c r="N143" s="302">
        <v>8</v>
      </c>
    </row>
    <row r="144" spans="3:14" ht="15" customHeight="1" x14ac:dyDescent="0.3">
      <c r="C144" s="365" t="s">
        <v>4443</v>
      </c>
      <c r="D144" s="366" t="s">
        <v>3421</v>
      </c>
      <c r="E144" s="421">
        <v>1465155.6</v>
      </c>
      <c r="F144" s="421">
        <v>98265.79</v>
      </c>
      <c r="G144" s="421">
        <v>1457306.28</v>
      </c>
      <c r="H144" s="421">
        <v>106115.11</v>
      </c>
      <c r="I144" s="367">
        <v>1465155.6</v>
      </c>
      <c r="J144" s="356">
        <v>98265.79</v>
      </c>
      <c r="K144" s="356">
        <v>1457306.28</v>
      </c>
      <c r="L144" s="356">
        <v>106115.11</v>
      </c>
    </row>
    <row r="145" spans="3:16" ht="15" customHeight="1" x14ac:dyDescent="0.3">
      <c r="C145" s="369" t="s">
        <v>4444</v>
      </c>
      <c r="D145" s="370" t="s">
        <v>578</v>
      </c>
      <c r="E145" s="421">
        <v>97115.13</v>
      </c>
      <c r="F145" s="421">
        <v>98265.79</v>
      </c>
      <c r="G145" s="421">
        <v>89265.81</v>
      </c>
      <c r="H145" s="421">
        <v>106115.11</v>
      </c>
      <c r="I145" s="371">
        <v>97115.13</v>
      </c>
      <c r="J145" s="357">
        <v>98265.79</v>
      </c>
      <c r="K145" s="357">
        <v>89265.81</v>
      </c>
      <c r="L145" s="357">
        <v>106115.11</v>
      </c>
    </row>
    <row r="146" spans="3:16" ht="15" customHeight="1" x14ac:dyDescent="0.3">
      <c r="C146" s="369" t="s">
        <v>4445</v>
      </c>
      <c r="D146" s="370" t="s">
        <v>582</v>
      </c>
      <c r="E146" s="421">
        <v>1368040.47</v>
      </c>
      <c r="F146" s="421">
        <v>0</v>
      </c>
      <c r="G146" s="421">
        <v>1368040.47</v>
      </c>
      <c r="H146" s="421">
        <v>0</v>
      </c>
      <c r="I146" s="371">
        <v>1368040.47</v>
      </c>
      <c r="J146" s="357">
        <v>0</v>
      </c>
      <c r="K146" s="357">
        <v>1368040.47</v>
      </c>
      <c r="L146" s="357">
        <v>0</v>
      </c>
    </row>
    <row r="147" spans="3:16" ht="15" customHeight="1" x14ac:dyDescent="0.3">
      <c r="C147" s="365" t="s">
        <v>4446</v>
      </c>
      <c r="D147" s="366" t="s">
        <v>3422</v>
      </c>
      <c r="E147" s="421">
        <v>0</v>
      </c>
      <c r="F147" s="421">
        <v>1368040.47</v>
      </c>
      <c r="G147" s="421">
        <v>22.47</v>
      </c>
      <c r="H147" s="421">
        <v>1368018</v>
      </c>
      <c r="I147" s="367">
        <v>0</v>
      </c>
      <c r="J147" s="356">
        <v>1368040.47</v>
      </c>
      <c r="K147" s="356">
        <v>22.47</v>
      </c>
      <c r="L147" s="356">
        <v>1368018</v>
      </c>
      <c r="M147" s="290" t="s">
        <v>3363</v>
      </c>
      <c r="N147" s="302">
        <v>8</v>
      </c>
    </row>
    <row r="148" spans="3:16" ht="15" customHeight="1" x14ac:dyDescent="0.3">
      <c r="C148" s="365" t="s">
        <v>4447</v>
      </c>
      <c r="D148" s="366" t="s">
        <v>3423</v>
      </c>
      <c r="E148" s="421">
        <v>0</v>
      </c>
      <c r="F148" s="421">
        <v>1368040.47</v>
      </c>
      <c r="G148" s="421">
        <v>22.47</v>
      </c>
      <c r="H148" s="421">
        <v>1368018</v>
      </c>
      <c r="I148" s="367">
        <v>0</v>
      </c>
      <c r="J148" s="356">
        <v>1368040.47</v>
      </c>
      <c r="K148" s="356">
        <v>22.47</v>
      </c>
      <c r="L148" s="356">
        <v>1368018</v>
      </c>
    </row>
    <row r="149" spans="3:16" ht="15" customHeight="1" x14ac:dyDescent="0.3">
      <c r="C149" s="369" t="s">
        <v>4448</v>
      </c>
      <c r="D149" s="370" t="s">
        <v>3424</v>
      </c>
      <c r="E149" s="421">
        <v>0</v>
      </c>
      <c r="F149" s="421">
        <v>1368040.47</v>
      </c>
      <c r="G149" s="421">
        <v>22.47</v>
      </c>
      <c r="H149" s="421">
        <v>1368018</v>
      </c>
      <c r="I149" s="371">
        <v>0</v>
      </c>
      <c r="J149" s="357">
        <v>1368040.47</v>
      </c>
      <c r="K149" s="357">
        <v>22.47</v>
      </c>
      <c r="L149" s="357">
        <v>1368018</v>
      </c>
    </row>
    <row r="150" spans="3:16" ht="15" customHeight="1" x14ac:dyDescent="0.35">
      <c r="C150" s="365" t="s">
        <v>4449</v>
      </c>
      <c r="D150" s="366" t="s">
        <v>3425</v>
      </c>
      <c r="E150" s="421">
        <v>3574860.45</v>
      </c>
      <c r="F150" s="421">
        <v>1191899.8899999999</v>
      </c>
      <c r="G150" s="421">
        <v>4522725.1399999997</v>
      </c>
      <c r="H150" s="421">
        <v>244035.20000000001</v>
      </c>
      <c r="I150" s="367">
        <v>3574860.45</v>
      </c>
      <c r="J150" s="356">
        <v>1191899.8899999999</v>
      </c>
      <c r="K150" s="356">
        <v>4522725.1399999997</v>
      </c>
      <c r="L150" s="356">
        <v>244035.20000000001</v>
      </c>
      <c r="M150" s="290"/>
      <c r="N150" s="291"/>
    </row>
    <row r="151" spans="3:16" ht="15" customHeight="1" x14ac:dyDescent="0.35">
      <c r="C151" s="365" t="s">
        <v>4450</v>
      </c>
      <c r="D151" s="366" t="s">
        <v>3426</v>
      </c>
      <c r="E151" s="421">
        <v>3574860.45</v>
      </c>
      <c r="F151" s="421">
        <v>1191899.8899999999</v>
      </c>
      <c r="G151" s="421">
        <v>4522725.1399999997</v>
      </c>
      <c r="H151" s="421">
        <v>244035.20000000001</v>
      </c>
      <c r="I151" s="367">
        <v>3574860.45</v>
      </c>
      <c r="J151" s="356">
        <v>1191899.8899999999</v>
      </c>
      <c r="K151" s="356">
        <v>4522725.1399999997</v>
      </c>
      <c r="L151" s="356">
        <v>244035.20000000001</v>
      </c>
      <c r="M151" s="290" t="s">
        <v>3363</v>
      </c>
      <c r="N151" s="291">
        <v>9</v>
      </c>
    </row>
    <row r="152" spans="3:16" ht="15" customHeight="1" x14ac:dyDescent="0.3">
      <c r="C152" s="369" t="s">
        <v>4451</v>
      </c>
      <c r="D152" s="370" t="s">
        <v>592</v>
      </c>
      <c r="E152" s="421">
        <v>3573981.13</v>
      </c>
      <c r="F152" s="421">
        <v>1188428.44</v>
      </c>
      <c r="G152" s="421">
        <v>4518374.37</v>
      </c>
      <c r="H152" s="421">
        <v>244035.20000000001</v>
      </c>
      <c r="I152" s="371">
        <v>3573981.13</v>
      </c>
      <c r="J152" s="357">
        <v>1188428.44</v>
      </c>
      <c r="K152" s="357">
        <v>4518374.37</v>
      </c>
      <c r="L152" s="357">
        <v>244035.20000000001</v>
      </c>
    </row>
    <row r="153" spans="3:16" ht="15" customHeight="1" x14ac:dyDescent="0.3">
      <c r="C153" s="369" t="s">
        <v>4452</v>
      </c>
      <c r="D153" s="370" t="s">
        <v>3427</v>
      </c>
      <c r="E153" s="421">
        <v>879.32</v>
      </c>
      <c r="F153" s="421">
        <v>3471.45</v>
      </c>
      <c r="G153" s="421">
        <v>4350.7700000000004</v>
      </c>
      <c r="H153" s="421">
        <v>0</v>
      </c>
      <c r="I153" s="371">
        <v>879.32</v>
      </c>
      <c r="J153" s="357">
        <v>3471.45</v>
      </c>
      <c r="K153" s="357">
        <v>4350.7700000000004</v>
      </c>
      <c r="L153" s="357">
        <v>0</v>
      </c>
    </row>
    <row r="154" spans="3:16" ht="15" customHeight="1" x14ac:dyDescent="0.3">
      <c r="C154" s="310" t="s">
        <v>4453</v>
      </c>
      <c r="D154" s="311" t="s">
        <v>3428</v>
      </c>
      <c r="E154" s="421">
        <v>35886327.490000002</v>
      </c>
      <c r="F154" s="421">
        <v>13100896.77</v>
      </c>
      <c r="G154" s="421">
        <v>12518439.720000001</v>
      </c>
      <c r="H154" s="421">
        <v>36468784.539999999</v>
      </c>
      <c r="I154" s="312">
        <v>35886327.490000002</v>
      </c>
      <c r="J154" s="313">
        <v>13100896.77</v>
      </c>
      <c r="K154" s="313">
        <v>12518439.720000001</v>
      </c>
      <c r="L154" s="313">
        <v>36468784.539999999</v>
      </c>
    </row>
    <row r="155" spans="3:16" ht="15" customHeight="1" x14ac:dyDescent="0.35">
      <c r="C155" s="365" t="s">
        <v>4454</v>
      </c>
      <c r="D155" s="366" t="s">
        <v>3429</v>
      </c>
      <c r="E155" s="421">
        <v>7496348.6299999999</v>
      </c>
      <c r="F155" s="421">
        <v>8822699.0500000007</v>
      </c>
      <c r="G155" s="421">
        <v>6522274.2199999997</v>
      </c>
      <c r="H155" s="421">
        <v>9796773.4600000009</v>
      </c>
      <c r="I155" s="367">
        <v>7496348.6299999999</v>
      </c>
      <c r="J155" s="356">
        <v>8822699.0500000007</v>
      </c>
      <c r="K155" s="356">
        <v>6522274.2199999997</v>
      </c>
      <c r="L155" s="356">
        <v>9796773.4600000009</v>
      </c>
      <c r="M155" s="290" t="s">
        <v>3363</v>
      </c>
      <c r="N155" s="291">
        <v>10</v>
      </c>
      <c r="P155" s="355">
        <f>'BALANCETE 2023'!$L$155-'BALANCETE 2023'!L164-'BALANCETE 2023'!L162-'BALANCETE 2023'!L160</f>
        <v>9787910.0600000005</v>
      </c>
    </row>
    <row r="156" spans="3:16" ht="15" customHeight="1" x14ac:dyDescent="0.3">
      <c r="C156" s="365" t="s">
        <v>4455</v>
      </c>
      <c r="D156" s="366" t="s">
        <v>602</v>
      </c>
      <c r="E156" s="421">
        <v>8468.24</v>
      </c>
      <c r="F156" s="421">
        <v>583957.26</v>
      </c>
      <c r="G156" s="421">
        <v>0</v>
      </c>
      <c r="H156" s="421">
        <v>592425.5</v>
      </c>
      <c r="I156" s="367">
        <v>8468.24</v>
      </c>
      <c r="J156" s="356">
        <v>583957.26</v>
      </c>
      <c r="K156" s="356">
        <v>0</v>
      </c>
      <c r="L156" s="356">
        <v>592425.5</v>
      </c>
    </row>
    <row r="157" spans="3:16" ht="15" customHeight="1" x14ac:dyDescent="0.3">
      <c r="C157" s="369" t="s">
        <v>4456</v>
      </c>
      <c r="D157" s="370" t="s">
        <v>3430</v>
      </c>
      <c r="E157" s="421">
        <v>530.16</v>
      </c>
      <c r="F157" s="421">
        <v>14744.64</v>
      </c>
      <c r="G157" s="421">
        <v>0</v>
      </c>
      <c r="H157" s="421">
        <v>15274.8</v>
      </c>
      <c r="I157" s="371">
        <v>530.16</v>
      </c>
      <c r="J157" s="357">
        <v>14744.64</v>
      </c>
      <c r="K157" s="357">
        <v>0</v>
      </c>
      <c r="L157" s="357">
        <v>15274.8</v>
      </c>
    </row>
    <row r="158" spans="3:16" ht="15" customHeight="1" x14ac:dyDescent="0.3">
      <c r="C158" s="369" t="s">
        <v>4457</v>
      </c>
      <c r="D158" s="370" t="s">
        <v>3431</v>
      </c>
      <c r="E158" s="421">
        <v>4088.75</v>
      </c>
      <c r="F158" s="421">
        <v>0</v>
      </c>
      <c r="G158" s="421">
        <v>0</v>
      </c>
      <c r="H158" s="421">
        <v>4088.75</v>
      </c>
      <c r="I158" s="371">
        <v>4088.75</v>
      </c>
      <c r="J158" s="357">
        <v>0</v>
      </c>
      <c r="K158" s="357">
        <v>0</v>
      </c>
      <c r="L158" s="357">
        <v>4088.75</v>
      </c>
    </row>
    <row r="159" spans="3:16" ht="15" customHeight="1" x14ac:dyDescent="0.3">
      <c r="C159" s="369" t="s">
        <v>4458</v>
      </c>
      <c r="D159" s="370" t="s">
        <v>3432</v>
      </c>
      <c r="E159" s="421">
        <v>0</v>
      </c>
      <c r="F159" s="421">
        <v>2725.44</v>
      </c>
      <c r="G159" s="421">
        <v>0</v>
      </c>
      <c r="H159" s="421">
        <v>2725.44</v>
      </c>
      <c r="I159" s="371">
        <v>0</v>
      </c>
      <c r="J159" s="357">
        <v>2725.44</v>
      </c>
      <c r="K159" s="357">
        <v>0</v>
      </c>
      <c r="L159" s="357">
        <v>2725.44</v>
      </c>
    </row>
    <row r="160" spans="3:16" ht="15" customHeight="1" x14ac:dyDescent="0.3">
      <c r="C160" s="369" t="s">
        <v>4459</v>
      </c>
      <c r="D160" s="370" t="s">
        <v>3433</v>
      </c>
      <c r="E160" s="421">
        <v>62.89</v>
      </c>
      <c r="F160" s="421">
        <v>5014.07</v>
      </c>
      <c r="G160" s="421">
        <v>0</v>
      </c>
      <c r="H160" s="421">
        <v>5076.96</v>
      </c>
      <c r="I160" s="371">
        <v>62.89</v>
      </c>
      <c r="J160" s="357">
        <v>5014.07</v>
      </c>
      <c r="K160" s="357">
        <v>0</v>
      </c>
      <c r="L160" s="439">
        <v>5076.96</v>
      </c>
    </row>
    <row r="161" spans="3:14" ht="15" customHeight="1" x14ac:dyDescent="0.3">
      <c r="C161" s="369" t="s">
        <v>4460</v>
      </c>
      <c r="D161" s="370" t="s">
        <v>3434</v>
      </c>
      <c r="E161" s="421">
        <v>0</v>
      </c>
      <c r="F161" s="421">
        <v>552024</v>
      </c>
      <c r="G161" s="421">
        <v>0</v>
      </c>
      <c r="H161" s="421">
        <v>552024</v>
      </c>
      <c r="I161" s="371">
        <v>0</v>
      </c>
      <c r="J161" s="357">
        <v>552024</v>
      </c>
      <c r="K161" s="357">
        <v>0</v>
      </c>
      <c r="L161" s="357">
        <v>552024</v>
      </c>
    </row>
    <row r="162" spans="3:14" ht="15" customHeight="1" x14ac:dyDescent="0.3">
      <c r="C162" s="369" t="s">
        <v>4461</v>
      </c>
      <c r="D162" s="370" t="s">
        <v>3435</v>
      </c>
      <c r="E162" s="421">
        <v>2720</v>
      </c>
      <c r="F162" s="421">
        <v>0</v>
      </c>
      <c r="G162" s="421">
        <v>0</v>
      </c>
      <c r="H162" s="421">
        <v>2720</v>
      </c>
      <c r="I162" s="371">
        <v>2720</v>
      </c>
      <c r="J162" s="357">
        <v>0</v>
      </c>
      <c r="K162" s="357">
        <v>0</v>
      </c>
      <c r="L162" s="439">
        <v>2720</v>
      </c>
    </row>
    <row r="163" spans="3:14" ht="15" customHeight="1" x14ac:dyDescent="0.3">
      <c r="C163" s="369" t="s">
        <v>4951</v>
      </c>
      <c r="D163" s="370" t="s">
        <v>3847</v>
      </c>
      <c r="E163" s="421"/>
      <c r="F163" s="421"/>
      <c r="G163" s="421"/>
      <c r="H163" s="421"/>
      <c r="I163" s="371">
        <v>0</v>
      </c>
      <c r="J163" s="357">
        <v>9449.11</v>
      </c>
      <c r="K163" s="357">
        <v>0</v>
      </c>
      <c r="L163" s="357">
        <v>9449.11</v>
      </c>
    </row>
    <row r="164" spans="3:14" ht="15" customHeight="1" x14ac:dyDescent="0.3">
      <c r="C164" s="369" t="s">
        <v>4462</v>
      </c>
      <c r="D164" s="370" t="s">
        <v>3436</v>
      </c>
      <c r="E164" s="421">
        <v>1066.44</v>
      </c>
      <c r="F164" s="421">
        <v>0</v>
      </c>
      <c r="G164" s="421">
        <v>0</v>
      </c>
      <c r="H164" s="421">
        <v>1066.44</v>
      </c>
      <c r="I164" s="371">
        <v>1066.44</v>
      </c>
      <c r="J164" s="357">
        <v>0</v>
      </c>
      <c r="K164" s="357">
        <v>0</v>
      </c>
      <c r="L164" s="439">
        <v>1066.44</v>
      </c>
    </row>
    <row r="165" spans="3:14" ht="15" customHeight="1" x14ac:dyDescent="0.3">
      <c r="C165" s="365" t="s">
        <v>4463</v>
      </c>
      <c r="D165" s="366" t="s">
        <v>3437</v>
      </c>
      <c r="E165" s="421">
        <v>7487880.3899999997</v>
      </c>
      <c r="F165" s="421">
        <v>8238741.79</v>
      </c>
      <c r="G165" s="421">
        <v>6522274.2199999997</v>
      </c>
      <c r="H165" s="421">
        <v>9204347.9600000009</v>
      </c>
      <c r="I165" s="367">
        <v>7487880.3899999997</v>
      </c>
      <c r="J165" s="356">
        <v>8238741.79</v>
      </c>
      <c r="K165" s="356">
        <v>6522274.2199999997</v>
      </c>
      <c r="L165" s="356">
        <v>9204347.9600000009</v>
      </c>
      <c r="M165" s="434"/>
    </row>
    <row r="166" spans="3:14" ht="15" customHeight="1" x14ac:dyDescent="0.3">
      <c r="C166" s="369" t="s">
        <v>4464</v>
      </c>
      <c r="D166" s="370" t="s">
        <v>616</v>
      </c>
      <c r="E166" s="421">
        <v>5436758.8700000001</v>
      </c>
      <c r="F166" s="421">
        <v>447.58</v>
      </c>
      <c r="G166" s="421">
        <v>5437206.4500000002</v>
      </c>
      <c r="H166" s="421">
        <v>0</v>
      </c>
      <c r="I166" s="371">
        <v>5436758.8700000001</v>
      </c>
      <c r="J166" s="357">
        <v>447.58</v>
      </c>
      <c r="K166" s="357">
        <v>5437206.4500000002</v>
      </c>
      <c r="L166" s="357">
        <v>0</v>
      </c>
    </row>
    <row r="167" spans="3:14" ht="15" customHeight="1" x14ac:dyDescent="0.3">
      <c r="C167" s="369" t="s">
        <v>4465</v>
      </c>
      <c r="D167" s="370" t="s">
        <v>620</v>
      </c>
      <c r="E167" s="421">
        <v>2051121.52</v>
      </c>
      <c r="F167" s="421">
        <v>8238294.21</v>
      </c>
      <c r="G167" s="421">
        <v>1085067.77</v>
      </c>
      <c r="H167" s="421">
        <v>9204347.9600000009</v>
      </c>
      <c r="I167" s="371">
        <v>2051121.52</v>
      </c>
      <c r="J167" s="357">
        <v>8238294.21</v>
      </c>
      <c r="K167" s="357">
        <v>1085067.77</v>
      </c>
      <c r="L167" s="357">
        <v>9204347.9600000009</v>
      </c>
    </row>
    <row r="168" spans="3:14" ht="15" customHeight="1" x14ac:dyDescent="0.35">
      <c r="C168" s="365" t="s">
        <v>4466</v>
      </c>
      <c r="D168" s="366" t="s">
        <v>3438</v>
      </c>
      <c r="E168" s="421">
        <v>48785.07</v>
      </c>
      <c r="F168" s="421">
        <v>0</v>
      </c>
      <c r="G168" s="421">
        <v>450.01</v>
      </c>
      <c r="H168" s="421">
        <v>48335.06</v>
      </c>
      <c r="I168" s="367">
        <v>48785.07</v>
      </c>
      <c r="J168" s="356">
        <v>0</v>
      </c>
      <c r="K168" s="356">
        <v>450.01</v>
      </c>
      <c r="L168" s="438">
        <v>48335.06</v>
      </c>
      <c r="M168" s="290" t="s">
        <v>3363</v>
      </c>
      <c r="N168" s="291" t="s">
        <v>627</v>
      </c>
    </row>
    <row r="169" spans="3:14" ht="15" customHeight="1" x14ac:dyDescent="0.3">
      <c r="C169" s="365" t="s">
        <v>4467</v>
      </c>
      <c r="D169" s="366" t="s">
        <v>3439</v>
      </c>
      <c r="E169" s="421">
        <v>450.01</v>
      </c>
      <c r="F169" s="421">
        <v>0</v>
      </c>
      <c r="G169" s="421">
        <v>450.01</v>
      </c>
      <c r="H169" s="421">
        <v>0</v>
      </c>
      <c r="I169" s="367">
        <v>450.01</v>
      </c>
      <c r="J169" s="356">
        <v>0</v>
      </c>
      <c r="K169" s="356">
        <v>450.01</v>
      </c>
      <c r="L169" s="356">
        <v>0</v>
      </c>
    </row>
    <row r="170" spans="3:14" ht="15" customHeight="1" x14ac:dyDescent="0.3">
      <c r="C170" s="369" t="s">
        <v>4468</v>
      </c>
      <c r="D170" s="370" t="s">
        <v>635</v>
      </c>
      <c r="E170" s="421">
        <v>450.01</v>
      </c>
      <c r="F170" s="421">
        <v>0</v>
      </c>
      <c r="G170" s="421">
        <v>450.01</v>
      </c>
      <c r="H170" s="421">
        <v>0</v>
      </c>
      <c r="I170" s="371">
        <v>450.01</v>
      </c>
      <c r="J170" s="357">
        <v>0</v>
      </c>
      <c r="K170" s="357">
        <v>450.01</v>
      </c>
      <c r="L170" s="357">
        <v>0</v>
      </c>
    </row>
    <row r="171" spans="3:14" ht="15" customHeight="1" x14ac:dyDescent="0.3">
      <c r="C171" s="365" t="s">
        <v>4469</v>
      </c>
      <c r="D171" s="366" t="s">
        <v>3440</v>
      </c>
      <c r="E171" s="421">
        <v>48335.06</v>
      </c>
      <c r="F171" s="421">
        <v>0</v>
      </c>
      <c r="G171" s="421">
        <v>0</v>
      </c>
      <c r="H171" s="421">
        <v>48335.06</v>
      </c>
      <c r="I171" s="367">
        <v>48335.06</v>
      </c>
      <c r="J171" s="356">
        <v>0</v>
      </c>
      <c r="K171" s="356">
        <v>0</v>
      </c>
      <c r="L171" s="356">
        <v>48335.06</v>
      </c>
    </row>
    <row r="172" spans="3:14" ht="15" customHeight="1" x14ac:dyDescent="0.3">
      <c r="C172" s="369" t="s">
        <v>4470</v>
      </c>
      <c r="D172" s="370" t="s">
        <v>654</v>
      </c>
      <c r="E172" s="421">
        <v>3864.04</v>
      </c>
      <c r="F172" s="421">
        <v>0</v>
      </c>
      <c r="G172" s="421">
        <v>0</v>
      </c>
      <c r="H172" s="421">
        <v>3864.04</v>
      </c>
      <c r="I172" s="371">
        <v>3864.04</v>
      </c>
      <c r="J172" s="357">
        <v>0</v>
      </c>
      <c r="K172" s="357">
        <v>0</v>
      </c>
      <c r="L172" s="357">
        <v>3864.04</v>
      </c>
    </row>
    <row r="173" spans="3:14" ht="15" customHeight="1" x14ac:dyDescent="0.3">
      <c r="C173" s="369" t="s">
        <v>4471</v>
      </c>
      <c r="D173" s="370" t="s">
        <v>657</v>
      </c>
      <c r="E173" s="421">
        <v>2355.9899999999998</v>
      </c>
      <c r="F173" s="421">
        <v>0</v>
      </c>
      <c r="G173" s="421">
        <v>0</v>
      </c>
      <c r="H173" s="421">
        <v>2355.9899999999998</v>
      </c>
      <c r="I173" s="371">
        <v>2355.9899999999998</v>
      </c>
      <c r="J173" s="357">
        <v>0</v>
      </c>
      <c r="K173" s="357">
        <v>0</v>
      </c>
      <c r="L173" s="357">
        <v>2355.9899999999998</v>
      </c>
    </row>
    <row r="174" spans="3:14" ht="15" customHeight="1" x14ac:dyDescent="0.3">
      <c r="C174" s="369" t="s">
        <v>4472</v>
      </c>
      <c r="D174" s="370" t="s">
        <v>660</v>
      </c>
      <c r="E174" s="421">
        <v>4391.76</v>
      </c>
      <c r="F174" s="421">
        <v>0</v>
      </c>
      <c r="G174" s="421">
        <v>0</v>
      </c>
      <c r="H174" s="421">
        <v>4391.76</v>
      </c>
      <c r="I174" s="371">
        <v>4391.76</v>
      </c>
      <c r="J174" s="357">
        <v>0</v>
      </c>
      <c r="K174" s="357">
        <v>0</v>
      </c>
      <c r="L174" s="357">
        <v>4391.76</v>
      </c>
    </row>
    <row r="175" spans="3:14" ht="15" customHeight="1" x14ac:dyDescent="0.3">
      <c r="C175" s="369" t="s">
        <v>4473</v>
      </c>
      <c r="D175" s="370" t="s">
        <v>3441</v>
      </c>
      <c r="E175" s="421">
        <v>2725.64</v>
      </c>
      <c r="F175" s="421">
        <v>0</v>
      </c>
      <c r="G175" s="421">
        <v>0</v>
      </c>
      <c r="H175" s="421">
        <v>2725.64</v>
      </c>
      <c r="I175" s="371">
        <v>2725.64</v>
      </c>
      <c r="J175" s="357">
        <v>0</v>
      </c>
      <c r="K175" s="357">
        <v>0</v>
      </c>
      <c r="L175" s="357">
        <v>2725.64</v>
      </c>
    </row>
    <row r="176" spans="3:14" ht="15" customHeight="1" x14ac:dyDescent="0.3">
      <c r="C176" s="369" t="s">
        <v>4474</v>
      </c>
      <c r="D176" s="370" t="s">
        <v>3442</v>
      </c>
      <c r="E176" s="421">
        <v>34997.629999999997</v>
      </c>
      <c r="F176" s="421">
        <v>0</v>
      </c>
      <c r="G176" s="421">
        <v>0</v>
      </c>
      <c r="H176" s="421">
        <v>34997.629999999997</v>
      </c>
      <c r="I176" s="371">
        <v>34997.629999999997</v>
      </c>
      <c r="J176" s="357">
        <v>0</v>
      </c>
      <c r="K176" s="357">
        <v>0</v>
      </c>
      <c r="L176" s="357">
        <v>34997.629999999997</v>
      </c>
    </row>
    <row r="177" spans="3:15" ht="15" customHeight="1" x14ac:dyDescent="0.3">
      <c r="C177" s="365" t="s">
        <v>4475</v>
      </c>
      <c r="D177" s="366" t="s">
        <v>3443</v>
      </c>
      <c r="E177" s="421">
        <v>0</v>
      </c>
      <c r="F177" s="421">
        <v>405828.62</v>
      </c>
      <c r="G177" s="421">
        <v>146758.44</v>
      </c>
      <c r="H177" s="421">
        <v>259070.18</v>
      </c>
      <c r="I177" s="367">
        <v>0</v>
      </c>
      <c r="J177" s="356">
        <v>405828.62</v>
      </c>
      <c r="K177" s="356">
        <v>146758.44</v>
      </c>
      <c r="L177" s="356">
        <v>259070.18</v>
      </c>
      <c r="N177" s="303" t="s">
        <v>3444</v>
      </c>
    </row>
    <row r="178" spans="3:15" ht="15" customHeight="1" x14ac:dyDescent="0.3">
      <c r="C178" s="365" t="s">
        <v>4476</v>
      </c>
      <c r="D178" s="366" t="s">
        <v>3445</v>
      </c>
      <c r="E178" s="421">
        <v>0</v>
      </c>
      <c r="F178" s="421">
        <v>405828.62</v>
      </c>
      <c r="G178" s="421">
        <v>146758.44</v>
      </c>
      <c r="H178" s="421">
        <v>259070.18</v>
      </c>
      <c r="I178" s="367">
        <v>0</v>
      </c>
      <c r="J178" s="356">
        <v>405828.62</v>
      </c>
      <c r="K178" s="356">
        <v>146758.44</v>
      </c>
      <c r="L178" s="356">
        <v>259070.18</v>
      </c>
    </row>
    <row r="179" spans="3:15" ht="15" customHeight="1" x14ac:dyDescent="0.3">
      <c r="C179" s="369" t="s">
        <v>4477</v>
      </c>
      <c r="D179" s="370" t="s">
        <v>3446</v>
      </c>
      <c r="E179" s="421">
        <v>0</v>
      </c>
      <c r="F179" s="421">
        <v>405828.62</v>
      </c>
      <c r="G179" s="421">
        <v>146758.44</v>
      </c>
      <c r="H179" s="421">
        <v>259070.18</v>
      </c>
      <c r="I179" s="371">
        <v>0</v>
      </c>
      <c r="J179" s="357">
        <v>405828.62</v>
      </c>
      <c r="K179" s="357">
        <v>146758.44</v>
      </c>
      <c r="L179" s="357">
        <v>259070.18</v>
      </c>
    </row>
    <row r="180" spans="3:15" ht="15" customHeight="1" x14ac:dyDescent="0.35">
      <c r="C180" s="365" t="s">
        <v>4478</v>
      </c>
      <c r="D180" s="366" t="s">
        <v>3447</v>
      </c>
      <c r="E180" s="421">
        <v>28341193.789999999</v>
      </c>
      <c r="F180" s="421">
        <v>3872369.1</v>
      </c>
      <c r="G180" s="421">
        <v>5848957.0499999998</v>
      </c>
      <c r="H180" s="421">
        <v>26364605.84</v>
      </c>
      <c r="I180" s="367">
        <v>28341193.789999999</v>
      </c>
      <c r="J180" s="356">
        <v>3872369.1</v>
      </c>
      <c r="K180" s="356">
        <v>5848957.0499999998</v>
      </c>
      <c r="L180" s="356">
        <v>26364605.84</v>
      </c>
      <c r="M180" s="290" t="s">
        <v>3363</v>
      </c>
      <c r="N180" s="291">
        <v>11</v>
      </c>
      <c r="O180" s="355"/>
    </row>
    <row r="181" spans="3:15" ht="15" customHeight="1" x14ac:dyDescent="0.3">
      <c r="C181" s="365" t="s">
        <v>4479</v>
      </c>
      <c r="D181" s="366" t="s">
        <v>666</v>
      </c>
      <c r="E181" s="421">
        <v>31320759.48</v>
      </c>
      <c r="F181" s="421">
        <v>1616777.63</v>
      </c>
      <c r="G181" s="421">
        <v>2013077.37</v>
      </c>
      <c r="H181" s="421">
        <v>30924459.739999998</v>
      </c>
      <c r="I181" s="367">
        <v>31320759.48</v>
      </c>
      <c r="J181" s="356">
        <v>1616777.63</v>
      </c>
      <c r="K181" s="356">
        <v>2013077.37</v>
      </c>
      <c r="L181" s="356">
        <v>30924459.739999998</v>
      </c>
    </row>
    <row r="182" spans="3:15" ht="15" customHeight="1" x14ac:dyDescent="0.3">
      <c r="C182" s="369" t="s">
        <v>4480</v>
      </c>
      <c r="D182" s="370" t="s">
        <v>670</v>
      </c>
      <c r="E182" s="421">
        <v>12378857.800000001</v>
      </c>
      <c r="F182" s="421">
        <v>0</v>
      </c>
      <c r="G182" s="421">
        <v>0</v>
      </c>
      <c r="H182" s="421">
        <v>12378857.800000001</v>
      </c>
      <c r="I182" s="371">
        <v>12378857.800000001</v>
      </c>
      <c r="J182" s="357">
        <v>0</v>
      </c>
      <c r="K182" s="357">
        <v>0</v>
      </c>
      <c r="L182" s="357">
        <v>12378857.800000001</v>
      </c>
    </row>
    <row r="183" spans="3:15" ht="15" customHeight="1" x14ac:dyDescent="0.3">
      <c r="C183" s="369" t="s">
        <v>4481</v>
      </c>
      <c r="D183" s="370" t="s">
        <v>673</v>
      </c>
      <c r="E183" s="421">
        <v>7392054.1699999999</v>
      </c>
      <c r="F183" s="421">
        <v>0</v>
      </c>
      <c r="G183" s="421">
        <v>0</v>
      </c>
      <c r="H183" s="421">
        <v>7392054.1699999999</v>
      </c>
      <c r="I183" s="371">
        <v>7392054.1699999999</v>
      </c>
      <c r="J183" s="357">
        <v>0</v>
      </c>
      <c r="K183" s="357">
        <v>0</v>
      </c>
      <c r="L183" s="357">
        <v>7392054.1699999999</v>
      </c>
    </row>
    <row r="184" spans="3:15" ht="15" customHeight="1" x14ac:dyDescent="0.3">
      <c r="C184" s="369" t="s">
        <v>4482</v>
      </c>
      <c r="D184" s="370" t="s">
        <v>677</v>
      </c>
      <c r="E184" s="421">
        <v>928657.5</v>
      </c>
      <c r="F184" s="421">
        <v>0</v>
      </c>
      <c r="G184" s="421">
        <v>0</v>
      </c>
      <c r="H184" s="421">
        <v>928657.5</v>
      </c>
      <c r="I184" s="371">
        <v>928657.5</v>
      </c>
      <c r="J184" s="357">
        <v>0</v>
      </c>
      <c r="K184" s="357">
        <v>0</v>
      </c>
      <c r="L184" s="357">
        <v>928657.5</v>
      </c>
    </row>
    <row r="185" spans="3:15" ht="15" customHeight="1" x14ac:dyDescent="0.3">
      <c r="C185" s="369" t="s">
        <v>4483</v>
      </c>
      <c r="D185" s="370" t="s">
        <v>681</v>
      </c>
      <c r="E185" s="421">
        <v>265176.57</v>
      </c>
      <c r="F185" s="421">
        <v>0</v>
      </c>
      <c r="G185" s="421">
        <v>0</v>
      </c>
      <c r="H185" s="421">
        <v>265176.57</v>
      </c>
      <c r="I185" s="371">
        <v>265176.57</v>
      </c>
      <c r="J185" s="357">
        <v>0</v>
      </c>
      <c r="K185" s="357">
        <v>0</v>
      </c>
      <c r="L185" s="357">
        <v>265176.57</v>
      </c>
    </row>
    <row r="186" spans="3:15" ht="15" customHeight="1" x14ac:dyDescent="0.3">
      <c r="C186" s="369" t="s">
        <v>4484</v>
      </c>
      <c r="D186" s="370" t="s">
        <v>685</v>
      </c>
      <c r="E186" s="421">
        <v>275206.83</v>
      </c>
      <c r="F186" s="421">
        <v>0</v>
      </c>
      <c r="G186" s="421">
        <v>0</v>
      </c>
      <c r="H186" s="421">
        <v>275206.83</v>
      </c>
      <c r="I186" s="371">
        <v>275206.83</v>
      </c>
      <c r="J186" s="357">
        <v>0</v>
      </c>
      <c r="K186" s="357">
        <v>0</v>
      </c>
      <c r="L186" s="357">
        <v>275206.83</v>
      </c>
    </row>
    <row r="187" spans="3:15" ht="15" customHeight="1" x14ac:dyDescent="0.3">
      <c r="C187" s="369" t="s">
        <v>4485</v>
      </c>
      <c r="D187" s="370" t="s">
        <v>689</v>
      </c>
      <c r="E187" s="421">
        <v>320071.48</v>
      </c>
      <c r="F187" s="421">
        <v>0</v>
      </c>
      <c r="G187" s="421">
        <v>0</v>
      </c>
      <c r="H187" s="421">
        <v>320071.48</v>
      </c>
      <c r="I187" s="371">
        <v>320071.48</v>
      </c>
      <c r="J187" s="357">
        <v>0</v>
      </c>
      <c r="K187" s="357">
        <v>0</v>
      </c>
      <c r="L187" s="357">
        <v>320071.48</v>
      </c>
    </row>
    <row r="188" spans="3:15" ht="15" customHeight="1" x14ac:dyDescent="0.3">
      <c r="C188" s="369" t="s">
        <v>4486</v>
      </c>
      <c r="D188" s="370" t="s">
        <v>693</v>
      </c>
      <c r="E188" s="421">
        <v>12550576.34</v>
      </c>
      <c r="F188" s="421">
        <v>1616777.63</v>
      </c>
      <c r="G188" s="421">
        <v>0</v>
      </c>
      <c r="H188" s="421">
        <v>14167353.970000001</v>
      </c>
      <c r="I188" s="371">
        <v>12550576.34</v>
      </c>
      <c r="J188" s="357">
        <v>1616777.63</v>
      </c>
      <c r="K188" s="357">
        <v>0</v>
      </c>
      <c r="L188" s="357">
        <v>14167353.970000001</v>
      </c>
    </row>
    <row r="189" spans="3:15" ht="15" customHeight="1" x14ac:dyDescent="0.3">
      <c r="C189" s="369" t="s">
        <v>4487</v>
      </c>
      <c r="D189" s="370" t="s">
        <v>696</v>
      </c>
      <c r="E189" s="421">
        <v>243582.4</v>
      </c>
      <c r="F189" s="421">
        <v>0</v>
      </c>
      <c r="G189" s="421">
        <v>0</v>
      </c>
      <c r="H189" s="421">
        <v>243582.4</v>
      </c>
      <c r="I189" s="371">
        <v>243582.4</v>
      </c>
      <c r="J189" s="357">
        <v>0</v>
      </c>
      <c r="K189" s="357">
        <v>0</v>
      </c>
      <c r="L189" s="357">
        <v>243582.4</v>
      </c>
    </row>
    <row r="190" spans="3:15" ht="15" customHeight="1" x14ac:dyDescent="0.3">
      <c r="C190" s="369" t="s">
        <v>4488</v>
      </c>
      <c r="D190" s="370" t="s">
        <v>700</v>
      </c>
      <c r="E190" s="421">
        <v>1598750</v>
      </c>
      <c r="F190" s="421">
        <v>0</v>
      </c>
      <c r="G190" s="421">
        <v>0</v>
      </c>
      <c r="H190" s="421">
        <v>1598750</v>
      </c>
      <c r="I190" s="371">
        <v>1598750</v>
      </c>
      <c r="J190" s="357">
        <v>0</v>
      </c>
      <c r="K190" s="357">
        <v>0</v>
      </c>
      <c r="L190" s="357">
        <v>1598750</v>
      </c>
    </row>
    <row r="191" spans="3:15" ht="15" customHeight="1" x14ac:dyDescent="0.3">
      <c r="C191" s="369" t="s">
        <v>4489</v>
      </c>
      <c r="D191" s="370" t="s">
        <v>704</v>
      </c>
      <c r="E191" s="421">
        <v>889821.57</v>
      </c>
      <c r="F191" s="421">
        <v>0</v>
      </c>
      <c r="G191" s="421">
        <v>0</v>
      </c>
      <c r="H191" s="421">
        <v>889821.57</v>
      </c>
      <c r="I191" s="371">
        <v>889821.57</v>
      </c>
      <c r="J191" s="357">
        <v>0</v>
      </c>
      <c r="K191" s="357">
        <v>0</v>
      </c>
      <c r="L191" s="357">
        <v>889821.57</v>
      </c>
    </row>
    <row r="192" spans="3:15" ht="15" customHeight="1" x14ac:dyDescent="0.3">
      <c r="C192" s="369" t="s">
        <v>4490</v>
      </c>
      <c r="D192" s="370" t="s">
        <v>3448</v>
      </c>
      <c r="E192" s="421">
        <v>494205</v>
      </c>
      <c r="F192" s="421">
        <v>0</v>
      </c>
      <c r="G192" s="421">
        <v>0</v>
      </c>
      <c r="H192" s="421">
        <v>494205</v>
      </c>
      <c r="I192" s="371">
        <v>494205</v>
      </c>
      <c r="J192" s="357">
        <v>0</v>
      </c>
      <c r="K192" s="357">
        <v>0</v>
      </c>
      <c r="L192" s="357">
        <v>494205</v>
      </c>
    </row>
    <row r="193" spans="3:13" ht="15" customHeight="1" x14ac:dyDescent="0.3">
      <c r="C193" s="369" t="s">
        <v>4491</v>
      </c>
      <c r="D193" s="370" t="s">
        <v>3449</v>
      </c>
      <c r="E193" s="421">
        <v>-6016200.1799999997</v>
      </c>
      <c r="F193" s="421">
        <v>0</v>
      </c>
      <c r="G193" s="421">
        <v>2013077.37</v>
      </c>
      <c r="H193" s="421">
        <v>-8029277.5499999998</v>
      </c>
      <c r="I193" s="371">
        <v>-6016200.1799999997</v>
      </c>
      <c r="J193" s="357">
        <v>0</v>
      </c>
      <c r="K193" s="357">
        <v>2013077.37</v>
      </c>
      <c r="L193" s="357">
        <v>-8029277.5499999998</v>
      </c>
    </row>
    <row r="194" spans="3:13" ht="15" customHeight="1" x14ac:dyDescent="0.3">
      <c r="C194" s="365" t="s">
        <v>4492</v>
      </c>
      <c r="D194" s="366" t="s">
        <v>3450</v>
      </c>
      <c r="E194" s="421">
        <v>20901731.469999999</v>
      </c>
      <c r="F194" s="421">
        <v>359866.92</v>
      </c>
      <c r="G194" s="421">
        <v>1794726.01</v>
      </c>
      <c r="H194" s="421">
        <v>19466872.379999999</v>
      </c>
      <c r="I194" s="367">
        <v>20901731.469999999</v>
      </c>
      <c r="J194" s="356">
        <v>359866.92</v>
      </c>
      <c r="K194" s="356">
        <v>1794726.01</v>
      </c>
      <c r="L194" s="356">
        <v>19466872.379999999</v>
      </c>
      <c r="M194" s="440"/>
    </row>
    <row r="195" spans="3:13" ht="15" customHeight="1" x14ac:dyDescent="0.3">
      <c r="C195" s="369" t="s">
        <v>4493</v>
      </c>
      <c r="D195" s="370" t="s">
        <v>738</v>
      </c>
      <c r="E195" s="421">
        <v>14084602.359999999</v>
      </c>
      <c r="F195" s="421">
        <v>344076.32</v>
      </c>
      <c r="G195" s="421">
        <v>688152.64</v>
      </c>
      <c r="H195" s="421">
        <v>13740526.039999999</v>
      </c>
      <c r="I195" s="371">
        <v>14084602.359999999</v>
      </c>
      <c r="J195" s="357">
        <v>344076.32</v>
      </c>
      <c r="K195" s="357">
        <v>688152.64</v>
      </c>
      <c r="L195" s="357">
        <v>13740526.039999999</v>
      </c>
    </row>
    <row r="196" spans="3:13" ht="15" customHeight="1" x14ac:dyDescent="0.3">
      <c r="C196" s="369" t="s">
        <v>4494</v>
      </c>
      <c r="D196" s="370" t="s">
        <v>742</v>
      </c>
      <c r="E196" s="421">
        <v>5813175.4400000004</v>
      </c>
      <c r="F196" s="421">
        <v>0</v>
      </c>
      <c r="G196" s="421">
        <v>0</v>
      </c>
      <c r="H196" s="421">
        <v>5813175.4400000004</v>
      </c>
      <c r="I196" s="371">
        <v>5813175.4400000004</v>
      </c>
      <c r="J196" s="357">
        <v>0</v>
      </c>
      <c r="K196" s="357">
        <v>0</v>
      </c>
      <c r="L196" s="357">
        <v>5813175.4400000004</v>
      </c>
    </row>
    <row r="197" spans="3:13" ht="15" customHeight="1" x14ac:dyDescent="0.3">
      <c r="C197" s="369" t="s">
        <v>4495</v>
      </c>
      <c r="D197" s="370" t="s">
        <v>745</v>
      </c>
      <c r="E197" s="421">
        <v>718728.13</v>
      </c>
      <c r="F197" s="421">
        <v>1810</v>
      </c>
      <c r="G197" s="421">
        <v>3620</v>
      </c>
      <c r="H197" s="421">
        <v>716918.13</v>
      </c>
      <c r="I197" s="371">
        <v>718728.13</v>
      </c>
      <c r="J197" s="357">
        <v>1810</v>
      </c>
      <c r="K197" s="357">
        <v>3620</v>
      </c>
      <c r="L197" s="357">
        <v>716918.13</v>
      </c>
    </row>
    <row r="198" spans="3:13" ht="15" customHeight="1" x14ac:dyDescent="0.3">
      <c r="C198" s="369" t="s">
        <v>4496</v>
      </c>
      <c r="D198" s="370" t="s">
        <v>748</v>
      </c>
      <c r="E198" s="421">
        <v>8050</v>
      </c>
      <c r="F198" s="421">
        <v>200</v>
      </c>
      <c r="G198" s="421">
        <v>400</v>
      </c>
      <c r="H198" s="421">
        <v>7850</v>
      </c>
      <c r="I198" s="371">
        <v>8050</v>
      </c>
      <c r="J198" s="357">
        <v>200</v>
      </c>
      <c r="K198" s="357">
        <v>400</v>
      </c>
      <c r="L198" s="357">
        <v>7850</v>
      </c>
    </row>
    <row r="199" spans="3:13" ht="15" customHeight="1" x14ac:dyDescent="0.3">
      <c r="C199" s="369" t="s">
        <v>4497</v>
      </c>
      <c r="D199" s="370" t="s">
        <v>751</v>
      </c>
      <c r="E199" s="421">
        <v>259784.67</v>
      </c>
      <c r="F199" s="421">
        <v>11630.6</v>
      </c>
      <c r="G199" s="421">
        <v>23261.200000000001</v>
      </c>
      <c r="H199" s="421">
        <v>248154.07</v>
      </c>
      <c r="I199" s="371">
        <v>259784.67</v>
      </c>
      <c r="J199" s="357">
        <v>11630.6</v>
      </c>
      <c r="K199" s="357">
        <v>23261.200000000001</v>
      </c>
      <c r="L199" s="357">
        <v>248154.07</v>
      </c>
    </row>
    <row r="200" spans="3:13" ht="15" customHeight="1" x14ac:dyDescent="0.3">
      <c r="C200" s="369" t="s">
        <v>4498</v>
      </c>
      <c r="D200" s="370" t="s">
        <v>754</v>
      </c>
      <c r="E200" s="421">
        <v>2282.4899999999998</v>
      </c>
      <c r="F200" s="421">
        <v>0</v>
      </c>
      <c r="G200" s="421">
        <v>0</v>
      </c>
      <c r="H200" s="421">
        <v>2282.4899999999998</v>
      </c>
      <c r="I200" s="371">
        <v>2282.4899999999998</v>
      </c>
      <c r="J200" s="357">
        <v>0</v>
      </c>
      <c r="K200" s="357">
        <v>0</v>
      </c>
      <c r="L200" s="357">
        <v>2282.4899999999998</v>
      </c>
    </row>
    <row r="201" spans="3:13" ht="15" customHeight="1" x14ac:dyDescent="0.3">
      <c r="C201" s="369" t="s">
        <v>4499</v>
      </c>
      <c r="D201" s="370" t="s">
        <v>757</v>
      </c>
      <c r="E201" s="421">
        <v>15108.38</v>
      </c>
      <c r="F201" s="421">
        <v>0</v>
      </c>
      <c r="G201" s="421">
        <v>0</v>
      </c>
      <c r="H201" s="421">
        <v>15108.38</v>
      </c>
      <c r="I201" s="371">
        <v>15108.38</v>
      </c>
      <c r="J201" s="357">
        <v>0</v>
      </c>
      <c r="K201" s="357">
        <v>0</v>
      </c>
      <c r="L201" s="357">
        <v>15108.38</v>
      </c>
    </row>
    <row r="202" spans="3:13" ht="15" customHeight="1" x14ac:dyDescent="0.3">
      <c r="C202" s="369" t="s">
        <v>4500</v>
      </c>
      <c r="D202" s="370" t="s">
        <v>3451</v>
      </c>
      <c r="E202" s="421">
        <v>0</v>
      </c>
      <c r="F202" s="421">
        <v>2150</v>
      </c>
      <c r="G202" s="421">
        <v>0</v>
      </c>
      <c r="H202" s="421">
        <v>2150</v>
      </c>
      <c r="I202" s="371">
        <v>0</v>
      </c>
      <c r="J202" s="357">
        <v>2150</v>
      </c>
      <c r="K202" s="357">
        <v>0</v>
      </c>
      <c r="L202" s="357">
        <v>2150</v>
      </c>
    </row>
    <row r="203" spans="3:13" ht="15" customHeight="1" x14ac:dyDescent="0.3">
      <c r="C203" s="369" t="s">
        <v>4501</v>
      </c>
      <c r="D203" s="370" t="s">
        <v>3452</v>
      </c>
      <c r="E203" s="421">
        <v>0</v>
      </c>
      <c r="F203" s="421">
        <v>0</v>
      </c>
      <c r="G203" s="421">
        <v>1079292.17</v>
      </c>
      <c r="H203" s="421">
        <v>-1079292.17</v>
      </c>
      <c r="I203" s="371">
        <v>0</v>
      </c>
      <c r="J203" s="357">
        <v>0</v>
      </c>
      <c r="K203" s="357">
        <v>1079292.17</v>
      </c>
      <c r="L203" s="357">
        <v>-1079292.17</v>
      </c>
    </row>
    <row r="204" spans="3:13" ht="15" customHeight="1" x14ac:dyDescent="0.3">
      <c r="C204" s="365" t="s">
        <v>4502</v>
      </c>
      <c r="D204" s="366" t="s">
        <v>3453</v>
      </c>
      <c r="E204" s="421">
        <v>687191.35</v>
      </c>
      <c r="F204" s="421">
        <v>36300.239999999998</v>
      </c>
      <c r="G204" s="421">
        <v>491500.32</v>
      </c>
      <c r="H204" s="421">
        <v>231991.27</v>
      </c>
      <c r="I204" s="367">
        <v>687191.35</v>
      </c>
      <c r="J204" s="356">
        <v>36300.239999999998</v>
      </c>
      <c r="K204" s="356">
        <v>491500.32</v>
      </c>
      <c r="L204" s="356">
        <v>231991.27</v>
      </c>
      <c r="M204" s="440"/>
    </row>
    <row r="205" spans="3:13" ht="15" customHeight="1" x14ac:dyDescent="0.3">
      <c r="C205" s="369" t="s">
        <v>4503</v>
      </c>
      <c r="D205" s="370" t="s">
        <v>767</v>
      </c>
      <c r="E205" s="421">
        <v>72032.53</v>
      </c>
      <c r="F205" s="421">
        <v>490</v>
      </c>
      <c r="G205" s="421">
        <v>980</v>
      </c>
      <c r="H205" s="421">
        <v>71542.53</v>
      </c>
      <c r="I205" s="371">
        <v>72032.53</v>
      </c>
      <c r="J205" s="357">
        <v>490</v>
      </c>
      <c r="K205" s="357">
        <v>980</v>
      </c>
      <c r="L205" s="357">
        <v>71542.53</v>
      </c>
    </row>
    <row r="206" spans="3:13" ht="15" customHeight="1" x14ac:dyDescent="0.3">
      <c r="C206" s="369" t="s">
        <v>4504</v>
      </c>
      <c r="D206" s="370" t="s">
        <v>770</v>
      </c>
      <c r="E206" s="421">
        <v>25270</v>
      </c>
      <c r="F206" s="421">
        <v>0</v>
      </c>
      <c r="G206" s="421">
        <v>0</v>
      </c>
      <c r="H206" s="421">
        <v>25270</v>
      </c>
      <c r="I206" s="371">
        <v>25270</v>
      </c>
      <c r="J206" s="357">
        <v>0</v>
      </c>
      <c r="K206" s="357">
        <v>0</v>
      </c>
      <c r="L206" s="357">
        <v>25270</v>
      </c>
    </row>
    <row r="207" spans="3:13" ht="15" customHeight="1" x14ac:dyDescent="0.3">
      <c r="C207" s="369" t="s">
        <v>4505</v>
      </c>
      <c r="D207" s="370" t="s">
        <v>773</v>
      </c>
      <c r="E207" s="421">
        <v>345503.5</v>
      </c>
      <c r="F207" s="421">
        <v>11183</v>
      </c>
      <c r="G207" s="421">
        <v>23666</v>
      </c>
      <c r="H207" s="421">
        <v>333020.5</v>
      </c>
      <c r="I207" s="371">
        <v>345503.5</v>
      </c>
      <c r="J207" s="357">
        <v>11183</v>
      </c>
      <c r="K207" s="357">
        <v>23666</v>
      </c>
      <c r="L207" s="357">
        <v>333020.5</v>
      </c>
    </row>
    <row r="208" spans="3:13" ht="15" customHeight="1" x14ac:dyDescent="0.3">
      <c r="C208" s="369" t="s">
        <v>4506</v>
      </c>
      <c r="D208" s="370" t="s">
        <v>776</v>
      </c>
      <c r="E208" s="421">
        <v>243588.32</v>
      </c>
      <c r="F208" s="421">
        <v>17189.240000000002</v>
      </c>
      <c r="G208" s="421">
        <v>34378.480000000003</v>
      </c>
      <c r="H208" s="421">
        <v>226399.08</v>
      </c>
      <c r="I208" s="371">
        <v>243588.32</v>
      </c>
      <c r="J208" s="357">
        <v>17189.240000000002</v>
      </c>
      <c r="K208" s="357">
        <v>34378.480000000003</v>
      </c>
      <c r="L208" s="357">
        <v>226399.08</v>
      </c>
    </row>
    <row r="209" spans="3:12" ht="15" customHeight="1" x14ac:dyDescent="0.3">
      <c r="C209" s="369" t="s">
        <v>4507</v>
      </c>
      <c r="D209" s="370" t="s">
        <v>3454</v>
      </c>
      <c r="E209" s="421">
        <v>0</v>
      </c>
      <c r="F209" s="421">
        <v>7438</v>
      </c>
      <c r="G209" s="421">
        <v>0</v>
      </c>
      <c r="H209" s="421">
        <v>7438</v>
      </c>
      <c r="I209" s="371">
        <v>0</v>
      </c>
      <c r="J209" s="357">
        <v>7438</v>
      </c>
      <c r="K209" s="357">
        <v>0</v>
      </c>
      <c r="L209" s="357">
        <v>7438</v>
      </c>
    </row>
    <row r="210" spans="3:12" ht="15" customHeight="1" x14ac:dyDescent="0.3">
      <c r="C210" s="369" t="s">
        <v>4508</v>
      </c>
      <c r="D210" s="370" t="s">
        <v>779</v>
      </c>
      <c r="E210" s="421">
        <v>797</v>
      </c>
      <c r="F210" s="421">
        <v>0</v>
      </c>
      <c r="G210" s="421">
        <v>0</v>
      </c>
      <c r="H210" s="421">
        <v>797</v>
      </c>
      <c r="I210" s="371">
        <v>797</v>
      </c>
      <c r="J210" s="357">
        <v>0</v>
      </c>
      <c r="K210" s="357">
        <v>0</v>
      </c>
      <c r="L210" s="357">
        <v>797</v>
      </c>
    </row>
    <row r="211" spans="3:12" ht="15" customHeight="1" x14ac:dyDescent="0.3">
      <c r="C211" s="369" t="s">
        <v>4509</v>
      </c>
      <c r="D211" s="370" t="s">
        <v>3455</v>
      </c>
      <c r="E211" s="421">
        <v>0</v>
      </c>
      <c r="F211" s="421">
        <v>0</v>
      </c>
      <c r="G211" s="421">
        <v>432475.84</v>
      </c>
      <c r="H211" s="421">
        <v>-432475.84</v>
      </c>
      <c r="I211" s="371">
        <v>0</v>
      </c>
      <c r="J211" s="357">
        <v>0</v>
      </c>
      <c r="K211" s="357">
        <v>432475.84</v>
      </c>
      <c r="L211" s="357">
        <v>-432475.84</v>
      </c>
    </row>
    <row r="212" spans="3:12" ht="15" customHeight="1" x14ac:dyDescent="0.3">
      <c r="C212" s="365" t="s">
        <v>4510</v>
      </c>
      <c r="D212" s="366" t="s">
        <v>3456</v>
      </c>
      <c r="E212" s="421">
        <v>3202809.3</v>
      </c>
      <c r="F212" s="421">
        <v>0</v>
      </c>
      <c r="G212" s="421">
        <v>0</v>
      </c>
      <c r="H212" s="421">
        <v>3202809.3</v>
      </c>
      <c r="I212" s="367">
        <v>3202809.3</v>
      </c>
      <c r="J212" s="356">
        <v>0</v>
      </c>
      <c r="K212" s="356">
        <v>0</v>
      </c>
      <c r="L212" s="356">
        <v>3202809.3</v>
      </c>
    </row>
    <row r="213" spans="3:12" ht="15" customHeight="1" x14ac:dyDescent="0.3">
      <c r="C213" s="369" t="s">
        <v>4511</v>
      </c>
      <c r="D213" s="370" t="s">
        <v>785</v>
      </c>
      <c r="E213" s="421">
        <v>1537069.64</v>
      </c>
      <c r="F213" s="421">
        <v>0</v>
      </c>
      <c r="G213" s="421">
        <v>0</v>
      </c>
      <c r="H213" s="421">
        <v>1537069.64</v>
      </c>
      <c r="I213" s="371">
        <v>1537069.64</v>
      </c>
      <c r="J213" s="357">
        <v>0</v>
      </c>
      <c r="K213" s="357">
        <v>0</v>
      </c>
      <c r="L213" s="357">
        <v>1537069.64</v>
      </c>
    </row>
    <row r="214" spans="3:12" ht="15" customHeight="1" x14ac:dyDescent="0.3">
      <c r="C214" s="369" t="s">
        <v>4512</v>
      </c>
      <c r="D214" s="370" t="s">
        <v>789</v>
      </c>
      <c r="E214" s="421">
        <v>264873.58</v>
      </c>
      <c r="F214" s="421">
        <v>0</v>
      </c>
      <c r="G214" s="421">
        <v>0</v>
      </c>
      <c r="H214" s="421">
        <v>264873.58</v>
      </c>
      <c r="I214" s="371">
        <v>264873.58</v>
      </c>
      <c r="J214" s="357">
        <v>0</v>
      </c>
      <c r="K214" s="357">
        <v>0</v>
      </c>
      <c r="L214" s="357">
        <v>264873.58</v>
      </c>
    </row>
    <row r="215" spans="3:12" ht="15" customHeight="1" x14ac:dyDescent="0.3">
      <c r="C215" s="369" t="s">
        <v>4513</v>
      </c>
      <c r="D215" s="370" t="s">
        <v>793</v>
      </c>
      <c r="E215" s="421">
        <v>1130835.2</v>
      </c>
      <c r="F215" s="421">
        <v>0</v>
      </c>
      <c r="G215" s="421">
        <v>0</v>
      </c>
      <c r="H215" s="421">
        <v>1130835.2</v>
      </c>
      <c r="I215" s="371">
        <v>1130835.2</v>
      </c>
      <c r="J215" s="357">
        <v>0</v>
      </c>
      <c r="K215" s="357">
        <v>0</v>
      </c>
      <c r="L215" s="357">
        <v>1130835.2</v>
      </c>
    </row>
    <row r="216" spans="3:12" ht="15" customHeight="1" x14ac:dyDescent="0.3">
      <c r="C216" s="369" t="s">
        <v>4514</v>
      </c>
      <c r="D216" s="370" t="s">
        <v>797</v>
      </c>
      <c r="E216" s="421">
        <v>900</v>
      </c>
      <c r="F216" s="421">
        <v>0</v>
      </c>
      <c r="G216" s="421">
        <v>0</v>
      </c>
      <c r="H216" s="421">
        <v>900</v>
      </c>
      <c r="I216" s="371">
        <v>900</v>
      </c>
      <c r="J216" s="357">
        <v>0</v>
      </c>
      <c r="K216" s="357">
        <v>0</v>
      </c>
      <c r="L216" s="357">
        <v>900</v>
      </c>
    </row>
    <row r="217" spans="3:12" ht="15" customHeight="1" x14ac:dyDescent="0.3">
      <c r="C217" s="369" t="s">
        <v>4515</v>
      </c>
      <c r="D217" s="370" t="s">
        <v>801</v>
      </c>
      <c r="E217" s="421">
        <v>269130.88</v>
      </c>
      <c r="F217" s="421">
        <v>0</v>
      </c>
      <c r="G217" s="421">
        <v>0</v>
      </c>
      <c r="H217" s="421">
        <v>269130.88</v>
      </c>
      <c r="I217" s="371">
        <v>269130.88</v>
      </c>
      <c r="J217" s="357">
        <v>0</v>
      </c>
      <c r="K217" s="357">
        <v>0</v>
      </c>
      <c r="L217" s="357">
        <v>269130.88</v>
      </c>
    </row>
    <row r="218" spans="3:12" ht="15" customHeight="1" x14ac:dyDescent="0.3">
      <c r="C218" s="365" t="s">
        <v>4516</v>
      </c>
      <c r="D218" s="366" t="s">
        <v>3457</v>
      </c>
      <c r="E218" s="421">
        <v>32880.080000000002</v>
      </c>
      <c r="F218" s="421">
        <v>0</v>
      </c>
      <c r="G218" s="421">
        <v>4979.88</v>
      </c>
      <c r="H218" s="421">
        <v>27900.2</v>
      </c>
      <c r="I218" s="367">
        <v>32880.080000000002</v>
      </c>
      <c r="J218" s="356">
        <v>0</v>
      </c>
      <c r="K218" s="356">
        <v>4979.88</v>
      </c>
      <c r="L218" s="356">
        <v>27900.2</v>
      </c>
    </row>
    <row r="219" spans="3:12" ht="15" customHeight="1" x14ac:dyDescent="0.3">
      <c r="C219" s="369" t="s">
        <v>4517</v>
      </c>
      <c r="D219" s="370" t="s">
        <v>824</v>
      </c>
      <c r="E219" s="421">
        <v>8945.5</v>
      </c>
      <c r="F219" s="421">
        <v>0</v>
      </c>
      <c r="G219" s="421">
        <v>0</v>
      </c>
      <c r="H219" s="421">
        <v>8945.5</v>
      </c>
      <c r="I219" s="371">
        <v>8945.5</v>
      </c>
      <c r="J219" s="357">
        <v>0</v>
      </c>
      <c r="K219" s="357">
        <v>0</v>
      </c>
      <c r="L219" s="357">
        <v>8945.5</v>
      </c>
    </row>
    <row r="220" spans="3:12" ht="15" customHeight="1" x14ac:dyDescent="0.3">
      <c r="C220" s="369" t="s">
        <v>4518</v>
      </c>
      <c r="D220" s="370" t="s">
        <v>827</v>
      </c>
      <c r="E220" s="421">
        <v>19674.09</v>
      </c>
      <c r="F220" s="421">
        <v>0</v>
      </c>
      <c r="G220" s="421">
        <v>0</v>
      </c>
      <c r="H220" s="421">
        <v>19674.09</v>
      </c>
      <c r="I220" s="371">
        <v>19674.09</v>
      </c>
      <c r="J220" s="357">
        <v>0</v>
      </c>
      <c r="K220" s="357">
        <v>0</v>
      </c>
      <c r="L220" s="357">
        <v>19674.09</v>
      </c>
    </row>
    <row r="221" spans="3:12" ht="15" customHeight="1" x14ac:dyDescent="0.3">
      <c r="C221" s="369" t="s">
        <v>4519</v>
      </c>
      <c r="D221" s="370" t="s">
        <v>830</v>
      </c>
      <c r="E221" s="421">
        <v>4260.49</v>
      </c>
      <c r="F221" s="421">
        <v>0</v>
      </c>
      <c r="G221" s="421">
        <v>0</v>
      </c>
      <c r="H221" s="421">
        <v>4260.49</v>
      </c>
      <c r="I221" s="371">
        <v>4260.49</v>
      </c>
      <c r="J221" s="357">
        <v>0</v>
      </c>
      <c r="K221" s="357">
        <v>0</v>
      </c>
      <c r="L221" s="357">
        <v>4260.49</v>
      </c>
    </row>
    <row r="222" spans="3:12" ht="15" customHeight="1" x14ac:dyDescent="0.3">
      <c r="C222" s="369" t="s">
        <v>4520</v>
      </c>
      <c r="D222" s="370" t="s">
        <v>3458</v>
      </c>
      <c r="E222" s="421">
        <v>0</v>
      </c>
      <c r="F222" s="421">
        <v>0</v>
      </c>
      <c r="G222" s="421">
        <v>4979.88</v>
      </c>
      <c r="H222" s="421">
        <v>-4979.88</v>
      </c>
      <c r="I222" s="371">
        <v>0</v>
      </c>
      <c r="J222" s="357">
        <v>0</v>
      </c>
      <c r="K222" s="356">
        <v>4979.88</v>
      </c>
      <c r="L222" s="356">
        <v>-4979.88</v>
      </c>
    </row>
    <row r="223" spans="3:12" ht="15" customHeight="1" x14ac:dyDescent="0.3">
      <c r="C223" s="365" t="s">
        <v>4521</v>
      </c>
      <c r="D223" s="366" t="s">
        <v>833</v>
      </c>
      <c r="E223" s="421">
        <v>846786.11</v>
      </c>
      <c r="F223" s="421">
        <v>67800</v>
      </c>
      <c r="G223" s="421">
        <v>290433.71999999997</v>
      </c>
      <c r="H223" s="421">
        <v>624152.39</v>
      </c>
      <c r="I223" s="367">
        <v>846786.11</v>
      </c>
      <c r="J223" s="356">
        <v>67800</v>
      </c>
      <c r="K223" s="356">
        <v>290433.71999999997</v>
      </c>
      <c r="L223" s="356">
        <v>624152.39</v>
      </c>
    </row>
    <row r="224" spans="3:12" ht="15" customHeight="1" x14ac:dyDescent="0.3">
      <c r="C224" s="369" t="s">
        <v>4522</v>
      </c>
      <c r="D224" s="370" t="s">
        <v>3459</v>
      </c>
      <c r="E224" s="421">
        <v>846786.11</v>
      </c>
      <c r="F224" s="421">
        <v>67800</v>
      </c>
      <c r="G224" s="421">
        <v>135600</v>
      </c>
      <c r="H224" s="421">
        <v>778986.11</v>
      </c>
      <c r="I224" s="371">
        <v>846786.11</v>
      </c>
      <c r="J224" s="357">
        <v>67800</v>
      </c>
      <c r="K224" s="357">
        <v>135600</v>
      </c>
      <c r="L224" s="357">
        <v>778986.11</v>
      </c>
    </row>
    <row r="225" spans="3:12" ht="15" customHeight="1" x14ac:dyDescent="0.3">
      <c r="C225" s="369" t="s">
        <v>4523</v>
      </c>
      <c r="D225" s="370" t="s">
        <v>3460</v>
      </c>
      <c r="E225" s="421">
        <v>0</v>
      </c>
      <c r="F225" s="421">
        <v>0</v>
      </c>
      <c r="G225" s="421">
        <v>154833.72</v>
      </c>
      <c r="H225" s="421">
        <v>-154833.72</v>
      </c>
      <c r="I225" s="371">
        <v>0</v>
      </c>
      <c r="J225" s="357">
        <v>0</v>
      </c>
      <c r="K225" s="357">
        <v>154833.72</v>
      </c>
      <c r="L225" s="357">
        <v>-154833.72</v>
      </c>
    </row>
    <row r="226" spans="3:12" ht="15" customHeight="1" x14ac:dyDescent="0.3">
      <c r="C226" s="365" t="s">
        <v>4524</v>
      </c>
      <c r="D226" s="366" t="s">
        <v>839</v>
      </c>
      <c r="E226" s="421">
        <v>449068.7</v>
      </c>
      <c r="F226" s="421">
        <v>209092.45</v>
      </c>
      <c r="G226" s="421">
        <v>168037.11</v>
      </c>
      <c r="H226" s="421">
        <v>490124.04</v>
      </c>
      <c r="I226" s="367">
        <v>449068.7</v>
      </c>
      <c r="J226" s="356">
        <v>209092.45</v>
      </c>
      <c r="K226" s="356">
        <v>168037.11</v>
      </c>
      <c r="L226" s="356">
        <v>490124.04</v>
      </c>
    </row>
    <row r="227" spans="3:12" ht="15" customHeight="1" x14ac:dyDescent="0.3">
      <c r="C227" s="369" t="s">
        <v>4525</v>
      </c>
      <c r="D227" s="370" t="s">
        <v>843</v>
      </c>
      <c r="E227" s="421">
        <v>182065.14</v>
      </c>
      <c r="F227" s="421">
        <v>11747.33</v>
      </c>
      <c r="G227" s="421">
        <v>23494.66</v>
      </c>
      <c r="H227" s="421">
        <v>170317.81</v>
      </c>
      <c r="I227" s="371">
        <v>182065.14</v>
      </c>
      <c r="J227" s="357">
        <v>11747.33</v>
      </c>
      <c r="K227" s="357">
        <v>23494.66</v>
      </c>
      <c r="L227" s="357">
        <v>170317.81</v>
      </c>
    </row>
    <row r="228" spans="3:12" ht="15" customHeight="1" x14ac:dyDescent="0.3">
      <c r="C228" s="369" t="s">
        <v>4526</v>
      </c>
      <c r="D228" s="370" t="s">
        <v>846</v>
      </c>
      <c r="E228" s="421">
        <v>69781.06</v>
      </c>
      <c r="F228" s="421">
        <v>2156.3200000000002</v>
      </c>
      <c r="G228" s="421">
        <v>4312.6400000000003</v>
      </c>
      <c r="H228" s="421">
        <v>67624.740000000005</v>
      </c>
      <c r="I228" s="371">
        <v>69781.06</v>
      </c>
      <c r="J228" s="357">
        <v>2156.3200000000002</v>
      </c>
      <c r="K228" s="357">
        <v>4312.6400000000003</v>
      </c>
      <c r="L228" s="357">
        <v>67624.740000000005</v>
      </c>
    </row>
    <row r="229" spans="3:12" ht="15" customHeight="1" x14ac:dyDescent="0.3">
      <c r="C229" s="369" t="s">
        <v>4527</v>
      </c>
      <c r="D229" s="370" t="s">
        <v>849</v>
      </c>
      <c r="E229" s="421">
        <v>9604.94</v>
      </c>
      <c r="F229" s="421">
        <v>0</v>
      </c>
      <c r="G229" s="421">
        <v>0</v>
      </c>
      <c r="H229" s="421">
        <v>9604.94</v>
      </c>
      <c r="I229" s="371">
        <v>9604.94</v>
      </c>
      <c r="J229" s="357">
        <v>0</v>
      </c>
      <c r="K229" s="357">
        <v>0</v>
      </c>
      <c r="L229" s="357">
        <v>9604.94</v>
      </c>
    </row>
    <row r="230" spans="3:12" ht="15" customHeight="1" x14ac:dyDescent="0.3">
      <c r="C230" s="369" t="s">
        <v>4528</v>
      </c>
      <c r="D230" s="370" t="s">
        <v>852</v>
      </c>
      <c r="E230" s="421">
        <v>187617.56</v>
      </c>
      <c r="F230" s="421">
        <v>20808.8</v>
      </c>
      <c r="G230" s="421">
        <v>41617.599999999999</v>
      </c>
      <c r="H230" s="421">
        <v>166808.76</v>
      </c>
      <c r="I230" s="371">
        <v>187617.56</v>
      </c>
      <c r="J230" s="357">
        <v>20808.8</v>
      </c>
      <c r="K230" s="357">
        <v>41617.599999999999</v>
      </c>
      <c r="L230" s="357">
        <v>166808.76</v>
      </c>
    </row>
    <row r="231" spans="3:12" ht="15" customHeight="1" x14ac:dyDescent="0.3">
      <c r="C231" s="369" t="s">
        <v>4529</v>
      </c>
      <c r="D231" s="370" t="s">
        <v>3461</v>
      </c>
      <c r="E231" s="421">
        <v>0</v>
      </c>
      <c r="F231" s="421">
        <v>174380</v>
      </c>
      <c r="G231" s="421">
        <v>0</v>
      </c>
      <c r="H231" s="421">
        <v>174380</v>
      </c>
      <c r="I231" s="371">
        <v>0</v>
      </c>
      <c r="J231" s="357">
        <v>174380</v>
      </c>
      <c r="K231" s="357">
        <v>0</v>
      </c>
      <c r="L231" s="357">
        <v>174380</v>
      </c>
    </row>
    <row r="232" spans="3:12" ht="15" customHeight="1" x14ac:dyDescent="0.3">
      <c r="C232" s="369" t="s">
        <v>4530</v>
      </c>
      <c r="D232" s="370" t="s">
        <v>3462</v>
      </c>
      <c r="E232" s="421">
        <v>0</v>
      </c>
      <c r="F232" s="421">
        <v>0</v>
      </c>
      <c r="G232" s="421">
        <v>98612.21</v>
      </c>
      <c r="H232" s="421">
        <v>-98612.21</v>
      </c>
      <c r="I232" s="371">
        <v>0</v>
      </c>
      <c r="J232" s="357">
        <v>0</v>
      </c>
      <c r="K232" s="357">
        <v>98612.21</v>
      </c>
      <c r="L232" s="357">
        <v>-98612.21</v>
      </c>
    </row>
    <row r="233" spans="3:12" ht="15" customHeight="1" x14ac:dyDescent="0.3">
      <c r="C233" s="365" t="s">
        <v>4531</v>
      </c>
      <c r="D233" s="366" t="s">
        <v>858</v>
      </c>
      <c r="E233" s="421">
        <v>337165.95</v>
      </c>
      <c r="F233" s="421">
        <v>0</v>
      </c>
      <c r="G233" s="421">
        <v>0</v>
      </c>
      <c r="H233" s="421">
        <v>337165.95</v>
      </c>
      <c r="I233" s="367">
        <v>337165.95</v>
      </c>
      <c r="J233" s="356">
        <v>0</v>
      </c>
      <c r="K233" s="356">
        <v>0</v>
      </c>
      <c r="L233" s="356">
        <v>337165.95</v>
      </c>
    </row>
    <row r="234" spans="3:12" ht="15" customHeight="1" x14ac:dyDescent="0.3">
      <c r="C234" s="369" t="s">
        <v>4532</v>
      </c>
      <c r="D234" s="370" t="s">
        <v>862</v>
      </c>
      <c r="E234" s="421">
        <v>5210.63</v>
      </c>
      <c r="F234" s="421">
        <v>0</v>
      </c>
      <c r="G234" s="421">
        <v>0</v>
      </c>
      <c r="H234" s="421">
        <v>5210.63</v>
      </c>
      <c r="I234" s="371">
        <v>5210.63</v>
      </c>
      <c r="J234" s="357">
        <v>0</v>
      </c>
      <c r="K234" s="357">
        <v>0</v>
      </c>
      <c r="L234" s="357">
        <v>5210.63</v>
      </c>
    </row>
    <row r="235" spans="3:12" ht="15" customHeight="1" x14ac:dyDescent="0.3">
      <c r="C235" s="369" t="s">
        <v>4533</v>
      </c>
      <c r="D235" s="370" t="s">
        <v>865</v>
      </c>
      <c r="E235" s="421">
        <v>490</v>
      </c>
      <c r="F235" s="421">
        <v>0</v>
      </c>
      <c r="G235" s="421">
        <v>0</v>
      </c>
      <c r="H235" s="421">
        <v>490</v>
      </c>
      <c r="I235" s="371">
        <v>490</v>
      </c>
      <c r="J235" s="357">
        <v>0</v>
      </c>
      <c r="K235" s="357">
        <v>0</v>
      </c>
      <c r="L235" s="357">
        <v>490</v>
      </c>
    </row>
    <row r="236" spans="3:12" ht="15" customHeight="1" x14ac:dyDescent="0.3">
      <c r="C236" s="369" t="s">
        <v>4534</v>
      </c>
      <c r="D236" s="370" t="s">
        <v>868</v>
      </c>
      <c r="E236" s="421">
        <v>331465.32</v>
      </c>
      <c r="F236" s="421">
        <v>0</v>
      </c>
      <c r="G236" s="421">
        <v>0</v>
      </c>
      <c r="H236" s="421">
        <v>331465.32</v>
      </c>
      <c r="I236" s="371">
        <v>331465.32</v>
      </c>
      <c r="J236" s="357">
        <v>0</v>
      </c>
      <c r="K236" s="357">
        <v>0</v>
      </c>
      <c r="L236" s="357">
        <v>331465.32</v>
      </c>
    </row>
    <row r="237" spans="3:12" ht="15" customHeight="1" x14ac:dyDescent="0.3">
      <c r="C237" s="365" t="s">
        <v>4535</v>
      </c>
      <c r="D237" s="366" t="s">
        <v>3463</v>
      </c>
      <c r="E237" s="421">
        <v>4569.91</v>
      </c>
      <c r="F237" s="421">
        <v>0</v>
      </c>
      <c r="G237" s="421">
        <v>0</v>
      </c>
      <c r="H237" s="421">
        <v>4569.91</v>
      </c>
      <c r="I237" s="367">
        <v>4569.91</v>
      </c>
      <c r="J237" s="356">
        <v>0</v>
      </c>
      <c r="K237" s="356">
        <v>0</v>
      </c>
      <c r="L237" s="356">
        <v>4569.91</v>
      </c>
    </row>
    <row r="238" spans="3:12" ht="15" customHeight="1" x14ac:dyDescent="0.3">
      <c r="C238" s="369" t="s">
        <v>4536</v>
      </c>
      <c r="D238" s="370" t="s">
        <v>875</v>
      </c>
      <c r="E238" s="421">
        <v>4569.91</v>
      </c>
      <c r="F238" s="421">
        <v>0</v>
      </c>
      <c r="G238" s="421">
        <v>0</v>
      </c>
      <c r="H238" s="421">
        <v>4569.91</v>
      </c>
      <c r="I238" s="371">
        <v>4569.91</v>
      </c>
      <c r="J238" s="357">
        <v>0</v>
      </c>
      <c r="K238" s="357">
        <v>0</v>
      </c>
      <c r="L238" s="357">
        <v>4569.91</v>
      </c>
    </row>
    <row r="239" spans="3:12" ht="15" customHeight="1" x14ac:dyDescent="0.3">
      <c r="C239" s="369" t="s">
        <v>4536</v>
      </c>
      <c r="D239" s="370" t="s">
        <v>3464</v>
      </c>
      <c r="E239" s="421">
        <v>4569.91</v>
      </c>
      <c r="F239" s="421">
        <v>0</v>
      </c>
      <c r="G239" s="421">
        <v>0</v>
      </c>
      <c r="H239" s="421">
        <v>4569.91</v>
      </c>
      <c r="I239" s="371">
        <v>4569.91</v>
      </c>
      <c r="J239" s="357">
        <v>0</v>
      </c>
      <c r="K239" s="357">
        <v>0</v>
      </c>
      <c r="L239" s="357">
        <v>4569.91</v>
      </c>
    </row>
    <row r="240" spans="3:12" ht="15" customHeight="1" x14ac:dyDescent="0.3">
      <c r="C240" s="365" t="s">
        <v>4537</v>
      </c>
      <c r="D240" s="366" t="s">
        <v>3465</v>
      </c>
      <c r="E240" s="421">
        <v>-29441768.559999999</v>
      </c>
      <c r="F240" s="421">
        <v>1582531.86</v>
      </c>
      <c r="G240" s="421">
        <v>1086202.6399999999</v>
      </c>
      <c r="H240" s="421">
        <v>-28945439.34</v>
      </c>
      <c r="I240" s="367">
        <v>-29441768.559999999</v>
      </c>
      <c r="J240" s="356">
        <v>1582531.86</v>
      </c>
      <c r="K240" s="356">
        <v>1086202.6399999999</v>
      </c>
      <c r="L240" s="356">
        <v>-28945439.34</v>
      </c>
    </row>
    <row r="241" spans="3:14" ht="15" customHeight="1" x14ac:dyDescent="0.3">
      <c r="C241" s="369" t="s">
        <v>4538</v>
      </c>
      <c r="D241" s="370" t="s">
        <v>881</v>
      </c>
      <c r="E241" s="421">
        <v>-6711170.5700000003</v>
      </c>
      <c r="F241" s="421">
        <v>0</v>
      </c>
      <c r="G241" s="421">
        <v>476532.82</v>
      </c>
      <c r="H241" s="421">
        <v>-7187703.3899999997</v>
      </c>
      <c r="I241" s="371">
        <v>-6711170.5700000003</v>
      </c>
      <c r="J241" s="357">
        <v>0</v>
      </c>
      <c r="K241" s="357">
        <v>476532.82</v>
      </c>
      <c r="L241" s="357">
        <v>-7187703.3899999997</v>
      </c>
    </row>
    <row r="242" spans="3:14" ht="15" customHeight="1" x14ac:dyDescent="0.3">
      <c r="C242" s="369" t="s">
        <v>4539</v>
      </c>
      <c r="D242" s="370" t="s">
        <v>885</v>
      </c>
      <c r="E242" s="421">
        <v>-17859322.640000001</v>
      </c>
      <c r="F242" s="421">
        <v>1096358</v>
      </c>
      <c r="G242" s="421">
        <v>376233.72</v>
      </c>
      <c r="H242" s="421">
        <v>-17139198.359999999</v>
      </c>
      <c r="I242" s="371">
        <v>-17859322.640000001</v>
      </c>
      <c r="J242" s="357">
        <v>1096358</v>
      </c>
      <c r="K242" s="357">
        <v>376233.72</v>
      </c>
      <c r="L242" s="357">
        <v>-17139198.359999999</v>
      </c>
    </row>
    <row r="243" spans="3:14" ht="15" customHeight="1" x14ac:dyDescent="0.3">
      <c r="C243" s="369" t="s">
        <v>4540</v>
      </c>
      <c r="D243" s="370" t="s">
        <v>889</v>
      </c>
      <c r="E243" s="421">
        <v>-145360.85</v>
      </c>
      <c r="F243" s="421">
        <v>58424.480000000003</v>
      </c>
      <c r="G243" s="421">
        <v>32241.27</v>
      </c>
      <c r="H243" s="421">
        <v>-119177.64</v>
      </c>
      <c r="I243" s="371">
        <v>-145360.85</v>
      </c>
      <c r="J243" s="357">
        <v>58424.480000000003</v>
      </c>
      <c r="K243" s="357">
        <v>32241.27</v>
      </c>
      <c r="L243" s="357">
        <v>-119177.64</v>
      </c>
    </row>
    <row r="244" spans="3:14" ht="15" customHeight="1" x14ac:dyDescent="0.3">
      <c r="C244" s="369" t="s">
        <v>4541</v>
      </c>
      <c r="D244" s="370" t="s">
        <v>892</v>
      </c>
      <c r="E244" s="421">
        <v>-3202809.3</v>
      </c>
      <c r="F244" s="421">
        <v>0</v>
      </c>
      <c r="G244" s="421">
        <v>0</v>
      </c>
      <c r="H244" s="421">
        <v>-3202809.3</v>
      </c>
      <c r="I244" s="371">
        <v>-3202809.3</v>
      </c>
      <c r="J244" s="357">
        <v>0</v>
      </c>
      <c r="K244" s="357">
        <v>0</v>
      </c>
      <c r="L244" s="357">
        <v>-3202809.3</v>
      </c>
    </row>
    <row r="245" spans="3:14" ht="15" customHeight="1" x14ac:dyDescent="0.3">
      <c r="C245" s="369" t="s">
        <v>4542</v>
      </c>
      <c r="D245" s="370" t="s">
        <v>895</v>
      </c>
      <c r="E245" s="421">
        <v>-27900.2</v>
      </c>
      <c r="F245" s="421">
        <v>0</v>
      </c>
      <c r="G245" s="421">
        <v>0</v>
      </c>
      <c r="H245" s="421">
        <v>-27900.2</v>
      </c>
      <c r="I245" s="371">
        <v>-27900.2</v>
      </c>
      <c r="J245" s="357">
        <v>0</v>
      </c>
      <c r="K245" s="357">
        <v>0</v>
      </c>
      <c r="L245" s="357">
        <v>-27900.2</v>
      </c>
    </row>
    <row r="246" spans="3:14" ht="15" customHeight="1" x14ac:dyDescent="0.3">
      <c r="C246" s="369" t="s">
        <v>4543</v>
      </c>
      <c r="D246" s="370" t="s">
        <v>899</v>
      </c>
      <c r="E246" s="421">
        <v>-789851.11</v>
      </c>
      <c r="F246" s="421">
        <v>279658.12</v>
      </c>
      <c r="G246" s="421">
        <v>67800</v>
      </c>
      <c r="H246" s="421">
        <v>-577992.99</v>
      </c>
      <c r="I246" s="371">
        <v>-789851.11</v>
      </c>
      <c r="J246" s="357">
        <v>279658.12</v>
      </c>
      <c r="K246" s="357">
        <v>67800</v>
      </c>
      <c r="L246" s="357">
        <v>-577992.99</v>
      </c>
    </row>
    <row r="247" spans="3:14" ht="15" customHeight="1" x14ac:dyDescent="0.3">
      <c r="C247" s="369" t="s">
        <v>4544</v>
      </c>
      <c r="D247" s="370" t="s">
        <v>902</v>
      </c>
      <c r="E247" s="421">
        <v>-368187.94</v>
      </c>
      <c r="F247" s="421">
        <v>70848.100000000006</v>
      </c>
      <c r="G247" s="421">
        <v>56151.67</v>
      </c>
      <c r="H247" s="421">
        <v>-353491.51</v>
      </c>
      <c r="I247" s="371">
        <v>-368187.94</v>
      </c>
      <c r="J247" s="357">
        <v>70848.100000000006</v>
      </c>
      <c r="K247" s="357">
        <v>56151.67</v>
      </c>
      <c r="L247" s="357">
        <v>-353491.51</v>
      </c>
    </row>
    <row r="248" spans="3:14" ht="15" customHeight="1" x14ac:dyDescent="0.3">
      <c r="C248" s="369" t="s">
        <v>4545</v>
      </c>
      <c r="D248" s="370" t="s">
        <v>905</v>
      </c>
      <c r="E248" s="421">
        <v>-337165.95</v>
      </c>
      <c r="F248" s="421">
        <v>0</v>
      </c>
      <c r="G248" s="421">
        <v>0</v>
      </c>
      <c r="H248" s="421">
        <v>-337165.95</v>
      </c>
      <c r="I248" s="371">
        <v>-337165.95</v>
      </c>
      <c r="J248" s="357">
        <v>0</v>
      </c>
      <c r="K248" s="357">
        <v>0</v>
      </c>
      <c r="L248" s="357">
        <v>-337165.95</v>
      </c>
    </row>
    <row r="249" spans="3:14" ht="15" customHeight="1" x14ac:dyDescent="0.3">
      <c r="C249" s="369" t="s">
        <v>4546</v>
      </c>
      <c r="D249" s="370" t="s">
        <v>3466</v>
      </c>
      <c r="E249" s="421">
        <v>0</v>
      </c>
      <c r="F249" s="421">
        <v>77243.16</v>
      </c>
      <c r="G249" s="421">
        <v>77243.16</v>
      </c>
      <c r="H249" s="421">
        <v>0</v>
      </c>
      <c r="I249" s="371">
        <v>0</v>
      </c>
      <c r="J249" s="357">
        <v>77243.16</v>
      </c>
      <c r="K249" s="357">
        <v>77243.16</v>
      </c>
      <c r="L249" s="357">
        <v>0</v>
      </c>
    </row>
    <row r="250" spans="3:14" ht="15" customHeight="1" x14ac:dyDescent="0.3">
      <c r="C250" s="310">
        <v>2</v>
      </c>
      <c r="D250" s="311" t="s">
        <v>3467</v>
      </c>
      <c r="E250" s="421">
        <v>-58488220.68</v>
      </c>
      <c r="F250" s="421">
        <v>179972520.94999999</v>
      </c>
      <c r="G250" s="421">
        <v>187082863.00999999</v>
      </c>
      <c r="H250" s="421">
        <v>-65598562.740000002</v>
      </c>
      <c r="I250" s="312">
        <v>-58488220.68</v>
      </c>
      <c r="J250" s="313">
        <v>179972520.94999999</v>
      </c>
      <c r="K250" s="313">
        <v>187082863.00999999</v>
      </c>
      <c r="L250" s="313">
        <v>-65598562.740000002</v>
      </c>
    </row>
    <row r="251" spans="3:14" ht="15" customHeight="1" x14ac:dyDescent="0.3">
      <c r="C251" s="310" t="s">
        <v>4547</v>
      </c>
      <c r="D251" s="311" t="s">
        <v>3468</v>
      </c>
      <c r="E251" s="421">
        <v>-36773048.049999997</v>
      </c>
      <c r="F251" s="421">
        <v>102162126.09999999</v>
      </c>
      <c r="G251" s="421">
        <v>96427473.840000004</v>
      </c>
      <c r="H251" s="421">
        <v>-31038395.789999999</v>
      </c>
      <c r="I251" s="312">
        <v>-36773048.049999997</v>
      </c>
      <c r="J251" s="313">
        <v>102162126.09999999</v>
      </c>
      <c r="K251" s="313">
        <v>96427473.840000004</v>
      </c>
      <c r="L251" s="313">
        <v>-31038395.789999999</v>
      </c>
    </row>
    <row r="252" spans="3:14" ht="15" customHeight="1" x14ac:dyDescent="0.35">
      <c r="C252" s="365" t="s">
        <v>4548</v>
      </c>
      <c r="D252" s="366" t="s">
        <v>3469</v>
      </c>
      <c r="E252" s="421">
        <v>-22911739.98</v>
      </c>
      <c r="F252" s="421">
        <v>31083504.460000001</v>
      </c>
      <c r="G252" s="421">
        <v>12249196.16</v>
      </c>
      <c r="H252" s="421">
        <v>-4077431.68</v>
      </c>
      <c r="I252" s="367">
        <v>-22911739.98</v>
      </c>
      <c r="J252" s="356">
        <v>31083504.460000001</v>
      </c>
      <c r="K252" s="356">
        <v>12249196.16</v>
      </c>
      <c r="L252" s="356">
        <v>-4077431.68</v>
      </c>
      <c r="M252" s="290" t="s">
        <v>3470</v>
      </c>
      <c r="N252" s="291">
        <v>12</v>
      </c>
    </row>
    <row r="253" spans="3:14" ht="15" customHeight="1" x14ac:dyDescent="0.3">
      <c r="C253" s="365" t="s">
        <v>4549</v>
      </c>
      <c r="D253" s="366" t="s">
        <v>3471</v>
      </c>
      <c r="E253" s="421">
        <v>-288491.62</v>
      </c>
      <c r="F253" s="421">
        <v>278948.86</v>
      </c>
      <c r="G253" s="421">
        <v>779761.04</v>
      </c>
      <c r="H253" s="421">
        <v>-789303.8</v>
      </c>
      <c r="I253" s="367">
        <v>-288491.62</v>
      </c>
      <c r="J253" s="356">
        <v>278948.86</v>
      </c>
      <c r="K253" s="356">
        <v>779761.04</v>
      </c>
      <c r="L253" s="356">
        <v>-789303.8</v>
      </c>
    </row>
    <row r="254" spans="3:14" ht="15" customHeight="1" x14ac:dyDescent="0.3">
      <c r="C254" s="369" t="s">
        <v>4550</v>
      </c>
      <c r="D254" s="370" t="s">
        <v>923</v>
      </c>
      <c r="E254" s="421">
        <v>-2428</v>
      </c>
      <c r="F254" s="421">
        <v>2428</v>
      </c>
      <c r="G254" s="421">
        <v>0</v>
      </c>
      <c r="H254" s="421">
        <v>0</v>
      </c>
      <c r="I254" s="371">
        <v>-2428</v>
      </c>
      <c r="J254" s="357">
        <v>2428</v>
      </c>
      <c r="K254" s="357">
        <v>0</v>
      </c>
      <c r="L254" s="357">
        <v>0</v>
      </c>
    </row>
    <row r="255" spans="3:14" ht="15" customHeight="1" x14ac:dyDescent="0.3">
      <c r="C255" s="369" t="s">
        <v>4551</v>
      </c>
      <c r="D255" s="370" t="s">
        <v>926</v>
      </c>
      <c r="E255" s="421">
        <v>-118073.7</v>
      </c>
      <c r="F255" s="421">
        <v>118073.7</v>
      </c>
      <c r="G255" s="421">
        <v>0</v>
      </c>
      <c r="H255" s="421">
        <v>0</v>
      </c>
      <c r="I255" s="371">
        <v>-118073.7</v>
      </c>
      <c r="J255" s="357">
        <v>118073.7</v>
      </c>
      <c r="K255" s="357">
        <v>0</v>
      </c>
      <c r="L255" s="357">
        <v>0</v>
      </c>
    </row>
    <row r="256" spans="3:14" ht="15" customHeight="1" x14ac:dyDescent="0.3">
      <c r="C256" s="369" t="s">
        <v>4552</v>
      </c>
      <c r="D256" s="370" t="s">
        <v>3472</v>
      </c>
      <c r="E256" s="421">
        <v>0</v>
      </c>
      <c r="F256" s="421">
        <v>0</v>
      </c>
      <c r="G256" s="421">
        <v>621313.88</v>
      </c>
      <c r="H256" s="421">
        <v>-621313.88</v>
      </c>
      <c r="I256" s="371">
        <v>0</v>
      </c>
      <c r="J256" s="357">
        <v>0</v>
      </c>
      <c r="K256" s="357">
        <v>621313.88</v>
      </c>
      <c r="L256" s="357">
        <v>-621313.88</v>
      </c>
    </row>
    <row r="257" spans="3:12" ht="15" customHeight="1" x14ac:dyDescent="0.3">
      <c r="C257" s="369" t="s">
        <v>4553</v>
      </c>
      <c r="D257" s="370" t="s">
        <v>929</v>
      </c>
      <c r="E257" s="421">
        <v>-7300.9</v>
      </c>
      <c r="F257" s="421">
        <v>0</v>
      </c>
      <c r="G257" s="421">
        <v>0</v>
      </c>
      <c r="H257" s="421">
        <v>-7300.9</v>
      </c>
      <c r="I257" s="371">
        <v>-7300.9</v>
      </c>
      <c r="J257" s="357">
        <v>0</v>
      </c>
      <c r="K257" s="357">
        <v>0</v>
      </c>
      <c r="L257" s="357">
        <v>-7300.9</v>
      </c>
    </row>
    <row r="258" spans="3:12" ht="15" customHeight="1" x14ac:dyDescent="0.3">
      <c r="C258" s="369" t="s">
        <v>4554</v>
      </c>
      <c r="D258" s="370" t="s">
        <v>932</v>
      </c>
      <c r="E258" s="421">
        <v>-30000</v>
      </c>
      <c r="F258" s="421">
        <v>0</v>
      </c>
      <c r="G258" s="421">
        <v>0</v>
      </c>
      <c r="H258" s="421">
        <v>-30000</v>
      </c>
      <c r="I258" s="371">
        <v>-30000</v>
      </c>
      <c r="J258" s="357">
        <v>0</v>
      </c>
      <c r="K258" s="357">
        <v>0</v>
      </c>
      <c r="L258" s="357">
        <v>-30000</v>
      </c>
    </row>
    <row r="259" spans="3:12" ht="15" customHeight="1" x14ac:dyDescent="0.3">
      <c r="C259" s="369" t="s">
        <v>4555</v>
      </c>
      <c r="D259" s="370" t="s">
        <v>935</v>
      </c>
      <c r="E259" s="421">
        <v>-130689.02</v>
      </c>
      <c r="F259" s="421">
        <v>0</v>
      </c>
      <c r="G259" s="421">
        <v>0</v>
      </c>
      <c r="H259" s="421">
        <v>-130689.02</v>
      </c>
      <c r="I259" s="371">
        <v>-130689.02</v>
      </c>
      <c r="J259" s="357">
        <v>0</v>
      </c>
      <c r="K259" s="357">
        <v>0</v>
      </c>
      <c r="L259" s="357">
        <v>-130689.02</v>
      </c>
    </row>
    <row r="260" spans="3:12" ht="15" customHeight="1" x14ac:dyDescent="0.3">
      <c r="C260" s="369" t="s">
        <v>4556</v>
      </c>
      <c r="D260" s="370" t="s">
        <v>3473</v>
      </c>
      <c r="E260" s="421">
        <v>0</v>
      </c>
      <c r="F260" s="421">
        <v>89309</v>
      </c>
      <c r="G260" s="421">
        <v>89309</v>
      </c>
      <c r="H260" s="421">
        <v>0</v>
      </c>
      <c r="I260" s="371">
        <v>0</v>
      </c>
      <c r="J260" s="357">
        <v>89309</v>
      </c>
      <c r="K260" s="357">
        <v>89309</v>
      </c>
      <c r="L260" s="357">
        <v>0</v>
      </c>
    </row>
    <row r="261" spans="3:12" ht="15" customHeight="1" x14ac:dyDescent="0.3">
      <c r="C261" s="369" t="s">
        <v>4557</v>
      </c>
      <c r="D261" s="370" t="s">
        <v>3474</v>
      </c>
      <c r="E261" s="421">
        <v>0</v>
      </c>
      <c r="F261" s="421">
        <v>69138.16</v>
      </c>
      <c r="G261" s="421">
        <v>69138.16</v>
      </c>
      <c r="H261" s="421">
        <v>0</v>
      </c>
      <c r="I261" s="371">
        <v>0</v>
      </c>
      <c r="J261" s="357">
        <v>69138.16</v>
      </c>
      <c r="K261" s="357">
        <v>69138.16</v>
      </c>
      <c r="L261" s="357">
        <v>0</v>
      </c>
    </row>
    <row r="262" spans="3:12" ht="15" customHeight="1" x14ac:dyDescent="0.3">
      <c r="C262" s="365" t="s">
        <v>4558</v>
      </c>
      <c r="D262" s="366" t="s">
        <v>3475</v>
      </c>
      <c r="E262" s="421">
        <v>-29498.1</v>
      </c>
      <c r="F262" s="421">
        <v>0</v>
      </c>
      <c r="G262" s="421">
        <v>0</v>
      </c>
      <c r="H262" s="421">
        <v>-29498.1</v>
      </c>
      <c r="I262" s="367">
        <v>-29498.1</v>
      </c>
      <c r="J262" s="356">
        <v>0</v>
      </c>
      <c r="K262" s="356">
        <v>0</v>
      </c>
      <c r="L262" s="356">
        <v>-29498.1</v>
      </c>
    </row>
    <row r="263" spans="3:12" ht="15" customHeight="1" x14ac:dyDescent="0.3">
      <c r="C263" s="369" t="s">
        <v>4559</v>
      </c>
      <c r="D263" s="370" t="s">
        <v>948</v>
      </c>
      <c r="E263" s="421">
        <v>-18626.23</v>
      </c>
      <c r="F263" s="421">
        <v>0</v>
      </c>
      <c r="G263" s="421">
        <v>0</v>
      </c>
      <c r="H263" s="421">
        <v>-18626.23</v>
      </c>
      <c r="I263" s="371">
        <v>-18626.23</v>
      </c>
      <c r="J263" s="357">
        <v>0</v>
      </c>
      <c r="K263" s="357">
        <v>0</v>
      </c>
      <c r="L263" s="357">
        <v>-18626.23</v>
      </c>
    </row>
    <row r="264" spans="3:12" ht="15" customHeight="1" x14ac:dyDescent="0.3">
      <c r="C264" s="369" t="s">
        <v>4560</v>
      </c>
      <c r="D264" s="370" t="s">
        <v>951</v>
      </c>
      <c r="E264" s="421">
        <v>-10871.87</v>
      </c>
      <c r="F264" s="421">
        <v>0</v>
      </c>
      <c r="G264" s="421">
        <v>0</v>
      </c>
      <c r="H264" s="421">
        <v>-10871.87</v>
      </c>
      <c r="I264" s="371">
        <v>-10871.87</v>
      </c>
      <c r="J264" s="357">
        <v>0</v>
      </c>
      <c r="K264" s="357">
        <v>0</v>
      </c>
      <c r="L264" s="357">
        <v>-10871.87</v>
      </c>
    </row>
    <row r="265" spans="3:12" ht="15" customHeight="1" x14ac:dyDescent="0.3">
      <c r="C265" s="365" t="s">
        <v>4561</v>
      </c>
      <c r="D265" s="366" t="s">
        <v>954</v>
      </c>
      <c r="E265" s="421">
        <v>-20812607.010000002</v>
      </c>
      <c r="F265" s="421">
        <v>23550084.32</v>
      </c>
      <c r="G265" s="421">
        <v>4904447.17</v>
      </c>
      <c r="H265" s="421">
        <v>-2166969.86</v>
      </c>
      <c r="I265" s="367">
        <v>-20812607.010000002</v>
      </c>
      <c r="J265" s="356">
        <v>23550084.32</v>
      </c>
      <c r="K265" s="356">
        <v>4904447.17</v>
      </c>
      <c r="L265" s="356">
        <v>-2166969.86</v>
      </c>
    </row>
    <row r="266" spans="3:12" ht="15" customHeight="1" x14ac:dyDescent="0.3">
      <c r="C266" s="369" t="s">
        <v>4562</v>
      </c>
      <c r="D266" s="370" t="s">
        <v>3476</v>
      </c>
      <c r="E266" s="421">
        <v>0</v>
      </c>
      <c r="F266" s="421">
        <v>0</v>
      </c>
      <c r="G266" s="421">
        <v>58720.59</v>
      </c>
      <c r="H266" s="421">
        <v>-58720.59</v>
      </c>
      <c r="I266" s="371">
        <v>0</v>
      </c>
      <c r="J266" s="357">
        <v>0</v>
      </c>
      <c r="K266" s="357">
        <v>58720.59</v>
      </c>
      <c r="L266" s="357">
        <v>-58720.59</v>
      </c>
    </row>
    <row r="267" spans="3:12" ht="15" customHeight="1" x14ac:dyDescent="0.3">
      <c r="C267" s="369" t="s">
        <v>4563</v>
      </c>
      <c r="D267" s="370" t="s">
        <v>958</v>
      </c>
      <c r="E267" s="421">
        <v>-20812607.010000002</v>
      </c>
      <c r="F267" s="421">
        <v>23500022.469999999</v>
      </c>
      <c r="G267" s="421">
        <v>4790114.7300000004</v>
      </c>
      <c r="H267" s="421">
        <v>-2102699.27</v>
      </c>
      <c r="I267" s="371">
        <v>-20812607.010000002</v>
      </c>
      <c r="J267" s="357">
        <v>23500022.469999999</v>
      </c>
      <c r="K267" s="357">
        <v>4790114.7300000004</v>
      </c>
      <c r="L267" s="357">
        <v>-2102699.27</v>
      </c>
    </row>
    <row r="268" spans="3:12" ht="15" customHeight="1" x14ac:dyDescent="0.3">
      <c r="C268" s="369" t="s">
        <v>4564</v>
      </c>
      <c r="D268" s="370" t="s">
        <v>3477</v>
      </c>
      <c r="E268" s="421">
        <v>0</v>
      </c>
      <c r="F268" s="421">
        <v>50061.85</v>
      </c>
      <c r="G268" s="421">
        <v>50061.85</v>
      </c>
      <c r="H268" s="421">
        <v>0</v>
      </c>
      <c r="I268" s="371">
        <v>0</v>
      </c>
      <c r="J268" s="357">
        <v>50061.85</v>
      </c>
      <c r="K268" s="357">
        <v>50061.85</v>
      </c>
      <c r="L268" s="357">
        <v>0</v>
      </c>
    </row>
    <row r="269" spans="3:12" ht="15" customHeight="1" x14ac:dyDescent="0.3">
      <c r="C269" s="369" t="s">
        <v>4565</v>
      </c>
      <c r="D269" s="370" t="s">
        <v>3478</v>
      </c>
      <c r="E269" s="421">
        <v>0</v>
      </c>
      <c r="F269" s="421">
        <v>0</v>
      </c>
      <c r="G269" s="421">
        <v>5550</v>
      </c>
      <c r="H269" s="421">
        <v>-5550</v>
      </c>
      <c r="I269" s="371">
        <v>0</v>
      </c>
      <c r="J269" s="357">
        <v>0</v>
      </c>
      <c r="K269" s="357">
        <v>5550</v>
      </c>
      <c r="L269" s="357">
        <v>-5550</v>
      </c>
    </row>
    <row r="270" spans="3:12" ht="15" customHeight="1" x14ac:dyDescent="0.3">
      <c r="C270" s="365" t="s">
        <v>4566</v>
      </c>
      <c r="D270" s="366" t="s">
        <v>3479</v>
      </c>
      <c r="E270" s="421">
        <v>-300841.14</v>
      </c>
      <c r="F270" s="421">
        <v>97070.77</v>
      </c>
      <c r="G270" s="421">
        <v>68167.259999999995</v>
      </c>
      <c r="H270" s="421">
        <v>-271937.63</v>
      </c>
      <c r="I270" s="367">
        <v>-300841.14</v>
      </c>
      <c r="J270" s="356">
        <v>97070.77</v>
      </c>
      <c r="K270" s="356">
        <v>68167.259999999995</v>
      </c>
      <c r="L270" s="356">
        <v>-271937.63</v>
      </c>
    </row>
    <row r="271" spans="3:12" ht="15" customHeight="1" x14ac:dyDescent="0.3">
      <c r="C271" s="369" t="s">
        <v>4567</v>
      </c>
      <c r="D271" s="370" t="s">
        <v>965</v>
      </c>
      <c r="E271" s="421">
        <v>-1076.93</v>
      </c>
      <c r="F271" s="421">
        <v>1076.93</v>
      </c>
      <c r="G271" s="421">
        <v>0</v>
      </c>
      <c r="H271" s="421">
        <v>0</v>
      </c>
      <c r="I271" s="371">
        <v>-1076.93</v>
      </c>
      <c r="J271" s="357">
        <v>1076.93</v>
      </c>
      <c r="K271" s="357">
        <v>0</v>
      </c>
      <c r="L271" s="357">
        <v>0</v>
      </c>
    </row>
    <row r="272" spans="3:12" ht="15" customHeight="1" x14ac:dyDescent="0.3">
      <c r="C272" s="369" t="s">
        <v>4568</v>
      </c>
      <c r="D272" s="370" t="s">
        <v>970</v>
      </c>
      <c r="E272" s="421">
        <v>-31783.88</v>
      </c>
      <c r="F272" s="421">
        <v>31783.88</v>
      </c>
      <c r="G272" s="421">
        <v>0</v>
      </c>
      <c r="H272" s="421">
        <v>0</v>
      </c>
      <c r="I272" s="371">
        <v>-31783.88</v>
      </c>
      <c r="J272" s="357">
        <v>31783.88</v>
      </c>
      <c r="K272" s="357">
        <v>0</v>
      </c>
      <c r="L272" s="357">
        <v>0</v>
      </c>
    </row>
    <row r="273" spans="3:12" ht="15" customHeight="1" x14ac:dyDescent="0.3">
      <c r="C273" s="369" t="s">
        <v>4569</v>
      </c>
      <c r="D273" s="370" t="s">
        <v>973</v>
      </c>
      <c r="E273" s="421">
        <v>-8698.98</v>
      </c>
      <c r="F273" s="421">
        <v>0</v>
      </c>
      <c r="G273" s="421">
        <v>0</v>
      </c>
      <c r="H273" s="421">
        <v>-8698.98</v>
      </c>
      <c r="I273" s="371">
        <v>-8698.98</v>
      </c>
      <c r="J273" s="357">
        <v>0</v>
      </c>
      <c r="K273" s="357">
        <v>0</v>
      </c>
      <c r="L273" s="357">
        <v>-8698.98</v>
      </c>
    </row>
    <row r="274" spans="3:12" ht="15" customHeight="1" x14ac:dyDescent="0.3">
      <c r="C274" s="369" t="s">
        <v>4570</v>
      </c>
      <c r="D274" s="370" t="s">
        <v>3480</v>
      </c>
      <c r="E274" s="421">
        <v>0</v>
      </c>
      <c r="F274" s="421">
        <v>0</v>
      </c>
      <c r="G274" s="421">
        <v>27561.3</v>
      </c>
      <c r="H274" s="421">
        <v>-27561.3</v>
      </c>
      <c r="I274" s="371">
        <v>0</v>
      </c>
      <c r="J274" s="357">
        <v>0</v>
      </c>
      <c r="K274" s="357">
        <v>27561.3</v>
      </c>
      <c r="L274" s="357">
        <v>-27561.3</v>
      </c>
    </row>
    <row r="275" spans="3:12" ht="15" customHeight="1" x14ac:dyDescent="0.3">
      <c r="C275" s="369" t="s">
        <v>4571</v>
      </c>
      <c r="D275" s="370" t="s">
        <v>976</v>
      </c>
      <c r="E275" s="421">
        <v>-2907.7</v>
      </c>
      <c r="F275" s="421">
        <v>0</v>
      </c>
      <c r="G275" s="421">
        <v>0</v>
      </c>
      <c r="H275" s="421">
        <v>-2907.7</v>
      </c>
      <c r="I275" s="371">
        <v>-2907.7</v>
      </c>
      <c r="J275" s="357">
        <v>0</v>
      </c>
      <c r="K275" s="357">
        <v>0</v>
      </c>
      <c r="L275" s="357">
        <v>-2907.7</v>
      </c>
    </row>
    <row r="276" spans="3:12" ht="15" customHeight="1" x14ac:dyDescent="0.3">
      <c r="C276" s="369" t="s">
        <v>4572</v>
      </c>
      <c r="D276" s="370" t="s">
        <v>982</v>
      </c>
      <c r="E276" s="421">
        <v>-2145.7399999999998</v>
      </c>
      <c r="F276" s="421">
        <v>0</v>
      </c>
      <c r="G276" s="421">
        <v>0</v>
      </c>
      <c r="H276" s="421">
        <v>-2145.7399999999998</v>
      </c>
      <c r="I276" s="371">
        <v>-2145.7399999999998</v>
      </c>
      <c r="J276" s="357">
        <v>0</v>
      </c>
      <c r="K276" s="357">
        <v>0</v>
      </c>
      <c r="L276" s="357">
        <v>-2145.7399999999998</v>
      </c>
    </row>
    <row r="277" spans="3:12" ht="15" customHeight="1" x14ac:dyDescent="0.3">
      <c r="C277" s="369" t="s">
        <v>4573</v>
      </c>
      <c r="D277" s="370" t="s">
        <v>988</v>
      </c>
      <c r="E277" s="421">
        <v>-9595.44</v>
      </c>
      <c r="F277" s="421">
        <v>2511.41</v>
      </c>
      <c r="G277" s="421">
        <v>0</v>
      </c>
      <c r="H277" s="421">
        <v>-7084.03</v>
      </c>
      <c r="I277" s="371">
        <v>-9595.44</v>
      </c>
      <c r="J277" s="357">
        <v>2511.41</v>
      </c>
      <c r="K277" s="357">
        <v>0</v>
      </c>
      <c r="L277" s="357">
        <v>-7084.03</v>
      </c>
    </row>
    <row r="278" spans="3:12" ht="15" customHeight="1" x14ac:dyDescent="0.3">
      <c r="C278" s="369" t="s">
        <v>4574</v>
      </c>
      <c r="D278" s="370" t="s">
        <v>991</v>
      </c>
      <c r="E278" s="421">
        <v>-13263.59</v>
      </c>
      <c r="F278" s="421">
        <v>19156.830000000002</v>
      </c>
      <c r="G278" s="421">
        <v>5893.24</v>
      </c>
      <c r="H278" s="421">
        <v>0</v>
      </c>
      <c r="I278" s="371">
        <v>-13263.59</v>
      </c>
      <c r="J278" s="357">
        <v>19156.830000000002</v>
      </c>
      <c r="K278" s="357">
        <v>5893.24</v>
      </c>
      <c r="L278" s="357">
        <v>0</v>
      </c>
    </row>
    <row r="279" spans="3:12" ht="15" customHeight="1" x14ac:dyDescent="0.3">
      <c r="C279" s="369" t="s">
        <v>4575</v>
      </c>
      <c r="D279" s="370" t="s">
        <v>995</v>
      </c>
      <c r="E279" s="421">
        <v>-6658.94</v>
      </c>
      <c r="F279" s="421">
        <v>0</v>
      </c>
      <c r="G279" s="421">
        <v>0</v>
      </c>
      <c r="H279" s="421">
        <v>-6658.94</v>
      </c>
      <c r="I279" s="371">
        <v>-6658.94</v>
      </c>
      <c r="J279" s="357">
        <v>0</v>
      </c>
      <c r="K279" s="357">
        <v>0</v>
      </c>
      <c r="L279" s="357">
        <v>-6658.94</v>
      </c>
    </row>
    <row r="280" spans="3:12" ht="15" customHeight="1" x14ac:dyDescent="0.3">
      <c r="C280" s="369" t="s">
        <v>4576</v>
      </c>
      <c r="D280" s="370" t="s">
        <v>998</v>
      </c>
      <c r="E280" s="421">
        <v>-103676.82</v>
      </c>
      <c r="F280" s="421">
        <v>0</v>
      </c>
      <c r="G280" s="421">
        <v>0</v>
      </c>
      <c r="H280" s="421">
        <v>-103676.82</v>
      </c>
      <c r="I280" s="371">
        <v>-103676.82</v>
      </c>
      <c r="J280" s="357">
        <v>0</v>
      </c>
      <c r="K280" s="357">
        <v>0</v>
      </c>
      <c r="L280" s="357">
        <v>-103676.82</v>
      </c>
    </row>
    <row r="281" spans="3:12" ht="15" customHeight="1" x14ac:dyDescent="0.3">
      <c r="C281" s="369" t="s">
        <v>4577</v>
      </c>
      <c r="D281" s="370" t="s">
        <v>1001</v>
      </c>
      <c r="E281" s="421">
        <v>-2777.3</v>
      </c>
      <c r="F281" s="421">
        <v>0</v>
      </c>
      <c r="G281" s="421">
        <v>0</v>
      </c>
      <c r="H281" s="421">
        <v>-2777.3</v>
      </c>
      <c r="I281" s="371">
        <v>-2777.3</v>
      </c>
      <c r="J281" s="357">
        <v>0</v>
      </c>
      <c r="K281" s="357">
        <v>0</v>
      </c>
      <c r="L281" s="357">
        <v>-2777.3</v>
      </c>
    </row>
    <row r="282" spans="3:12" ht="15" customHeight="1" x14ac:dyDescent="0.3">
      <c r="C282" s="369" t="s">
        <v>4578</v>
      </c>
      <c r="D282" s="370" t="s">
        <v>1004</v>
      </c>
      <c r="E282" s="421">
        <v>-79099.899999999994</v>
      </c>
      <c r="F282" s="421">
        <v>0</v>
      </c>
      <c r="G282" s="421">
        <v>0</v>
      </c>
      <c r="H282" s="421">
        <v>-79099.899999999994</v>
      </c>
      <c r="I282" s="371">
        <v>-79099.899999999994</v>
      </c>
      <c r="J282" s="357">
        <v>0</v>
      </c>
      <c r="K282" s="357">
        <v>0</v>
      </c>
      <c r="L282" s="357">
        <v>-79099.899999999994</v>
      </c>
    </row>
    <row r="283" spans="3:12" ht="15" customHeight="1" x14ac:dyDescent="0.3">
      <c r="C283" s="369" t="s">
        <v>4579</v>
      </c>
      <c r="D283" s="370" t="s">
        <v>1007</v>
      </c>
      <c r="E283" s="421">
        <v>-7010.8</v>
      </c>
      <c r="F283" s="421">
        <v>0</v>
      </c>
      <c r="G283" s="421">
        <v>0</v>
      </c>
      <c r="H283" s="421">
        <v>-7010.8</v>
      </c>
      <c r="I283" s="371">
        <v>-7010.8</v>
      </c>
      <c r="J283" s="357">
        <v>0</v>
      </c>
      <c r="K283" s="357">
        <v>0</v>
      </c>
      <c r="L283" s="357">
        <v>-7010.8</v>
      </c>
    </row>
    <row r="284" spans="3:12" ht="15" customHeight="1" x14ac:dyDescent="0.3">
      <c r="C284" s="369" t="s">
        <v>4580</v>
      </c>
      <c r="D284" s="370" t="s">
        <v>1010</v>
      </c>
      <c r="E284" s="421">
        <v>-3580</v>
      </c>
      <c r="F284" s="421">
        <v>0</v>
      </c>
      <c r="G284" s="421">
        <v>0</v>
      </c>
      <c r="H284" s="421">
        <v>-3580</v>
      </c>
      <c r="I284" s="371">
        <v>-3580</v>
      </c>
      <c r="J284" s="357">
        <v>0</v>
      </c>
      <c r="K284" s="357">
        <v>0</v>
      </c>
      <c r="L284" s="357">
        <v>-3580</v>
      </c>
    </row>
    <row r="285" spans="3:12" ht="15" customHeight="1" x14ac:dyDescent="0.3">
      <c r="C285" s="369" t="s">
        <v>4581</v>
      </c>
      <c r="D285" s="370" t="s">
        <v>1013</v>
      </c>
      <c r="E285" s="421">
        <v>-2040</v>
      </c>
      <c r="F285" s="421">
        <v>0</v>
      </c>
      <c r="G285" s="421">
        <v>0</v>
      </c>
      <c r="H285" s="421">
        <v>-2040</v>
      </c>
      <c r="I285" s="371">
        <v>-2040</v>
      </c>
      <c r="J285" s="357">
        <v>0</v>
      </c>
      <c r="K285" s="357">
        <v>0</v>
      </c>
      <c r="L285" s="357">
        <v>-2040</v>
      </c>
    </row>
    <row r="286" spans="3:12" ht="15" customHeight="1" x14ac:dyDescent="0.3">
      <c r="C286" s="369" t="s">
        <v>4582</v>
      </c>
      <c r="D286" s="370" t="s">
        <v>1016</v>
      </c>
      <c r="E286" s="421">
        <v>-7829</v>
      </c>
      <c r="F286" s="421">
        <v>7829</v>
      </c>
      <c r="G286" s="421">
        <v>0</v>
      </c>
      <c r="H286" s="421">
        <v>0</v>
      </c>
      <c r="I286" s="371">
        <v>-7829</v>
      </c>
      <c r="J286" s="357">
        <v>7829</v>
      </c>
      <c r="K286" s="357">
        <v>0</v>
      </c>
      <c r="L286" s="357">
        <v>0</v>
      </c>
    </row>
    <row r="287" spans="3:12" ht="15" customHeight="1" x14ac:dyDescent="0.3">
      <c r="C287" s="369" t="s">
        <v>4583</v>
      </c>
      <c r="D287" s="370" t="s">
        <v>1019</v>
      </c>
      <c r="E287" s="421">
        <v>-8906.14</v>
      </c>
      <c r="F287" s="421">
        <v>0</v>
      </c>
      <c r="G287" s="421">
        <v>0</v>
      </c>
      <c r="H287" s="421">
        <v>-8906.14</v>
      </c>
      <c r="I287" s="371">
        <v>-8906.14</v>
      </c>
      <c r="J287" s="357">
        <v>0</v>
      </c>
      <c r="K287" s="357">
        <v>0</v>
      </c>
      <c r="L287" s="357">
        <v>-8906.14</v>
      </c>
    </row>
    <row r="288" spans="3:12" ht="15" customHeight="1" x14ac:dyDescent="0.3">
      <c r="C288" s="369" t="s">
        <v>4584</v>
      </c>
      <c r="D288" s="370" t="s">
        <v>1022</v>
      </c>
      <c r="E288" s="421">
        <v>-9789.98</v>
      </c>
      <c r="F288" s="421">
        <v>0</v>
      </c>
      <c r="G288" s="421">
        <v>0</v>
      </c>
      <c r="H288" s="421">
        <v>-9789.98</v>
      </c>
      <c r="I288" s="371">
        <v>-9789.98</v>
      </c>
      <c r="J288" s="357">
        <v>0</v>
      </c>
      <c r="K288" s="357">
        <v>0</v>
      </c>
      <c r="L288" s="357">
        <v>-9789.98</v>
      </c>
    </row>
    <row r="289" spans="3:12" ht="15" customHeight="1" x14ac:dyDescent="0.3">
      <c r="C289" s="369" t="s">
        <v>4585</v>
      </c>
      <c r="D289" s="370" t="s">
        <v>3481</v>
      </c>
      <c r="E289" s="421">
        <v>0</v>
      </c>
      <c r="F289" s="421">
        <v>4988.58</v>
      </c>
      <c r="G289" s="421">
        <v>4988.58</v>
      </c>
      <c r="H289" s="421">
        <v>0</v>
      </c>
      <c r="I289" s="371">
        <v>0</v>
      </c>
      <c r="J289" s="357">
        <v>4988.58</v>
      </c>
      <c r="K289" s="357">
        <v>4988.58</v>
      </c>
      <c r="L289" s="357">
        <v>0</v>
      </c>
    </row>
    <row r="290" spans="3:12" ht="15" customHeight="1" x14ac:dyDescent="0.3">
      <c r="C290" s="369" t="s">
        <v>4586</v>
      </c>
      <c r="D290" s="370" t="s">
        <v>3482</v>
      </c>
      <c r="E290" s="421">
        <v>0</v>
      </c>
      <c r="F290" s="421">
        <v>22334.82</v>
      </c>
      <c r="G290" s="421">
        <v>22334.82</v>
      </c>
      <c r="H290" s="421">
        <v>0</v>
      </c>
      <c r="I290" s="371">
        <v>0</v>
      </c>
      <c r="J290" s="357">
        <v>22334.82</v>
      </c>
      <c r="K290" s="357">
        <v>22334.82</v>
      </c>
      <c r="L290" s="357">
        <v>0</v>
      </c>
    </row>
    <row r="291" spans="3:12" ht="15" customHeight="1" x14ac:dyDescent="0.3">
      <c r="C291" s="369" t="s">
        <v>4587</v>
      </c>
      <c r="D291" s="370" t="s">
        <v>3483</v>
      </c>
      <c r="E291" s="421">
        <v>0</v>
      </c>
      <c r="F291" s="421">
        <v>7288</v>
      </c>
      <c r="G291" s="421">
        <v>7288</v>
      </c>
      <c r="H291" s="421">
        <v>0</v>
      </c>
      <c r="I291" s="371">
        <v>0</v>
      </c>
      <c r="J291" s="357">
        <v>7288</v>
      </c>
      <c r="K291" s="357">
        <v>7288</v>
      </c>
      <c r="L291" s="357">
        <v>0</v>
      </c>
    </row>
    <row r="292" spans="3:12" ht="15" customHeight="1" x14ac:dyDescent="0.3">
      <c r="C292" s="369" t="s">
        <v>4588</v>
      </c>
      <c r="D292" s="370" t="s">
        <v>3484</v>
      </c>
      <c r="E292" s="421">
        <v>0</v>
      </c>
      <c r="F292" s="421">
        <v>101.32</v>
      </c>
      <c r="G292" s="421">
        <v>101.32</v>
      </c>
      <c r="H292" s="421">
        <v>0</v>
      </c>
      <c r="I292" s="371">
        <v>0</v>
      </c>
      <c r="J292" s="357">
        <v>101.32</v>
      </c>
      <c r="K292" s="357">
        <v>101.32</v>
      </c>
      <c r="L292" s="357">
        <v>0</v>
      </c>
    </row>
    <row r="293" spans="3:12" ht="15" customHeight="1" x14ac:dyDescent="0.3">
      <c r="C293" s="365" t="s">
        <v>4589</v>
      </c>
      <c r="D293" s="366" t="s">
        <v>3485</v>
      </c>
      <c r="E293" s="421">
        <v>-1455350.16</v>
      </c>
      <c r="F293" s="421">
        <v>7036643.4100000001</v>
      </c>
      <c r="G293" s="421">
        <v>6378043.5899999999</v>
      </c>
      <c r="H293" s="421">
        <v>-796750.34</v>
      </c>
      <c r="I293" s="367">
        <v>-1455350.16</v>
      </c>
      <c r="J293" s="356">
        <v>7036643.4100000001</v>
      </c>
      <c r="K293" s="356">
        <v>6378043.5899999999</v>
      </c>
      <c r="L293" s="356">
        <v>-796750.34</v>
      </c>
    </row>
    <row r="294" spans="3:12" ht="15" customHeight="1" x14ac:dyDescent="0.3">
      <c r="C294" s="369" t="s">
        <v>4590</v>
      </c>
      <c r="D294" s="370" t="s">
        <v>1042</v>
      </c>
      <c r="E294" s="421">
        <v>0</v>
      </c>
      <c r="F294" s="421">
        <v>122700.77</v>
      </c>
      <c r="G294" s="421">
        <v>122700.77</v>
      </c>
      <c r="H294" s="421">
        <v>0</v>
      </c>
      <c r="I294" s="371">
        <v>0</v>
      </c>
      <c r="J294" s="357">
        <v>122700.77</v>
      </c>
      <c r="K294" s="357">
        <v>122700.77</v>
      </c>
      <c r="L294" s="357">
        <v>0</v>
      </c>
    </row>
    <row r="295" spans="3:12" ht="15" customHeight="1" x14ac:dyDescent="0.3">
      <c r="C295" s="369" t="s">
        <v>4591</v>
      </c>
      <c r="D295" s="370" t="s">
        <v>1045</v>
      </c>
      <c r="E295" s="421">
        <v>0</v>
      </c>
      <c r="F295" s="421">
        <v>129607.58</v>
      </c>
      <c r="G295" s="421">
        <v>148530.17000000001</v>
      </c>
      <c r="H295" s="421">
        <v>-18922.59</v>
      </c>
      <c r="I295" s="371">
        <v>0</v>
      </c>
      <c r="J295" s="357">
        <v>129607.58</v>
      </c>
      <c r="K295" s="357">
        <v>148530.17000000001</v>
      </c>
      <c r="L295" s="357">
        <v>-18922.59</v>
      </c>
    </row>
    <row r="296" spans="3:12" ht="15" customHeight="1" x14ac:dyDescent="0.3">
      <c r="C296" s="369" t="s">
        <v>4592</v>
      </c>
      <c r="D296" s="370" t="s">
        <v>1047</v>
      </c>
      <c r="E296" s="421">
        <v>0</v>
      </c>
      <c r="F296" s="421">
        <v>25995.360000000001</v>
      </c>
      <c r="G296" s="421">
        <v>25995.360000000001</v>
      </c>
      <c r="H296" s="421">
        <v>0</v>
      </c>
      <c r="I296" s="371">
        <v>0</v>
      </c>
      <c r="J296" s="357">
        <v>25995.360000000001</v>
      </c>
      <c r="K296" s="357">
        <v>25995.360000000001</v>
      </c>
      <c r="L296" s="357">
        <v>0</v>
      </c>
    </row>
    <row r="297" spans="3:12" ht="15" customHeight="1" x14ac:dyDescent="0.3">
      <c r="C297" s="369" t="s">
        <v>4593</v>
      </c>
      <c r="D297" s="370" t="s">
        <v>1049</v>
      </c>
      <c r="E297" s="421">
        <v>0</v>
      </c>
      <c r="F297" s="421">
        <v>7334.77</v>
      </c>
      <c r="G297" s="421">
        <v>7334.77</v>
      </c>
      <c r="H297" s="421">
        <v>0</v>
      </c>
      <c r="I297" s="371">
        <v>0</v>
      </c>
      <c r="J297" s="357">
        <v>7334.77</v>
      </c>
      <c r="K297" s="357">
        <v>7334.77</v>
      </c>
      <c r="L297" s="357">
        <v>0</v>
      </c>
    </row>
    <row r="298" spans="3:12" ht="15" customHeight="1" x14ac:dyDescent="0.3">
      <c r="C298" s="369" t="s">
        <v>4594</v>
      </c>
      <c r="D298" s="370" t="s">
        <v>1051</v>
      </c>
      <c r="E298" s="421">
        <v>-22666.7</v>
      </c>
      <c r="F298" s="421">
        <v>0</v>
      </c>
      <c r="G298" s="421">
        <v>0</v>
      </c>
      <c r="H298" s="421">
        <v>-22666.7</v>
      </c>
      <c r="I298" s="371">
        <v>-22666.7</v>
      </c>
      <c r="J298" s="357">
        <v>0</v>
      </c>
      <c r="K298" s="357">
        <v>0</v>
      </c>
      <c r="L298" s="357">
        <v>-22666.7</v>
      </c>
    </row>
    <row r="299" spans="3:12" ht="15" customHeight="1" x14ac:dyDescent="0.3">
      <c r="C299" s="369" t="s">
        <v>4595</v>
      </c>
      <c r="D299" s="370" t="s">
        <v>1054</v>
      </c>
      <c r="E299" s="421">
        <v>-29565.8</v>
      </c>
      <c r="F299" s="421">
        <v>700</v>
      </c>
      <c r="G299" s="421">
        <v>0</v>
      </c>
      <c r="H299" s="421">
        <v>-28865.8</v>
      </c>
      <c r="I299" s="371">
        <v>-29565.8</v>
      </c>
      <c r="J299" s="357">
        <v>700</v>
      </c>
      <c r="K299" s="357">
        <v>0</v>
      </c>
      <c r="L299" s="357">
        <v>-28865.8</v>
      </c>
    </row>
    <row r="300" spans="3:12" ht="15" customHeight="1" x14ac:dyDescent="0.3">
      <c r="C300" s="369" t="s">
        <v>4596</v>
      </c>
      <c r="D300" s="370" t="s">
        <v>1057</v>
      </c>
      <c r="E300" s="421">
        <v>-14261.4</v>
      </c>
      <c r="F300" s="421">
        <v>0</v>
      </c>
      <c r="G300" s="421">
        <v>0</v>
      </c>
      <c r="H300" s="421">
        <v>-14261.4</v>
      </c>
      <c r="I300" s="371">
        <v>-14261.4</v>
      </c>
      <c r="J300" s="357">
        <v>0</v>
      </c>
      <c r="K300" s="357">
        <v>0</v>
      </c>
      <c r="L300" s="357">
        <v>-14261.4</v>
      </c>
    </row>
    <row r="301" spans="3:12" ht="15" customHeight="1" x14ac:dyDescent="0.3">
      <c r="C301" s="369" t="s">
        <v>4597</v>
      </c>
      <c r="D301" s="370" t="s">
        <v>1060</v>
      </c>
      <c r="E301" s="421">
        <v>-12464</v>
      </c>
      <c r="F301" s="421">
        <v>16305.96</v>
      </c>
      <c r="G301" s="421">
        <v>3841.96</v>
      </c>
      <c r="H301" s="421">
        <v>0</v>
      </c>
      <c r="I301" s="371">
        <v>-12464</v>
      </c>
      <c r="J301" s="357">
        <v>16305.96</v>
      </c>
      <c r="K301" s="357">
        <v>3841.96</v>
      </c>
      <c r="L301" s="357">
        <v>0</v>
      </c>
    </row>
    <row r="302" spans="3:12" ht="15" customHeight="1" x14ac:dyDescent="0.3">
      <c r="C302" s="369" t="s">
        <v>4598</v>
      </c>
      <c r="D302" s="370" t="s">
        <v>1063</v>
      </c>
      <c r="E302" s="421">
        <v>-722.42</v>
      </c>
      <c r="F302" s="421">
        <v>880.02</v>
      </c>
      <c r="G302" s="421">
        <v>157.6</v>
      </c>
      <c r="H302" s="421">
        <v>0</v>
      </c>
      <c r="I302" s="371">
        <v>-722.42</v>
      </c>
      <c r="J302" s="357">
        <v>880.02</v>
      </c>
      <c r="K302" s="357">
        <v>157.6</v>
      </c>
      <c r="L302" s="357">
        <v>0</v>
      </c>
    </row>
    <row r="303" spans="3:12" ht="15" customHeight="1" x14ac:dyDescent="0.3">
      <c r="C303" s="369" t="s">
        <v>4599</v>
      </c>
      <c r="D303" s="370" t="s">
        <v>1069</v>
      </c>
      <c r="E303" s="421">
        <v>-2201.83</v>
      </c>
      <c r="F303" s="421">
        <v>18141.63</v>
      </c>
      <c r="G303" s="421">
        <v>17801.29</v>
      </c>
      <c r="H303" s="421">
        <v>-1861.49</v>
      </c>
      <c r="I303" s="371">
        <v>-2201.83</v>
      </c>
      <c r="J303" s="357">
        <v>18141.63</v>
      </c>
      <c r="K303" s="357">
        <v>17801.29</v>
      </c>
      <c r="L303" s="357">
        <v>-1861.49</v>
      </c>
    </row>
    <row r="304" spans="3:12" ht="15" customHeight="1" x14ac:dyDescent="0.3">
      <c r="C304" s="369" t="s">
        <v>4600</v>
      </c>
      <c r="D304" s="370" t="s">
        <v>1071</v>
      </c>
      <c r="E304" s="421">
        <v>-492177.55</v>
      </c>
      <c r="F304" s="421">
        <v>717081.35</v>
      </c>
      <c r="G304" s="421">
        <v>224903.8</v>
      </c>
      <c r="H304" s="421">
        <v>0</v>
      </c>
      <c r="I304" s="371">
        <v>-492177.55</v>
      </c>
      <c r="J304" s="357">
        <v>717081.35</v>
      </c>
      <c r="K304" s="357">
        <v>224903.8</v>
      </c>
      <c r="L304" s="357">
        <v>0</v>
      </c>
    </row>
    <row r="305" spans="3:12" ht="15" customHeight="1" x14ac:dyDescent="0.3">
      <c r="C305" s="369" t="s">
        <v>4601</v>
      </c>
      <c r="D305" s="370" t="s">
        <v>3486</v>
      </c>
      <c r="E305" s="421">
        <v>0</v>
      </c>
      <c r="F305" s="421">
        <v>3349</v>
      </c>
      <c r="G305" s="421">
        <v>3349</v>
      </c>
      <c r="H305" s="421">
        <v>0</v>
      </c>
      <c r="I305" s="371">
        <v>0</v>
      </c>
      <c r="J305" s="357">
        <v>3349</v>
      </c>
      <c r="K305" s="357">
        <v>3349</v>
      </c>
      <c r="L305" s="357">
        <v>0</v>
      </c>
    </row>
    <row r="306" spans="3:12" ht="15" customHeight="1" x14ac:dyDescent="0.3">
      <c r="C306" s="369" t="s">
        <v>4602</v>
      </c>
      <c r="D306" s="370" t="s">
        <v>1074</v>
      </c>
      <c r="E306" s="421">
        <v>-25987.5</v>
      </c>
      <c r="F306" s="421">
        <v>0</v>
      </c>
      <c r="G306" s="421">
        <v>0</v>
      </c>
      <c r="H306" s="421">
        <v>-25987.5</v>
      </c>
      <c r="I306" s="371">
        <v>-25987.5</v>
      </c>
      <c r="J306" s="357">
        <v>0</v>
      </c>
      <c r="K306" s="357">
        <v>0</v>
      </c>
      <c r="L306" s="357">
        <v>-25987.5</v>
      </c>
    </row>
    <row r="307" spans="3:12" ht="15" customHeight="1" x14ac:dyDescent="0.3">
      <c r="C307" s="369" t="s">
        <v>4603</v>
      </c>
      <c r="D307" s="370" t="s">
        <v>1077</v>
      </c>
      <c r="E307" s="421">
        <v>-1400</v>
      </c>
      <c r="F307" s="421">
        <v>0</v>
      </c>
      <c r="G307" s="421">
        <v>0</v>
      </c>
      <c r="H307" s="421">
        <v>-1400</v>
      </c>
      <c r="I307" s="371">
        <v>-1400</v>
      </c>
      <c r="J307" s="357">
        <v>0</v>
      </c>
      <c r="K307" s="357">
        <v>0</v>
      </c>
      <c r="L307" s="357">
        <v>-1400</v>
      </c>
    </row>
    <row r="308" spans="3:12" ht="15" customHeight="1" x14ac:dyDescent="0.3">
      <c r="C308" s="369" t="s">
        <v>4604</v>
      </c>
      <c r="D308" s="370" t="s">
        <v>1080</v>
      </c>
      <c r="E308" s="421">
        <v>-62437.279999999999</v>
      </c>
      <c r="F308" s="421">
        <v>8860</v>
      </c>
      <c r="G308" s="421">
        <v>8860</v>
      </c>
      <c r="H308" s="421">
        <v>-62437.279999999999</v>
      </c>
      <c r="I308" s="371">
        <v>-62437.279999999999</v>
      </c>
      <c r="J308" s="357">
        <v>8860</v>
      </c>
      <c r="K308" s="357">
        <v>8860</v>
      </c>
      <c r="L308" s="357">
        <v>-62437.279999999999</v>
      </c>
    </row>
    <row r="309" spans="3:12" ht="15" customHeight="1" x14ac:dyDescent="0.3">
      <c r="C309" s="369" t="s">
        <v>4605</v>
      </c>
      <c r="D309" s="370" t="s">
        <v>1083</v>
      </c>
      <c r="E309" s="421">
        <v>0</v>
      </c>
      <c r="F309" s="421">
        <v>28051.279999999999</v>
      </c>
      <c r="G309" s="421">
        <v>28051.279999999999</v>
      </c>
      <c r="H309" s="421">
        <v>0</v>
      </c>
      <c r="I309" s="371">
        <v>0</v>
      </c>
      <c r="J309" s="357">
        <v>28051.279999999999</v>
      </c>
      <c r="K309" s="357">
        <v>28051.279999999999</v>
      </c>
      <c r="L309" s="357">
        <v>0</v>
      </c>
    </row>
    <row r="310" spans="3:12" ht="15" customHeight="1" x14ac:dyDescent="0.3">
      <c r="C310" s="369" t="s">
        <v>4606</v>
      </c>
      <c r="D310" s="370" t="s">
        <v>3487</v>
      </c>
      <c r="E310" s="421">
        <v>0</v>
      </c>
      <c r="F310" s="421">
        <v>22491.119999999999</v>
      </c>
      <c r="G310" s="421">
        <v>24365.38</v>
      </c>
      <c r="H310" s="421">
        <v>-1874.26</v>
      </c>
      <c r="I310" s="371">
        <v>0</v>
      </c>
      <c r="J310" s="357">
        <v>22491.119999999999</v>
      </c>
      <c r="K310" s="357">
        <v>24365.38</v>
      </c>
      <c r="L310" s="357">
        <v>-1874.26</v>
      </c>
    </row>
    <row r="311" spans="3:12" ht="15" customHeight="1" x14ac:dyDescent="0.3">
      <c r="C311" s="369" t="s">
        <v>4607</v>
      </c>
      <c r="D311" s="370" t="s">
        <v>1090</v>
      </c>
      <c r="E311" s="421">
        <v>-4568.3999999999996</v>
      </c>
      <c r="F311" s="421">
        <v>0</v>
      </c>
      <c r="G311" s="421">
        <v>0</v>
      </c>
      <c r="H311" s="421">
        <v>-4568.3999999999996</v>
      </c>
      <c r="I311" s="371">
        <v>-4568.3999999999996</v>
      </c>
      <c r="J311" s="357">
        <v>0</v>
      </c>
      <c r="K311" s="357">
        <v>0</v>
      </c>
      <c r="L311" s="357">
        <v>-4568.3999999999996</v>
      </c>
    </row>
    <row r="312" spans="3:12" ht="15" customHeight="1" x14ac:dyDescent="0.3">
      <c r="C312" s="369" t="s">
        <v>4608</v>
      </c>
      <c r="D312" s="370" t="s">
        <v>1093</v>
      </c>
      <c r="E312" s="421">
        <v>0</v>
      </c>
      <c r="F312" s="421">
        <v>4725.5</v>
      </c>
      <c r="G312" s="421">
        <v>4725.5</v>
      </c>
      <c r="H312" s="421">
        <v>0</v>
      </c>
      <c r="I312" s="371">
        <v>0</v>
      </c>
      <c r="J312" s="357">
        <v>4725.5</v>
      </c>
      <c r="K312" s="357">
        <v>4725.5</v>
      </c>
      <c r="L312" s="357">
        <v>0</v>
      </c>
    </row>
    <row r="313" spans="3:12" ht="15" customHeight="1" x14ac:dyDescent="0.3">
      <c r="C313" s="369" t="s">
        <v>4609</v>
      </c>
      <c r="D313" s="370" t="s">
        <v>1096</v>
      </c>
      <c r="E313" s="421">
        <v>0</v>
      </c>
      <c r="F313" s="421">
        <v>8608.4699999999993</v>
      </c>
      <c r="G313" s="421">
        <v>8608.4699999999993</v>
      </c>
      <c r="H313" s="421">
        <v>0</v>
      </c>
      <c r="I313" s="371">
        <v>0</v>
      </c>
      <c r="J313" s="357">
        <v>8608.4699999999993</v>
      </c>
      <c r="K313" s="357">
        <v>8608.4699999999993</v>
      </c>
      <c r="L313" s="357">
        <v>0</v>
      </c>
    </row>
    <row r="314" spans="3:12" ht="15" customHeight="1" x14ac:dyDescent="0.3">
      <c r="C314" s="369" t="s">
        <v>4610</v>
      </c>
      <c r="D314" s="370" t="s">
        <v>1098</v>
      </c>
      <c r="E314" s="421">
        <v>-2162.7399999999998</v>
      </c>
      <c r="F314" s="421">
        <v>0</v>
      </c>
      <c r="G314" s="421">
        <v>0</v>
      </c>
      <c r="H314" s="421">
        <v>-2162.7399999999998</v>
      </c>
      <c r="I314" s="371">
        <v>-2162.7399999999998</v>
      </c>
      <c r="J314" s="357">
        <v>0</v>
      </c>
      <c r="K314" s="357">
        <v>0</v>
      </c>
      <c r="L314" s="357">
        <v>-2162.7399999999998</v>
      </c>
    </row>
    <row r="315" spans="3:12" ht="15" customHeight="1" x14ac:dyDescent="0.3">
      <c r="C315" s="369" t="s">
        <v>4611</v>
      </c>
      <c r="D315" s="370" t="s">
        <v>3488</v>
      </c>
      <c r="E315" s="421">
        <v>-137959.88</v>
      </c>
      <c r="F315" s="421">
        <v>0</v>
      </c>
      <c r="G315" s="421">
        <v>0</v>
      </c>
      <c r="H315" s="421">
        <v>-137959.88</v>
      </c>
      <c r="I315" s="371">
        <v>-137959.88</v>
      </c>
      <c r="J315" s="357">
        <v>0</v>
      </c>
      <c r="K315" s="357">
        <v>0</v>
      </c>
      <c r="L315" s="357">
        <v>-137959.88</v>
      </c>
    </row>
    <row r="316" spans="3:12" ht="15" customHeight="1" x14ac:dyDescent="0.3">
      <c r="C316" s="369" t="s">
        <v>4612</v>
      </c>
      <c r="D316" s="370" t="s">
        <v>1101</v>
      </c>
      <c r="E316" s="421">
        <v>-125789.68</v>
      </c>
      <c r="F316" s="421">
        <v>121493.04</v>
      </c>
      <c r="G316" s="421">
        <v>121493.05</v>
      </c>
      <c r="H316" s="421">
        <v>-125789.69</v>
      </c>
      <c r="I316" s="371">
        <v>-125789.68</v>
      </c>
      <c r="J316" s="357">
        <v>121493.04</v>
      </c>
      <c r="K316" s="357">
        <v>121493.05</v>
      </c>
      <c r="L316" s="357">
        <v>-125789.69</v>
      </c>
    </row>
    <row r="317" spans="3:12" ht="15" customHeight="1" x14ac:dyDescent="0.3">
      <c r="C317" s="369" t="s">
        <v>4613</v>
      </c>
      <c r="D317" s="370" t="s">
        <v>1105</v>
      </c>
      <c r="E317" s="421">
        <v>-13894.5</v>
      </c>
      <c r="F317" s="421">
        <v>0</v>
      </c>
      <c r="G317" s="421">
        <v>0</v>
      </c>
      <c r="H317" s="421">
        <v>-13894.5</v>
      </c>
      <c r="I317" s="371">
        <v>-13894.5</v>
      </c>
      <c r="J317" s="357">
        <v>0</v>
      </c>
      <c r="K317" s="357">
        <v>0</v>
      </c>
      <c r="L317" s="357">
        <v>-13894.5</v>
      </c>
    </row>
    <row r="318" spans="3:12" ht="15" customHeight="1" x14ac:dyDescent="0.3">
      <c r="C318" s="369" t="s">
        <v>4614</v>
      </c>
      <c r="D318" s="370" t="s">
        <v>1108</v>
      </c>
      <c r="E318" s="421">
        <v>-93503.8</v>
      </c>
      <c r="F318" s="421">
        <v>0</v>
      </c>
      <c r="G318" s="421">
        <v>0</v>
      </c>
      <c r="H318" s="421">
        <v>-93503.8</v>
      </c>
      <c r="I318" s="371">
        <v>-93503.8</v>
      </c>
      <c r="J318" s="357">
        <v>0</v>
      </c>
      <c r="K318" s="357">
        <v>0</v>
      </c>
      <c r="L318" s="357">
        <v>-93503.8</v>
      </c>
    </row>
    <row r="319" spans="3:12" ht="15" customHeight="1" x14ac:dyDescent="0.3">
      <c r="C319" s="369" t="s">
        <v>4615</v>
      </c>
      <c r="D319" s="370" t="s">
        <v>1111</v>
      </c>
      <c r="E319" s="421">
        <v>-41935.82</v>
      </c>
      <c r="F319" s="421">
        <v>0</v>
      </c>
      <c r="G319" s="421">
        <v>0</v>
      </c>
      <c r="H319" s="421">
        <v>-41935.82</v>
      </c>
      <c r="I319" s="371">
        <v>-41935.82</v>
      </c>
      <c r="J319" s="357">
        <v>0</v>
      </c>
      <c r="K319" s="357">
        <v>0</v>
      </c>
      <c r="L319" s="357">
        <v>-41935.82</v>
      </c>
    </row>
    <row r="320" spans="3:12" ht="15" customHeight="1" x14ac:dyDescent="0.3">
      <c r="C320" s="369" t="s">
        <v>4616</v>
      </c>
      <c r="D320" s="370" t="s">
        <v>1115</v>
      </c>
      <c r="E320" s="421">
        <v>-4377.46</v>
      </c>
      <c r="F320" s="421">
        <v>0</v>
      </c>
      <c r="G320" s="421">
        <v>0</v>
      </c>
      <c r="H320" s="421">
        <v>-4377.46</v>
      </c>
      <c r="I320" s="371">
        <v>-4377.46</v>
      </c>
      <c r="J320" s="357">
        <v>0</v>
      </c>
      <c r="K320" s="357">
        <v>0</v>
      </c>
      <c r="L320" s="357">
        <v>-4377.46</v>
      </c>
    </row>
    <row r="321" spans="3:12" ht="15" customHeight="1" x14ac:dyDescent="0.3">
      <c r="C321" s="369" t="s">
        <v>4617</v>
      </c>
      <c r="D321" s="370" t="s">
        <v>1118</v>
      </c>
      <c r="E321" s="421">
        <v>-7498.61</v>
      </c>
      <c r="F321" s="421">
        <v>0</v>
      </c>
      <c r="G321" s="421">
        <v>0</v>
      </c>
      <c r="H321" s="421">
        <v>-7498.61</v>
      </c>
      <c r="I321" s="371">
        <v>-7498.61</v>
      </c>
      <c r="J321" s="357">
        <v>0</v>
      </c>
      <c r="K321" s="357">
        <v>0</v>
      </c>
      <c r="L321" s="357">
        <v>-7498.61</v>
      </c>
    </row>
    <row r="322" spans="3:12" ht="15" customHeight="1" x14ac:dyDescent="0.3">
      <c r="C322" s="369" t="s">
        <v>4618</v>
      </c>
      <c r="D322" s="370" t="s">
        <v>1121</v>
      </c>
      <c r="E322" s="421">
        <v>-57733.22</v>
      </c>
      <c r="F322" s="421">
        <v>0</v>
      </c>
      <c r="G322" s="421">
        <v>0</v>
      </c>
      <c r="H322" s="421">
        <v>-57733.22</v>
      </c>
      <c r="I322" s="371">
        <v>-57733.22</v>
      </c>
      <c r="J322" s="357">
        <v>0</v>
      </c>
      <c r="K322" s="357">
        <v>0</v>
      </c>
      <c r="L322" s="357">
        <v>-57733.22</v>
      </c>
    </row>
    <row r="323" spans="3:12" ht="15" customHeight="1" x14ac:dyDescent="0.3">
      <c r="C323" s="369" t="s">
        <v>4619</v>
      </c>
      <c r="D323" s="370" t="s">
        <v>1124</v>
      </c>
      <c r="E323" s="421">
        <v>-3140</v>
      </c>
      <c r="F323" s="421">
        <v>0</v>
      </c>
      <c r="G323" s="421">
        <v>0</v>
      </c>
      <c r="H323" s="421">
        <v>-3140</v>
      </c>
      <c r="I323" s="371">
        <v>-3140</v>
      </c>
      <c r="J323" s="357">
        <v>0</v>
      </c>
      <c r="K323" s="357">
        <v>0</v>
      </c>
      <c r="L323" s="357">
        <v>-3140</v>
      </c>
    </row>
    <row r="324" spans="3:12" ht="15" customHeight="1" x14ac:dyDescent="0.3">
      <c r="C324" s="369" t="s">
        <v>4620</v>
      </c>
      <c r="D324" s="370" t="s">
        <v>1127</v>
      </c>
      <c r="E324" s="421">
        <v>-8101.4</v>
      </c>
      <c r="F324" s="421">
        <v>0</v>
      </c>
      <c r="G324" s="421">
        <v>0</v>
      </c>
      <c r="H324" s="421">
        <v>-8101.4</v>
      </c>
      <c r="I324" s="371">
        <v>-8101.4</v>
      </c>
      <c r="J324" s="357">
        <v>0</v>
      </c>
      <c r="K324" s="357">
        <v>0</v>
      </c>
      <c r="L324" s="357">
        <v>-8101.4</v>
      </c>
    </row>
    <row r="325" spans="3:12" ht="15" customHeight="1" x14ac:dyDescent="0.3">
      <c r="C325" s="369" t="s">
        <v>4621</v>
      </c>
      <c r="D325" s="370" t="s">
        <v>1130</v>
      </c>
      <c r="E325" s="421">
        <v>-51272.75</v>
      </c>
      <c r="F325" s="421">
        <v>51272.75</v>
      </c>
      <c r="G325" s="421">
        <v>0</v>
      </c>
      <c r="H325" s="421">
        <v>0</v>
      </c>
      <c r="I325" s="371">
        <v>-51272.75</v>
      </c>
      <c r="J325" s="357">
        <v>51272.75</v>
      </c>
      <c r="K325" s="357">
        <v>0</v>
      </c>
      <c r="L325" s="357">
        <v>0</v>
      </c>
    </row>
    <row r="326" spans="3:12" ht="15" customHeight="1" x14ac:dyDescent="0.3">
      <c r="C326" s="369" t="s">
        <v>4622</v>
      </c>
      <c r="D326" s="370" t="s">
        <v>1133</v>
      </c>
      <c r="E326" s="421">
        <v>-2979.95</v>
      </c>
      <c r="F326" s="421">
        <v>4351.95</v>
      </c>
      <c r="G326" s="421">
        <v>1372</v>
      </c>
      <c r="H326" s="421">
        <v>0</v>
      </c>
      <c r="I326" s="371">
        <v>-2979.95</v>
      </c>
      <c r="J326" s="357">
        <v>4351.95</v>
      </c>
      <c r="K326" s="357">
        <v>1372</v>
      </c>
      <c r="L326" s="357">
        <v>0</v>
      </c>
    </row>
    <row r="327" spans="3:12" ht="15" customHeight="1" x14ac:dyDescent="0.3">
      <c r="C327" s="369" t="s">
        <v>4623</v>
      </c>
      <c r="D327" s="370" t="s">
        <v>1137</v>
      </c>
      <c r="E327" s="421">
        <v>-21663.5</v>
      </c>
      <c r="F327" s="421">
        <v>0</v>
      </c>
      <c r="G327" s="421">
        <v>0</v>
      </c>
      <c r="H327" s="421">
        <v>-21663.5</v>
      </c>
      <c r="I327" s="371">
        <v>-21663.5</v>
      </c>
      <c r="J327" s="357">
        <v>0</v>
      </c>
      <c r="K327" s="357">
        <v>0</v>
      </c>
      <c r="L327" s="357">
        <v>-21663.5</v>
      </c>
    </row>
    <row r="328" spans="3:12" ht="15" customHeight="1" x14ac:dyDescent="0.3">
      <c r="C328" s="369" t="s">
        <v>4624</v>
      </c>
      <c r="D328" s="370" t="s">
        <v>1140</v>
      </c>
      <c r="E328" s="421">
        <v>0</v>
      </c>
      <c r="F328" s="421">
        <v>8820</v>
      </c>
      <c r="G328" s="421">
        <v>8820</v>
      </c>
      <c r="H328" s="421">
        <v>0</v>
      </c>
      <c r="I328" s="371">
        <v>0</v>
      </c>
      <c r="J328" s="357">
        <v>8820</v>
      </c>
      <c r="K328" s="357">
        <v>8820</v>
      </c>
      <c r="L328" s="357">
        <v>0</v>
      </c>
    </row>
    <row r="329" spans="3:12" ht="15" customHeight="1" x14ac:dyDescent="0.3">
      <c r="C329" s="369" t="s">
        <v>4625</v>
      </c>
      <c r="D329" s="370" t="s">
        <v>1142</v>
      </c>
      <c r="E329" s="421">
        <v>0</v>
      </c>
      <c r="F329" s="421">
        <v>14714.39</v>
      </c>
      <c r="G329" s="421">
        <v>14714.39</v>
      </c>
      <c r="H329" s="421">
        <v>0</v>
      </c>
      <c r="I329" s="371">
        <v>0</v>
      </c>
      <c r="J329" s="357">
        <v>14714.39</v>
      </c>
      <c r="K329" s="357">
        <v>14714.39</v>
      </c>
      <c r="L329" s="357">
        <v>0</v>
      </c>
    </row>
    <row r="330" spans="3:12" ht="15" customHeight="1" x14ac:dyDescent="0.3">
      <c r="C330" s="369" t="s">
        <v>4626</v>
      </c>
      <c r="D330" s="370" t="s">
        <v>1148</v>
      </c>
      <c r="E330" s="421">
        <v>-6860</v>
      </c>
      <c r="F330" s="421">
        <v>0</v>
      </c>
      <c r="G330" s="421">
        <v>0</v>
      </c>
      <c r="H330" s="421">
        <v>-6860</v>
      </c>
      <c r="I330" s="371">
        <v>-6860</v>
      </c>
      <c r="J330" s="357">
        <v>0</v>
      </c>
      <c r="K330" s="357">
        <v>0</v>
      </c>
      <c r="L330" s="357">
        <v>-6860</v>
      </c>
    </row>
    <row r="331" spans="3:12" ht="15" customHeight="1" x14ac:dyDescent="0.3">
      <c r="C331" s="369" t="s">
        <v>4627</v>
      </c>
      <c r="D331" s="370" t="s">
        <v>1151</v>
      </c>
      <c r="E331" s="421">
        <v>-8126.96</v>
      </c>
      <c r="F331" s="421">
        <v>8126.96</v>
      </c>
      <c r="G331" s="421">
        <v>0</v>
      </c>
      <c r="H331" s="421">
        <v>0</v>
      </c>
      <c r="I331" s="371">
        <v>-8126.96</v>
      </c>
      <c r="J331" s="357">
        <v>8126.96</v>
      </c>
      <c r="K331" s="357">
        <v>0</v>
      </c>
      <c r="L331" s="357">
        <v>0</v>
      </c>
    </row>
    <row r="332" spans="3:12" ht="15" customHeight="1" x14ac:dyDescent="0.3">
      <c r="C332" s="369" t="s">
        <v>4628</v>
      </c>
      <c r="D332" s="370" t="s">
        <v>1154</v>
      </c>
      <c r="E332" s="421">
        <v>-6400.35</v>
      </c>
      <c r="F332" s="421">
        <v>0</v>
      </c>
      <c r="G332" s="421">
        <v>0</v>
      </c>
      <c r="H332" s="421">
        <v>-6400.35</v>
      </c>
      <c r="I332" s="371">
        <v>-6400.35</v>
      </c>
      <c r="J332" s="357">
        <v>0</v>
      </c>
      <c r="K332" s="357">
        <v>0</v>
      </c>
      <c r="L332" s="357">
        <v>-6400.35</v>
      </c>
    </row>
    <row r="333" spans="3:12" ht="15" customHeight="1" x14ac:dyDescent="0.3">
      <c r="C333" s="369" t="s">
        <v>4629</v>
      </c>
      <c r="D333" s="370" t="s">
        <v>1157</v>
      </c>
      <c r="E333" s="421">
        <v>-5880</v>
      </c>
      <c r="F333" s="421">
        <v>0</v>
      </c>
      <c r="G333" s="421">
        <v>0</v>
      </c>
      <c r="H333" s="421">
        <v>-5880</v>
      </c>
      <c r="I333" s="371">
        <v>-5880</v>
      </c>
      <c r="J333" s="357">
        <v>0</v>
      </c>
      <c r="K333" s="357">
        <v>0</v>
      </c>
      <c r="L333" s="357">
        <v>-5880</v>
      </c>
    </row>
    <row r="334" spans="3:12" ht="15" customHeight="1" x14ac:dyDescent="0.3">
      <c r="C334" s="369" t="s">
        <v>4630</v>
      </c>
      <c r="D334" s="370" t="s">
        <v>1163</v>
      </c>
      <c r="E334" s="421">
        <v>-16000</v>
      </c>
      <c r="F334" s="421">
        <v>0</v>
      </c>
      <c r="G334" s="421">
        <v>0</v>
      </c>
      <c r="H334" s="421">
        <v>-16000</v>
      </c>
      <c r="I334" s="371">
        <v>-16000</v>
      </c>
      <c r="J334" s="357">
        <v>0</v>
      </c>
      <c r="K334" s="357">
        <v>0</v>
      </c>
      <c r="L334" s="357">
        <v>-16000</v>
      </c>
    </row>
    <row r="335" spans="3:12" ht="15" customHeight="1" x14ac:dyDescent="0.3">
      <c r="C335" s="369" t="s">
        <v>4631</v>
      </c>
      <c r="D335" s="370" t="s">
        <v>1166</v>
      </c>
      <c r="E335" s="421">
        <v>-20834.7</v>
      </c>
      <c r="F335" s="421">
        <v>0</v>
      </c>
      <c r="G335" s="421">
        <v>0</v>
      </c>
      <c r="H335" s="421">
        <v>-20834.7</v>
      </c>
      <c r="I335" s="371">
        <v>-20834.7</v>
      </c>
      <c r="J335" s="357">
        <v>0</v>
      </c>
      <c r="K335" s="357">
        <v>0</v>
      </c>
      <c r="L335" s="357">
        <v>-20834.7</v>
      </c>
    </row>
    <row r="336" spans="3:12" ht="15" customHeight="1" x14ac:dyDescent="0.3">
      <c r="C336" s="369" t="s">
        <v>4632</v>
      </c>
      <c r="D336" s="370" t="s">
        <v>1169</v>
      </c>
      <c r="E336" s="421">
        <v>-8108.32</v>
      </c>
      <c r="F336" s="421">
        <v>0</v>
      </c>
      <c r="G336" s="421">
        <v>0</v>
      </c>
      <c r="H336" s="421">
        <v>-8108.32</v>
      </c>
      <c r="I336" s="371">
        <v>-8108.32</v>
      </c>
      <c r="J336" s="357">
        <v>0</v>
      </c>
      <c r="K336" s="357">
        <v>0</v>
      </c>
      <c r="L336" s="357">
        <v>-8108.32</v>
      </c>
    </row>
    <row r="337" spans="3:12" ht="15" customHeight="1" x14ac:dyDescent="0.3">
      <c r="C337" s="369" t="s">
        <v>4633</v>
      </c>
      <c r="D337" s="370" t="s">
        <v>1176</v>
      </c>
      <c r="E337" s="421">
        <v>-4000</v>
      </c>
      <c r="F337" s="421">
        <v>0</v>
      </c>
      <c r="G337" s="421">
        <v>0</v>
      </c>
      <c r="H337" s="421">
        <v>-4000</v>
      </c>
      <c r="I337" s="371">
        <v>-4000</v>
      </c>
      <c r="J337" s="357">
        <v>0</v>
      </c>
      <c r="K337" s="357">
        <v>0</v>
      </c>
      <c r="L337" s="357">
        <v>-4000</v>
      </c>
    </row>
    <row r="338" spans="3:12" ht="15" customHeight="1" x14ac:dyDescent="0.3">
      <c r="C338" s="369" t="s">
        <v>4634</v>
      </c>
      <c r="D338" s="370" t="s">
        <v>1182</v>
      </c>
      <c r="E338" s="421">
        <v>-11074.28</v>
      </c>
      <c r="F338" s="421">
        <v>0</v>
      </c>
      <c r="G338" s="421">
        <v>0</v>
      </c>
      <c r="H338" s="421">
        <v>-11074.28</v>
      </c>
      <c r="I338" s="371">
        <v>-11074.28</v>
      </c>
      <c r="J338" s="357">
        <v>0</v>
      </c>
      <c r="K338" s="357">
        <v>0</v>
      </c>
      <c r="L338" s="357">
        <v>-11074.28</v>
      </c>
    </row>
    <row r="339" spans="3:12" ht="15" customHeight="1" x14ac:dyDescent="0.3">
      <c r="C339" s="369" t="s">
        <v>4635</v>
      </c>
      <c r="D339" s="370" t="s">
        <v>3489</v>
      </c>
      <c r="E339" s="421">
        <v>0</v>
      </c>
      <c r="F339" s="421">
        <v>2071</v>
      </c>
      <c r="G339" s="421">
        <v>2071</v>
      </c>
      <c r="H339" s="421">
        <v>0</v>
      </c>
      <c r="I339" s="371">
        <v>0</v>
      </c>
      <c r="J339" s="357">
        <v>2071</v>
      </c>
      <c r="K339" s="357">
        <v>2071</v>
      </c>
      <c r="L339" s="357">
        <v>0</v>
      </c>
    </row>
    <row r="340" spans="3:12" ht="15" customHeight="1" x14ac:dyDescent="0.3">
      <c r="C340" s="369" t="s">
        <v>4636</v>
      </c>
      <c r="D340" s="370" t="s">
        <v>3490</v>
      </c>
      <c r="E340" s="421">
        <v>0</v>
      </c>
      <c r="F340" s="421">
        <v>362189.34</v>
      </c>
      <c r="G340" s="421">
        <v>362189.34</v>
      </c>
      <c r="H340" s="421">
        <v>0</v>
      </c>
      <c r="I340" s="371">
        <v>0</v>
      </c>
      <c r="J340" s="357">
        <v>362189.34</v>
      </c>
      <c r="K340" s="357">
        <v>362189.34</v>
      </c>
      <c r="L340" s="357">
        <v>0</v>
      </c>
    </row>
    <row r="341" spans="3:12" ht="15" customHeight="1" x14ac:dyDescent="0.3">
      <c r="C341" s="369" t="s">
        <v>4637</v>
      </c>
      <c r="D341" s="370" t="s">
        <v>3491</v>
      </c>
      <c r="E341" s="421">
        <v>0</v>
      </c>
      <c r="F341" s="421">
        <v>2333.0700000000002</v>
      </c>
      <c r="G341" s="421">
        <v>2333.0700000000002</v>
      </c>
      <c r="H341" s="421">
        <v>0</v>
      </c>
      <c r="I341" s="371">
        <v>0</v>
      </c>
      <c r="J341" s="357">
        <v>2333.0700000000002</v>
      </c>
      <c r="K341" s="357">
        <v>2333.0700000000002</v>
      </c>
      <c r="L341" s="357">
        <v>0</v>
      </c>
    </row>
    <row r="342" spans="3:12" ht="15" customHeight="1" x14ac:dyDescent="0.3">
      <c r="C342" s="369" t="s">
        <v>4638</v>
      </c>
      <c r="D342" s="370" t="s">
        <v>1189</v>
      </c>
      <c r="E342" s="421">
        <v>0</v>
      </c>
      <c r="F342" s="421">
        <v>8006.57</v>
      </c>
      <c r="G342" s="421">
        <v>8006.57</v>
      </c>
      <c r="H342" s="421">
        <v>0</v>
      </c>
      <c r="I342" s="371">
        <v>0</v>
      </c>
      <c r="J342" s="357">
        <v>8006.57</v>
      </c>
      <c r="K342" s="357">
        <v>8006.57</v>
      </c>
      <c r="L342" s="357">
        <v>0</v>
      </c>
    </row>
    <row r="343" spans="3:12" ht="15" customHeight="1" x14ac:dyDescent="0.3">
      <c r="C343" s="369" t="s">
        <v>4639</v>
      </c>
      <c r="D343" s="370" t="s">
        <v>1193</v>
      </c>
      <c r="E343" s="421">
        <v>-3251.01</v>
      </c>
      <c r="F343" s="421">
        <v>3251.01</v>
      </c>
      <c r="G343" s="421">
        <v>0</v>
      </c>
      <c r="H343" s="421">
        <v>0</v>
      </c>
      <c r="I343" s="371">
        <v>-3251.01</v>
      </c>
      <c r="J343" s="357">
        <v>3251.01</v>
      </c>
      <c r="K343" s="357">
        <v>0</v>
      </c>
      <c r="L343" s="357">
        <v>0</v>
      </c>
    </row>
    <row r="344" spans="3:12" ht="15" customHeight="1" x14ac:dyDescent="0.3">
      <c r="C344" s="369" t="s">
        <v>4640</v>
      </c>
      <c r="D344" s="370" t="s">
        <v>1196</v>
      </c>
      <c r="E344" s="421">
        <v>-1549.6</v>
      </c>
      <c r="F344" s="421">
        <v>0</v>
      </c>
      <c r="G344" s="421">
        <v>119</v>
      </c>
      <c r="H344" s="421">
        <v>-1668.6</v>
      </c>
      <c r="I344" s="371">
        <v>-1549.6</v>
      </c>
      <c r="J344" s="357">
        <v>0</v>
      </c>
      <c r="K344" s="357">
        <v>119</v>
      </c>
      <c r="L344" s="357">
        <v>-1668.6</v>
      </c>
    </row>
    <row r="345" spans="3:12" ht="15" customHeight="1" x14ac:dyDescent="0.3">
      <c r="C345" s="369" t="s">
        <v>4641</v>
      </c>
      <c r="D345" s="370" t="s">
        <v>1200</v>
      </c>
      <c r="E345" s="421">
        <v>-13500</v>
      </c>
      <c r="F345" s="421">
        <v>0</v>
      </c>
      <c r="G345" s="421">
        <v>0</v>
      </c>
      <c r="H345" s="421">
        <v>-13500</v>
      </c>
      <c r="I345" s="371">
        <v>-13500</v>
      </c>
      <c r="J345" s="357">
        <v>0</v>
      </c>
      <c r="K345" s="357">
        <v>0</v>
      </c>
      <c r="L345" s="357">
        <v>-13500</v>
      </c>
    </row>
    <row r="346" spans="3:12" ht="15" customHeight="1" x14ac:dyDescent="0.3">
      <c r="C346" s="369" t="s">
        <v>4642</v>
      </c>
      <c r="D346" s="370" t="s">
        <v>1203</v>
      </c>
      <c r="E346" s="421">
        <v>0</v>
      </c>
      <c r="F346" s="421">
        <v>362068.76</v>
      </c>
      <c r="G346" s="421">
        <v>362068.76</v>
      </c>
      <c r="H346" s="421">
        <v>0</v>
      </c>
      <c r="I346" s="371">
        <v>0</v>
      </c>
      <c r="J346" s="357">
        <v>362068.76</v>
      </c>
      <c r="K346" s="357">
        <v>362068.76</v>
      </c>
      <c r="L346" s="357">
        <v>0</v>
      </c>
    </row>
    <row r="347" spans="3:12" ht="15" customHeight="1" x14ac:dyDescent="0.3">
      <c r="C347" s="369" t="s">
        <v>4643</v>
      </c>
      <c r="D347" s="370" t="s">
        <v>1206</v>
      </c>
      <c r="E347" s="421">
        <v>0</v>
      </c>
      <c r="F347" s="421">
        <v>30015</v>
      </c>
      <c r="G347" s="421">
        <v>30015</v>
      </c>
      <c r="H347" s="421">
        <v>0</v>
      </c>
      <c r="I347" s="371">
        <v>0</v>
      </c>
      <c r="J347" s="357">
        <v>30015</v>
      </c>
      <c r="K347" s="357">
        <v>30015</v>
      </c>
      <c r="L347" s="357">
        <v>0</v>
      </c>
    </row>
    <row r="348" spans="3:12" ht="15" customHeight="1" x14ac:dyDescent="0.3">
      <c r="C348" s="369" t="s">
        <v>4644</v>
      </c>
      <c r="D348" s="370" t="s">
        <v>1212</v>
      </c>
      <c r="E348" s="421">
        <v>0</v>
      </c>
      <c r="F348" s="421">
        <v>22561.629999999997</v>
      </c>
      <c r="G348" s="421">
        <v>22561.63</v>
      </c>
      <c r="H348" s="421">
        <v>0</v>
      </c>
      <c r="I348" s="371">
        <v>0</v>
      </c>
      <c r="J348" s="357">
        <v>22561.629999999997</v>
      </c>
      <c r="K348" s="357">
        <v>22561.63</v>
      </c>
      <c r="L348" s="357">
        <v>0</v>
      </c>
    </row>
    <row r="349" spans="3:12" ht="15" customHeight="1" x14ac:dyDescent="0.3">
      <c r="C349" s="369" t="s">
        <v>4645</v>
      </c>
      <c r="D349" s="370" t="s">
        <v>1219</v>
      </c>
      <c r="E349" s="421">
        <v>0</v>
      </c>
      <c r="F349" s="421">
        <v>24181.42</v>
      </c>
      <c r="G349" s="421">
        <v>24213.49</v>
      </c>
      <c r="H349" s="421">
        <v>-32.07</v>
      </c>
      <c r="I349" s="371">
        <v>0</v>
      </c>
      <c r="J349" s="357">
        <v>24181.42</v>
      </c>
      <c r="K349" s="357">
        <v>24213.49</v>
      </c>
      <c r="L349" s="357">
        <v>-32.07</v>
      </c>
    </row>
    <row r="350" spans="3:12" ht="15" customHeight="1" x14ac:dyDescent="0.3">
      <c r="C350" s="369" t="s">
        <v>4646</v>
      </c>
      <c r="D350" s="370" t="s">
        <v>1226</v>
      </c>
      <c r="E350" s="421">
        <v>0</v>
      </c>
      <c r="F350" s="421">
        <v>51562.76</v>
      </c>
      <c r="G350" s="421">
        <v>51562.76</v>
      </c>
      <c r="H350" s="421">
        <v>0</v>
      </c>
      <c r="I350" s="371">
        <v>0</v>
      </c>
      <c r="J350" s="357">
        <v>51562.76</v>
      </c>
      <c r="K350" s="357">
        <v>51562.76</v>
      </c>
      <c r="L350" s="357">
        <v>0</v>
      </c>
    </row>
    <row r="351" spans="3:12" ht="15" customHeight="1" x14ac:dyDescent="0.3">
      <c r="C351" s="369" t="s">
        <v>4647</v>
      </c>
      <c r="D351" s="370" t="s">
        <v>3492</v>
      </c>
      <c r="E351" s="421">
        <v>0</v>
      </c>
      <c r="F351" s="421">
        <v>1040.8</v>
      </c>
      <c r="G351" s="421">
        <v>1040.8</v>
      </c>
      <c r="H351" s="421">
        <v>0</v>
      </c>
      <c r="I351" s="371">
        <v>0</v>
      </c>
      <c r="J351" s="357">
        <v>1040.8</v>
      </c>
      <c r="K351" s="357">
        <v>1040.8</v>
      </c>
      <c r="L351" s="357">
        <v>0</v>
      </c>
    </row>
    <row r="352" spans="3:12" ht="15" customHeight="1" x14ac:dyDescent="0.3">
      <c r="C352" s="369" t="s">
        <v>4648</v>
      </c>
      <c r="D352" s="370" t="s">
        <v>3493</v>
      </c>
      <c r="E352" s="421">
        <v>0</v>
      </c>
      <c r="F352" s="421">
        <v>1561963.37</v>
      </c>
      <c r="G352" s="421">
        <v>1561963.37</v>
      </c>
      <c r="H352" s="421">
        <v>0</v>
      </c>
      <c r="I352" s="371">
        <v>0</v>
      </c>
      <c r="J352" s="357">
        <v>1561963.37</v>
      </c>
      <c r="K352" s="357">
        <v>1561963.37</v>
      </c>
      <c r="L352" s="357">
        <v>0</v>
      </c>
    </row>
    <row r="353" spans="3:12" ht="15" customHeight="1" x14ac:dyDescent="0.3">
      <c r="C353" s="369" t="s">
        <v>4649</v>
      </c>
      <c r="D353" s="370" t="s">
        <v>3494</v>
      </c>
      <c r="E353" s="421">
        <v>-109298.75</v>
      </c>
      <c r="F353" s="421">
        <v>373731.23</v>
      </c>
      <c r="G353" s="421">
        <v>264432.48</v>
      </c>
      <c r="H353" s="421">
        <v>0</v>
      </c>
      <c r="I353" s="371">
        <v>-109298.75</v>
      </c>
      <c r="J353" s="357">
        <v>373731.23</v>
      </c>
      <c r="K353" s="357">
        <v>264432.48</v>
      </c>
      <c r="L353" s="357">
        <v>0</v>
      </c>
    </row>
    <row r="354" spans="3:12" ht="15" customHeight="1" x14ac:dyDescent="0.3">
      <c r="C354" s="369" t="s">
        <v>4650</v>
      </c>
      <c r="D354" s="370" t="s">
        <v>3495</v>
      </c>
      <c r="E354" s="421">
        <v>0</v>
      </c>
      <c r="F354" s="421">
        <v>12918.05</v>
      </c>
      <c r="G354" s="421">
        <v>12918.05</v>
      </c>
      <c r="H354" s="421">
        <v>0</v>
      </c>
      <c r="I354" s="371">
        <v>0</v>
      </c>
      <c r="J354" s="357">
        <v>12918.05</v>
      </c>
      <c r="K354" s="357">
        <v>12918.05</v>
      </c>
      <c r="L354" s="357">
        <v>0</v>
      </c>
    </row>
    <row r="355" spans="3:12" ht="15" customHeight="1" x14ac:dyDescent="0.3">
      <c r="C355" s="369" t="s">
        <v>4651</v>
      </c>
      <c r="D355" s="370" t="s">
        <v>3496</v>
      </c>
      <c r="E355" s="421">
        <v>0</v>
      </c>
      <c r="F355" s="421">
        <v>388878.54</v>
      </c>
      <c r="G355" s="421">
        <v>388878.54</v>
      </c>
      <c r="H355" s="421">
        <v>0</v>
      </c>
      <c r="I355" s="371">
        <v>0</v>
      </c>
      <c r="J355" s="357">
        <v>388878.54</v>
      </c>
      <c r="K355" s="357">
        <v>388878.54</v>
      </c>
      <c r="L355" s="357">
        <v>0</v>
      </c>
    </row>
    <row r="356" spans="3:12" ht="15" customHeight="1" x14ac:dyDescent="0.3">
      <c r="C356" s="369" t="s">
        <v>4652</v>
      </c>
      <c r="D356" s="370" t="s">
        <v>3497</v>
      </c>
      <c r="E356" s="421">
        <v>0</v>
      </c>
      <c r="F356" s="421">
        <v>134.72</v>
      </c>
      <c r="G356" s="421">
        <v>134.72</v>
      </c>
      <c r="H356" s="421">
        <v>0</v>
      </c>
      <c r="I356" s="371">
        <v>0</v>
      </c>
      <c r="J356" s="357">
        <v>134.72</v>
      </c>
      <c r="K356" s="357">
        <v>134.72</v>
      </c>
      <c r="L356" s="357">
        <v>0</v>
      </c>
    </row>
    <row r="357" spans="3:12" ht="15" customHeight="1" x14ac:dyDescent="0.3">
      <c r="C357" s="369" t="s">
        <v>4652</v>
      </c>
      <c r="D357" s="370" t="s">
        <v>3498</v>
      </c>
      <c r="E357" s="421">
        <v>0</v>
      </c>
      <c r="F357" s="421">
        <v>134.72</v>
      </c>
      <c r="G357" s="421">
        <v>134.72</v>
      </c>
      <c r="H357" s="421">
        <v>0</v>
      </c>
      <c r="I357" s="371">
        <v>0</v>
      </c>
      <c r="J357" s="357">
        <v>134.72</v>
      </c>
      <c r="K357" s="357">
        <v>134.72</v>
      </c>
      <c r="L357" s="357">
        <v>0</v>
      </c>
    </row>
    <row r="358" spans="3:12" ht="15" customHeight="1" x14ac:dyDescent="0.3">
      <c r="C358" s="369" t="s">
        <v>4652</v>
      </c>
      <c r="D358" s="370" t="s">
        <v>3499</v>
      </c>
      <c r="E358" s="421">
        <v>0</v>
      </c>
      <c r="F358" s="421">
        <v>134.72</v>
      </c>
      <c r="G358" s="421">
        <v>134.72</v>
      </c>
      <c r="H358" s="421">
        <v>0</v>
      </c>
      <c r="I358" s="371">
        <v>0</v>
      </c>
      <c r="J358" s="357">
        <v>134.72</v>
      </c>
      <c r="K358" s="357">
        <v>134.72</v>
      </c>
      <c r="L358" s="357">
        <v>0</v>
      </c>
    </row>
    <row r="359" spans="3:12" ht="15" customHeight="1" x14ac:dyDescent="0.3">
      <c r="C359" s="369" t="s">
        <v>4653</v>
      </c>
      <c r="D359" s="370" t="s">
        <v>3500</v>
      </c>
      <c r="E359" s="421">
        <v>0</v>
      </c>
      <c r="F359" s="421">
        <v>19778.97</v>
      </c>
      <c r="G359" s="421">
        <v>19778.97</v>
      </c>
      <c r="H359" s="421">
        <v>0</v>
      </c>
      <c r="I359" s="371">
        <v>0</v>
      </c>
      <c r="J359" s="357">
        <v>19778.97</v>
      </c>
      <c r="K359" s="357">
        <v>19778.97</v>
      </c>
      <c r="L359" s="357">
        <v>0</v>
      </c>
    </row>
    <row r="360" spans="3:12" ht="15" customHeight="1" x14ac:dyDescent="0.3">
      <c r="C360" s="369" t="s">
        <v>4654</v>
      </c>
      <c r="D360" s="370" t="s">
        <v>3501</v>
      </c>
      <c r="E360" s="421">
        <v>0</v>
      </c>
      <c r="F360" s="421">
        <v>2150</v>
      </c>
      <c r="G360" s="421">
        <v>2150</v>
      </c>
      <c r="H360" s="421">
        <v>0</v>
      </c>
      <c r="I360" s="371">
        <v>0</v>
      </c>
      <c r="J360" s="357">
        <v>2150</v>
      </c>
      <c r="K360" s="357">
        <v>2150</v>
      </c>
      <c r="L360" s="357">
        <v>0</v>
      </c>
    </row>
    <row r="361" spans="3:12" ht="15" customHeight="1" x14ac:dyDescent="0.3">
      <c r="C361" s="369" t="s">
        <v>4655</v>
      </c>
      <c r="D361" s="370" t="s">
        <v>3502</v>
      </c>
      <c r="E361" s="421">
        <v>0</v>
      </c>
      <c r="F361" s="421">
        <v>165520</v>
      </c>
      <c r="G361" s="421">
        <v>165520</v>
      </c>
      <c r="H361" s="421">
        <v>0</v>
      </c>
      <c r="I361" s="371">
        <v>0</v>
      </c>
      <c r="J361" s="357">
        <v>165520</v>
      </c>
      <c r="K361" s="357">
        <v>165520</v>
      </c>
      <c r="L361" s="357">
        <v>0</v>
      </c>
    </row>
    <row r="362" spans="3:12" ht="15" customHeight="1" x14ac:dyDescent="0.3">
      <c r="C362" s="369" t="s">
        <v>4656</v>
      </c>
      <c r="D362" s="370" t="s">
        <v>3503</v>
      </c>
      <c r="E362" s="421">
        <v>0</v>
      </c>
      <c r="F362" s="421">
        <v>20000</v>
      </c>
      <c r="G362" s="421">
        <v>20000</v>
      </c>
      <c r="H362" s="421">
        <v>0</v>
      </c>
      <c r="I362" s="371">
        <v>0</v>
      </c>
      <c r="J362" s="357">
        <v>20000</v>
      </c>
      <c r="K362" s="357">
        <v>20000</v>
      </c>
      <c r="L362" s="357">
        <v>0</v>
      </c>
    </row>
    <row r="363" spans="3:12" ht="15" customHeight="1" x14ac:dyDescent="0.3">
      <c r="C363" s="369" t="s">
        <v>4657</v>
      </c>
      <c r="D363" s="370" t="s">
        <v>3504</v>
      </c>
      <c r="E363" s="421">
        <v>0</v>
      </c>
      <c r="F363" s="421">
        <v>84242.25</v>
      </c>
      <c r="G363" s="421">
        <v>84242.25</v>
      </c>
      <c r="H363" s="421">
        <v>0</v>
      </c>
      <c r="I363" s="371">
        <v>0</v>
      </c>
      <c r="J363" s="357">
        <v>84242.25</v>
      </c>
      <c r="K363" s="357">
        <v>84242.25</v>
      </c>
      <c r="L363" s="357">
        <v>0</v>
      </c>
    </row>
    <row r="364" spans="3:12" ht="15" customHeight="1" x14ac:dyDescent="0.3">
      <c r="C364" s="369" t="s">
        <v>4658</v>
      </c>
      <c r="D364" s="370" t="s">
        <v>3505</v>
      </c>
      <c r="E364" s="421">
        <v>0</v>
      </c>
      <c r="F364" s="421">
        <v>20628.3</v>
      </c>
      <c r="G364" s="421">
        <v>20628.3</v>
      </c>
      <c r="H364" s="421">
        <v>0</v>
      </c>
      <c r="I364" s="371">
        <v>0</v>
      </c>
      <c r="J364" s="357">
        <v>20628.3</v>
      </c>
      <c r="K364" s="357">
        <v>20628.3</v>
      </c>
      <c r="L364" s="357">
        <v>0</v>
      </c>
    </row>
    <row r="365" spans="3:12" ht="15" customHeight="1" x14ac:dyDescent="0.3">
      <c r="C365" s="369" t="s">
        <v>4659</v>
      </c>
      <c r="D365" s="370" t="s">
        <v>3506</v>
      </c>
      <c r="E365" s="421">
        <v>0</v>
      </c>
      <c r="F365" s="421">
        <v>499.5</v>
      </c>
      <c r="G365" s="421">
        <v>499.5</v>
      </c>
      <c r="H365" s="421">
        <v>0</v>
      </c>
      <c r="I365" s="371">
        <v>0</v>
      </c>
      <c r="J365" s="357">
        <v>499.5</v>
      </c>
      <c r="K365" s="357">
        <v>499.5</v>
      </c>
      <c r="L365" s="357">
        <v>0</v>
      </c>
    </row>
    <row r="366" spans="3:12" ht="15" customHeight="1" x14ac:dyDescent="0.3">
      <c r="C366" s="369" t="s">
        <v>4660</v>
      </c>
      <c r="D366" s="370" t="s">
        <v>3507</v>
      </c>
      <c r="E366" s="421">
        <v>0</v>
      </c>
      <c r="F366" s="421">
        <v>4449.2</v>
      </c>
      <c r="G366" s="421">
        <v>4449.2</v>
      </c>
      <c r="H366" s="421">
        <v>0</v>
      </c>
      <c r="I366" s="371">
        <v>0</v>
      </c>
      <c r="J366" s="357">
        <v>4449.2</v>
      </c>
      <c r="K366" s="357">
        <v>4449.2</v>
      </c>
      <c r="L366" s="357">
        <v>0</v>
      </c>
    </row>
    <row r="367" spans="3:12" ht="15" customHeight="1" x14ac:dyDescent="0.3">
      <c r="C367" s="369" t="s">
        <v>4661</v>
      </c>
      <c r="D367" s="370" t="s">
        <v>3508</v>
      </c>
      <c r="E367" s="421">
        <v>0</v>
      </c>
      <c r="F367" s="421">
        <v>8562.75</v>
      </c>
      <c r="G367" s="421">
        <v>8562.75</v>
      </c>
      <c r="H367" s="421">
        <v>0</v>
      </c>
      <c r="I367" s="371">
        <v>0</v>
      </c>
      <c r="J367" s="357">
        <v>8562.75</v>
      </c>
      <c r="K367" s="357">
        <v>8562.75</v>
      </c>
      <c r="L367" s="357">
        <v>0</v>
      </c>
    </row>
    <row r="368" spans="3:12" ht="15" customHeight="1" x14ac:dyDescent="0.3">
      <c r="C368" s="369" t="s">
        <v>4662</v>
      </c>
      <c r="D368" s="370" t="s">
        <v>3509</v>
      </c>
      <c r="E368" s="421">
        <v>0</v>
      </c>
      <c r="F368" s="421">
        <v>50040</v>
      </c>
      <c r="G368" s="421">
        <v>50040</v>
      </c>
      <c r="H368" s="421">
        <v>0</v>
      </c>
      <c r="I368" s="371">
        <v>0</v>
      </c>
      <c r="J368" s="357">
        <v>50040</v>
      </c>
      <c r="K368" s="357">
        <v>50040</v>
      </c>
      <c r="L368" s="357">
        <v>0</v>
      </c>
    </row>
    <row r="369" spans="3:12" ht="15" customHeight="1" x14ac:dyDescent="0.3">
      <c r="C369" s="369" t="s">
        <v>4663</v>
      </c>
      <c r="D369" s="370" t="s">
        <v>3510</v>
      </c>
      <c r="E369" s="421">
        <v>0</v>
      </c>
      <c r="F369" s="421">
        <v>13369.93</v>
      </c>
      <c r="G369" s="421">
        <v>13369.93</v>
      </c>
      <c r="H369" s="421">
        <v>0</v>
      </c>
      <c r="I369" s="371">
        <v>0</v>
      </c>
      <c r="J369" s="357">
        <v>13369.93</v>
      </c>
      <c r="K369" s="357">
        <v>13369.93</v>
      </c>
      <c r="L369" s="357">
        <v>0</v>
      </c>
    </row>
    <row r="370" spans="3:12" ht="15" customHeight="1" x14ac:dyDescent="0.3">
      <c r="C370" s="369" t="s">
        <v>4664</v>
      </c>
      <c r="D370" s="370" t="s">
        <v>3511</v>
      </c>
      <c r="E370" s="421">
        <v>0</v>
      </c>
      <c r="F370" s="421">
        <v>8251.3700000000008</v>
      </c>
      <c r="G370" s="421">
        <v>8251.3700000000008</v>
      </c>
      <c r="H370" s="421">
        <v>0</v>
      </c>
      <c r="I370" s="371">
        <v>0</v>
      </c>
      <c r="J370" s="357">
        <v>8251.3700000000008</v>
      </c>
      <c r="K370" s="357">
        <v>8251.3700000000008</v>
      </c>
      <c r="L370" s="357">
        <v>0</v>
      </c>
    </row>
    <row r="371" spans="3:12" ht="15" customHeight="1" x14ac:dyDescent="0.3">
      <c r="C371" s="369" t="s">
        <v>4665</v>
      </c>
      <c r="D371" s="370" t="s">
        <v>3512</v>
      </c>
      <c r="E371" s="421">
        <v>0</v>
      </c>
      <c r="F371" s="421">
        <v>466829.41</v>
      </c>
      <c r="G371" s="421">
        <v>466829.41</v>
      </c>
      <c r="H371" s="421">
        <v>0</v>
      </c>
      <c r="I371" s="371">
        <v>0</v>
      </c>
      <c r="J371" s="357">
        <v>466829.41</v>
      </c>
      <c r="K371" s="357">
        <v>466829.41</v>
      </c>
      <c r="L371" s="357">
        <v>0</v>
      </c>
    </row>
    <row r="372" spans="3:12" ht="15" customHeight="1" x14ac:dyDescent="0.3">
      <c r="C372" s="369" t="s">
        <v>4666</v>
      </c>
      <c r="D372" s="370" t="s">
        <v>3513</v>
      </c>
      <c r="E372" s="421">
        <v>0</v>
      </c>
      <c r="F372" s="421">
        <v>10714.9</v>
      </c>
      <c r="G372" s="421">
        <v>12500.88</v>
      </c>
      <c r="H372" s="421">
        <v>-1785.98</v>
      </c>
      <c r="I372" s="371">
        <v>0</v>
      </c>
      <c r="J372" s="357">
        <v>10714.9</v>
      </c>
      <c r="K372" s="357">
        <v>12500.88</v>
      </c>
      <c r="L372" s="357">
        <v>-1785.98</v>
      </c>
    </row>
    <row r="373" spans="3:12" ht="15" customHeight="1" x14ac:dyDescent="0.3">
      <c r="C373" s="369" t="s">
        <v>4667</v>
      </c>
      <c r="D373" s="370" t="s">
        <v>3514</v>
      </c>
      <c r="E373" s="421">
        <v>0</v>
      </c>
      <c r="F373" s="421">
        <v>427.8</v>
      </c>
      <c r="G373" s="421">
        <v>427.8</v>
      </c>
      <c r="H373" s="421">
        <v>0</v>
      </c>
      <c r="I373" s="371">
        <v>0</v>
      </c>
      <c r="J373" s="357">
        <v>427.8</v>
      </c>
      <c r="K373" s="357">
        <v>427.8</v>
      </c>
      <c r="L373" s="357">
        <v>0</v>
      </c>
    </row>
    <row r="374" spans="3:12" ht="15" customHeight="1" x14ac:dyDescent="0.3">
      <c r="C374" s="369" t="s">
        <v>4668</v>
      </c>
      <c r="D374" s="370" t="s">
        <v>3515</v>
      </c>
      <c r="E374" s="421">
        <v>0</v>
      </c>
      <c r="F374" s="421">
        <v>5439.29</v>
      </c>
      <c r="G374" s="421">
        <v>5439.29</v>
      </c>
      <c r="H374" s="421">
        <v>0</v>
      </c>
      <c r="I374" s="371">
        <v>0</v>
      </c>
      <c r="J374" s="357">
        <v>5439.29</v>
      </c>
      <c r="K374" s="357">
        <v>5439.29</v>
      </c>
      <c r="L374" s="357">
        <v>0</v>
      </c>
    </row>
    <row r="375" spans="3:12" ht="15" customHeight="1" x14ac:dyDescent="0.3">
      <c r="C375" s="369" t="s">
        <v>4669</v>
      </c>
      <c r="D375" s="370" t="s">
        <v>3516</v>
      </c>
      <c r="E375" s="421">
        <v>0</v>
      </c>
      <c r="F375" s="421">
        <v>5559.5</v>
      </c>
      <c r="G375" s="421">
        <v>5559.5</v>
      </c>
      <c r="H375" s="421">
        <v>0</v>
      </c>
      <c r="I375" s="371">
        <v>0</v>
      </c>
      <c r="J375" s="357">
        <v>5559.5</v>
      </c>
      <c r="K375" s="357">
        <v>5559.5</v>
      </c>
      <c r="L375" s="357">
        <v>0</v>
      </c>
    </row>
    <row r="376" spans="3:12" ht="15" customHeight="1" x14ac:dyDescent="0.3">
      <c r="C376" s="369" t="s">
        <v>4670</v>
      </c>
      <c r="D376" s="370" t="s">
        <v>3517</v>
      </c>
      <c r="E376" s="421">
        <v>0</v>
      </c>
      <c r="F376" s="421">
        <v>1505797.17</v>
      </c>
      <c r="G376" s="421">
        <v>1505797.17</v>
      </c>
      <c r="H376" s="421">
        <v>0</v>
      </c>
      <c r="I376" s="371">
        <v>0</v>
      </c>
      <c r="J376" s="357">
        <v>1505797.17</v>
      </c>
      <c r="K376" s="357">
        <v>1505797.17</v>
      </c>
      <c r="L376" s="357">
        <v>0</v>
      </c>
    </row>
    <row r="377" spans="3:12" ht="15" customHeight="1" x14ac:dyDescent="0.3">
      <c r="C377" s="369" t="s">
        <v>4671</v>
      </c>
      <c r="D377" s="370" t="s">
        <v>3518</v>
      </c>
      <c r="E377" s="421">
        <v>0</v>
      </c>
      <c r="F377" s="421">
        <v>1741.5</v>
      </c>
      <c r="G377" s="421">
        <v>1741.5</v>
      </c>
      <c r="H377" s="421">
        <v>0</v>
      </c>
      <c r="I377" s="371">
        <v>0</v>
      </c>
      <c r="J377" s="357">
        <v>1741.5</v>
      </c>
      <c r="K377" s="357">
        <v>1741.5</v>
      </c>
      <c r="L377" s="357">
        <v>0</v>
      </c>
    </row>
    <row r="378" spans="3:12" ht="15" customHeight="1" x14ac:dyDescent="0.3">
      <c r="C378" s="369" t="s">
        <v>4672</v>
      </c>
      <c r="D378" s="370" t="s">
        <v>3519</v>
      </c>
      <c r="E378" s="421">
        <v>0</v>
      </c>
      <c r="F378" s="421">
        <v>16348.6</v>
      </c>
      <c r="G378" s="421">
        <v>16348.6</v>
      </c>
      <c r="H378" s="421">
        <v>0</v>
      </c>
      <c r="I378" s="371">
        <v>0</v>
      </c>
      <c r="J378" s="357">
        <v>16348.6</v>
      </c>
      <c r="K378" s="357">
        <v>16348.6</v>
      </c>
      <c r="L378" s="357">
        <v>0</v>
      </c>
    </row>
    <row r="379" spans="3:12" ht="15" customHeight="1" x14ac:dyDescent="0.3">
      <c r="C379" s="369" t="s">
        <v>4673</v>
      </c>
      <c r="D379" s="370" t="s">
        <v>3520</v>
      </c>
      <c r="E379" s="421">
        <v>0</v>
      </c>
      <c r="F379" s="421">
        <v>852.8</v>
      </c>
      <c r="G379" s="421">
        <v>852.8</v>
      </c>
      <c r="H379" s="421">
        <v>0</v>
      </c>
      <c r="I379" s="371">
        <v>0</v>
      </c>
      <c r="J379" s="357">
        <v>852.8</v>
      </c>
      <c r="K379" s="357">
        <v>852.8</v>
      </c>
      <c r="L379" s="357">
        <v>0</v>
      </c>
    </row>
    <row r="380" spans="3:12" ht="15" customHeight="1" x14ac:dyDescent="0.3">
      <c r="C380" s="369" t="s">
        <v>4674</v>
      </c>
      <c r="D380" s="370" t="s">
        <v>3521</v>
      </c>
      <c r="E380" s="421">
        <v>0</v>
      </c>
      <c r="F380" s="421">
        <v>41759</v>
      </c>
      <c r="G380" s="421">
        <v>41759</v>
      </c>
      <c r="H380" s="421">
        <v>0</v>
      </c>
      <c r="I380" s="371">
        <v>0</v>
      </c>
      <c r="J380" s="357">
        <v>41759</v>
      </c>
      <c r="K380" s="357">
        <v>41759</v>
      </c>
      <c r="L380" s="357">
        <v>0</v>
      </c>
    </row>
    <row r="381" spans="3:12" ht="15" customHeight="1" x14ac:dyDescent="0.3">
      <c r="C381" s="369" t="s">
        <v>4675</v>
      </c>
      <c r="D381" s="370" t="s">
        <v>3522</v>
      </c>
      <c r="E381" s="421">
        <v>0</v>
      </c>
      <c r="F381" s="421">
        <v>4980</v>
      </c>
      <c r="G381" s="421">
        <v>4980</v>
      </c>
      <c r="H381" s="421">
        <v>0</v>
      </c>
      <c r="I381" s="371">
        <v>0</v>
      </c>
      <c r="J381" s="357">
        <v>4980</v>
      </c>
      <c r="K381" s="357">
        <v>4980</v>
      </c>
      <c r="L381" s="357">
        <v>0</v>
      </c>
    </row>
    <row r="382" spans="3:12" ht="15" customHeight="1" x14ac:dyDescent="0.3">
      <c r="C382" s="365" t="s">
        <v>4676</v>
      </c>
      <c r="D382" s="366" t="s">
        <v>3523</v>
      </c>
      <c r="E382" s="421">
        <v>0</v>
      </c>
      <c r="F382" s="421">
        <v>15443.9</v>
      </c>
      <c r="G382" s="421">
        <v>15443.9</v>
      </c>
      <c r="H382" s="421">
        <v>0</v>
      </c>
      <c r="I382" s="367">
        <v>0</v>
      </c>
      <c r="J382" s="356">
        <v>15443.9</v>
      </c>
      <c r="K382" s="356">
        <v>15443.9</v>
      </c>
      <c r="L382" s="356">
        <v>0</v>
      </c>
    </row>
    <row r="383" spans="3:12" ht="15" customHeight="1" x14ac:dyDescent="0.3">
      <c r="C383" s="369" t="s">
        <v>4677</v>
      </c>
      <c r="D383" s="370" t="s">
        <v>3524</v>
      </c>
      <c r="E383" s="421">
        <v>0</v>
      </c>
      <c r="F383" s="421">
        <v>15443.9</v>
      </c>
      <c r="G383" s="421">
        <v>15443.9</v>
      </c>
      <c r="H383" s="421">
        <v>0</v>
      </c>
      <c r="I383" s="371">
        <v>0</v>
      </c>
      <c r="J383" s="357">
        <v>15443.9</v>
      </c>
      <c r="K383" s="357">
        <v>15443.9</v>
      </c>
      <c r="L383" s="357">
        <v>0</v>
      </c>
    </row>
    <row r="384" spans="3:12" ht="15" customHeight="1" x14ac:dyDescent="0.3">
      <c r="C384" s="365" t="s">
        <v>4678</v>
      </c>
      <c r="D384" s="366" t="s">
        <v>3525</v>
      </c>
      <c r="E384" s="421">
        <v>-24951.95</v>
      </c>
      <c r="F384" s="421">
        <v>105313.2</v>
      </c>
      <c r="G384" s="421">
        <v>103333.2</v>
      </c>
      <c r="H384" s="421">
        <v>-22971.95</v>
      </c>
      <c r="I384" s="367">
        <v>-24951.95</v>
      </c>
      <c r="J384" s="356">
        <v>105313.2</v>
      </c>
      <c r="K384" s="356">
        <v>103333.2</v>
      </c>
      <c r="L384" s="356">
        <v>-22971.95</v>
      </c>
    </row>
    <row r="385" spans="3:14" ht="15" customHeight="1" x14ac:dyDescent="0.3">
      <c r="C385" s="369" t="s">
        <v>4679</v>
      </c>
      <c r="D385" s="370" t="s">
        <v>1240</v>
      </c>
      <c r="E385" s="421">
        <v>-2206.9499999999998</v>
      </c>
      <c r="F385" s="421">
        <v>0</v>
      </c>
      <c r="G385" s="421">
        <v>0</v>
      </c>
      <c r="H385" s="421">
        <v>-2206.9499999999998</v>
      </c>
      <c r="I385" s="371">
        <v>-2206.9499999999998</v>
      </c>
      <c r="J385" s="357">
        <v>0</v>
      </c>
      <c r="K385" s="357">
        <v>0</v>
      </c>
      <c r="L385" s="357">
        <v>-2206.9499999999998</v>
      </c>
    </row>
    <row r="386" spans="3:14" ht="15" customHeight="1" x14ac:dyDescent="0.3">
      <c r="C386" s="369" t="s">
        <v>4680</v>
      </c>
      <c r="D386" s="370" t="s">
        <v>1243</v>
      </c>
      <c r="E386" s="421">
        <v>-20765</v>
      </c>
      <c r="F386" s="421">
        <v>0</v>
      </c>
      <c r="G386" s="421">
        <v>0</v>
      </c>
      <c r="H386" s="421">
        <v>-20765</v>
      </c>
      <c r="I386" s="371">
        <v>-20765</v>
      </c>
      <c r="J386" s="357">
        <v>0</v>
      </c>
      <c r="K386" s="357">
        <v>0</v>
      </c>
      <c r="L386" s="357">
        <v>-20765</v>
      </c>
    </row>
    <row r="387" spans="3:14" ht="15" customHeight="1" x14ac:dyDescent="0.3">
      <c r="C387" s="369" t="s">
        <v>4681</v>
      </c>
      <c r="D387" s="370" t="s">
        <v>3526</v>
      </c>
      <c r="E387" s="421">
        <v>-1980</v>
      </c>
      <c r="F387" s="421">
        <v>1980</v>
      </c>
      <c r="G387" s="421">
        <v>0</v>
      </c>
      <c r="H387" s="421">
        <v>0</v>
      </c>
      <c r="I387" s="371">
        <v>-1980</v>
      </c>
      <c r="J387" s="357">
        <v>1980</v>
      </c>
      <c r="K387" s="357">
        <v>0</v>
      </c>
      <c r="L387" s="357">
        <v>0</v>
      </c>
    </row>
    <row r="388" spans="3:14" ht="15" customHeight="1" x14ac:dyDescent="0.3">
      <c r="C388" s="369" t="s">
        <v>4682</v>
      </c>
      <c r="D388" s="370" t="s">
        <v>3527</v>
      </c>
      <c r="E388" s="421">
        <v>0</v>
      </c>
      <c r="F388" s="421">
        <v>31931.77</v>
      </c>
      <c r="G388" s="421">
        <v>31931.77</v>
      </c>
      <c r="H388" s="421">
        <v>0</v>
      </c>
      <c r="I388" s="371">
        <v>0</v>
      </c>
      <c r="J388" s="357">
        <v>31931.77</v>
      </c>
      <c r="K388" s="357">
        <v>31931.77</v>
      </c>
      <c r="L388" s="357">
        <v>0</v>
      </c>
    </row>
    <row r="389" spans="3:14" ht="15" customHeight="1" x14ac:dyDescent="0.3">
      <c r="C389" s="369" t="s">
        <v>4683</v>
      </c>
      <c r="D389" s="370" t="s">
        <v>3528</v>
      </c>
      <c r="E389" s="421">
        <v>0</v>
      </c>
      <c r="F389" s="421">
        <v>61534.84</v>
      </c>
      <c r="G389" s="421">
        <v>61534.84</v>
      </c>
      <c r="H389" s="421">
        <v>0</v>
      </c>
      <c r="I389" s="371">
        <v>0</v>
      </c>
      <c r="J389" s="357">
        <v>61534.84</v>
      </c>
      <c r="K389" s="357">
        <v>61534.84</v>
      </c>
      <c r="L389" s="357">
        <v>0</v>
      </c>
    </row>
    <row r="390" spans="3:14" ht="15" customHeight="1" x14ac:dyDescent="0.3">
      <c r="C390" s="369" t="s">
        <v>4684</v>
      </c>
      <c r="D390" s="370" t="s">
        <v>3529</v>
      </c>
      <c r="E390" s="421">
        <v>0</v>
      </c>
      <c r="F390" s="421">
        <v>9866.59</v>
      </c>
      <c r="G390" s="421">
        <v>9866.59</v>
      </c>
      <c r="H390" s="421">
        <v>0</v>
      </c>
      <c r="I390" s="371">
        <v>0</v>
      </c>
      <c r="J390" s="357">
        <v>9866.59</v>
      </c>
      <c r="K390" s="357">
        <v>9866.59</v>
      </c>
      <c r="L390" s="357">
        <v>0</v>
      </c>
    </row>
    <row r="391" spans="3:14" ht="15" customHeight="1" x14ac:dyDescent="0.3">
      <c r="C391" s="365" t="s">
        <v>4685</v>
      </c>
      <c r="D391" s="366" t="s">
        <v>3530</v>
      </c>
      <c r="E391" s="421">
        <v>-85063.1</v>
      </c>
      <c r="F391" s="421">
        <v>21825724.510000002</v>
      </c>
      <c r="G391" s="421">
        <v>25760148.43</v>
      </c>
      <c r="H391" s="421">
        <v>-4019487.02</v>
      </c>
      <c r="I391" s="367">
        <v>-85063.1</v>
      </c>
      <c r="J391" s="356">
        <v>21825724.510000002</v>
      </c>
      <c r="K391" s="356">
        <v>25760148.43</v>
      </c>
      <c r="L391" s="356">
        <v>-4019487.02</v>
      </c>
      <c r="N391" s="302">
        <v>13</v>
      </c>
    </row>
    <row r="392" spans="3:14" ht="15" customHeight="1" x14ac:dyDescent="0.3">
      <c r="C392" s="365" t="s">
        <v>4686</v>
      </c>
      <c r="D392" s="366" t="s">
        <v>3531</v>
      </c>
      <c r="E392" s="421">
        <v>-4705.8999999999996</v>
      </c>
      <c r="F392" s="421">
        <v>21687116.890000001</v>
      </c>
      <c r="G392" s="421">
        <v>25643963.699999999</v>
      </c>
      <c r="H392" s="421">
        <v>-3961552.71</v>
      </c>
      <c r="I392" s="367">
        <v>-4705.8999999999996</v>
      </c>
      <c r="J392" s="356">
        <v>21687116.890000001</v>
      </c>
      <c r="K392" s="356">
        <v>25643963.699999999</v>
      </c>
      <c r="L392" s="356">
        <v>-3961552.71</v>
      </c>
      <c r="N392" s="302"/>
    </row>
    <row r="393" spans="3:14" ht="15" customHeight="1" x14ac:dyDescent="0.3">
      <c r="C393" s="369" t="s">
        <v>4687</v>
      </c>
      <c r="D393" s="370" t="s">
        <v>1255</v>
      </c>
      <c r="E393" s="421">
        <v>0</v>
      </c>
      <c r="F393" s="421">
        <v>851373.5</v>
      </c>
      <c r="G393" s="421">
        <v>851373.5</v>
      </c>
      <c r="H393" s="421">
        <v>0</v>
      </c>
      <c r="I393" s="371">
        <v>0</v>
      </c>
      <c r="J393" s="357">
        <v>851373.5</v>
      </c>
      <c r="K393" s="357">
        <v>851373.5</v>
      </c>
      <c r="L393" s="357">
        <v>0</v>
      </c>
      <c r="N393" s="302"/>
    </row>
    <row r="394" spans="3:14" ht="15" customHeight="1" x14ac:dyDescent="0.3">
      <c r="C394" s="369" t="s">
        <v>4688</v>
      </c>
      <c r="D394" s="370" t="s">
        <v>1257</v>
      </c>
      <c r="E394" s="421">
        <v>0</v>
      </c>
      <c r="F394" s="421">
        <v>8590913.7100000009</v>
      </c>
      <c r="G394" s="421">
        <v>8590913.7100000009</v>
      </c>
      <c r="H394" s="421">
        <v>0</v>
      </c>
      <c r="I394" s="371">
        <v>0</v>
      </c>
      <c r="J394" s="357">
        <v>8590913.7100000009</v>
      </c>
      <c r="K394" s="357">
        <v>8590913.7100000009</v>
      </c>
      <c r="L394" s="357">
        <v>0</v>
      </c>
      <c r="N394" s="302"/>
    </row>
    <row r="395" spans="3:14" ht="15" customHeight="1" x14ac:dyDescent="0.3">
      <c r="C395" s="369" t="s">
        <v>4689</v>
      </c>
      <c r="D395" s="370" t="s">
        <v>1260</v>
      </c>
      <c r="E395" s="421">
        <v>0</v>
      </c>
      <c r="F395" s="421">
        <v>4025512.34</v>
      </c>
      <c r="G395" s="421">
        <v>4025512.34</v>
      </c>
      <c r="H395" s="421">
        <v>0</v>
      </c>
      <c r="I395" s="371">
        <v>0</v>
      </c>
      <c r="J395" s="357">
        <v>4025512.34</v>
      </c>
      <c r="K395" s="357">
        <v>4025512.34</v>
      </c>
      <c r="L395" s="357">
        <v>0</v>
      </c>
      <c r="N395" s="302"/>
    </row>
    <row r="396" spans="3:14" ht="15" customHeight="1" x14ac:dyDescent="0.3">
      <c r="C396" s="369" t="s">
        <v>4690</v>
      </c>
      <c r="D396" s="370" t="s">
        <v>1264</v>
      </c>
      <c r="E396" s="421">
        <v>0</v>
      </c>
      <c r="F396" s="421">
        <v>368910.14</v>
      </c>
      <c r="G396" s="421">
        <v>368910.14</v>
      </c>
      <c r="H396" s="421">
        <v>0</v>
      </c>
      <c r="I396" s="371">
        <v>0</v>
      </c>
      <c r="J396" s="357">
        <v>368910.14</v>
      </c>
      <c r="K396" s="357">
        <v>368910.14</v>
      </c>
      <c r="L396" s="357">
        <v>0</v>
      </c>
      <c r="N396" s="302"/>
    </row>
    <row r="397" spans="3:14" ht="15" customHeight="1" x14ac:dyDescent="0.3">
      <c r="C397" s="369" t="s">
        <v>4691</v>
      </c>
      <c r="D397" s="370" t="s">
        <v>1267</v>
      </c>
      <c r="E397" s="421">
        <v>-4700.8999999999996</v>
      </c>
      <c r="F397" s="421">
        <v>99319.48</v>
      </c>
      <c r="G397" s="421">
        <v>109737.23</v>
      </c>
      <c r="H397" s="421">
        <v>-15118.65</v>
      </c>
      <c r="I397" s="371">
        <v>-4700.8999999999996</v>
      </c>
      <c r="J397" s="357">
        <v>99319.48</v>
      </c>
      <c r="K397" s="357">
        <v>109737.23</v>
      </c>
      <c r="L397" s="357">
        <v>-15118.65</v>
      </c>
      <c r="N397" s="302"/>
    </row>
    <row r="398" spans="3:14" ht="15" customHeight="1" x14ac:dyDescent="0.3">
      <c r="C398" s="369" t="s">
        <v>4692</v>
      </c>
      <c r="D398" s="370" t="s">
        <v>1270</v>
      </c>
      <c r="E398" s="421">
        <v>0</v>
      </c>
      <c r="F398" s="421">
        <v>141927.87</v>
      </c>
      <c r="G398" s="421">
        <v>164605.85999999999</v>
      </c>
      <c r="H398" s="421">
        <v>-22677.99</v>
      </c>
      <c r="I398" s="371">
        <v>0</v>
      </c>
      <c r="J398" s="357">
        <v>141927.87</v>
      </c>
      <c r="K398" s="357">
        <v>164605.85999999999</v>
      </c>
      <c r="L398" s="357">
        <v>-22677.99</v>
      </c>
      <c r="N398" s="302"/>
    </row>
    <row r="399" spans="3:14" ht="15" customHeight="1" x14ac:dyDescent="0.3">
      <c r="C399" s="369" t="s">
        <v>4693</v>
      </c>
      <c r="D399" s="370" t="s">
        <v>1273</v>
      </c>
      <c r="E399" s="421">
        <v>0</v>
      </c>
      <c r="F399" s="421">
        <v>525966.53</v>
      </c>
      <c r="G399" s="421">
        <v>525966.53</v>
      </c>
      <c r="H399" s="421">
        <v>0</v>
      </c>
      <c r="I399" s="371">
        <v>0</v>
      </c>
      <c r="J399" s="357">
        <v>525966.53</v>
      </c>
      <c r="K399" s="357">
        <v>525966.53</v>
      </c>
      <c r="L399" s="357">
        <v>0</v>
      </c>
      <c r="N399" s="302"/>
    </row>
    <row r="400" spans="3:14" ht="15" customHeight="1" x14ac:dyDescent="0.3">
      <c r="C400" s="369" t="s">
        <v>4694</v>
      </c>
      <c r="D400" s="370" t="s">
        <v>1275</v>
      </c>
      <c r="E400" s="421">
        <v>-5</v>
      </c>
      <c r="F400" s="421">
        <v>2009294.09</v>
      </c>
      <c r="G400" s="421">
        <v>2009289.09</v>
      </c>
      <c r="H400" s="421">
        <v>0</v>
      </c>
      <c r="I400" s="371">
        <v>-5</v>
      </c>
      <c r="J400" s="357">
        <v>2009294.09</v>
      </c>
      <c r="K400" s="357">
        <v>2009289.09</v>
      </c>
      <c r="L400" s="357">
        <v>0</v>
      </c>
      <c r="N400" s="302"/>
    </row>
    <row r="401" spans="3:14" ht="15" customHeight="1" x14ac:dyDescent="0.3">
      <c r="C401" s="369" t="s">
        <v>4695</v>
      </c>
      <c r="D401" s="370" t="s">
        <v>3532</v>
      </c>
      <c r="E401" s="421">
        <v>0</v>
      </c>
      <c r="F401" s="421">
        <v>4890234.09</v>
      </c>
      <c r="G401" s="421">
        <v>8813990.1600000001</v>
      </c>
      <c r="H401" s="421">
        <v>-3923756.07</v>
      </c>
      <c r="I401" s="371">
        <v>0</v>
      </c>
      <c r="J401" s="357">
        <v>4890234.09</v>
      </c>
      <c r="K401" s="357">
        <v>8813990.1600000001</v>
      </c>
      <c r="L401" s="357">
        <v>-3923756.07</v>
      </c>
      <c r="N401" s="302"/>
    </row>
    <row r="402" spans="3:14" ht="15" customHeight="1" x14ac:dyDescent="0.3">
      <c r="C402" s="369" t="s">
        <v>4696</v>
      </c>
      <c r="D402" s="370" t="s">
        <v>3533</v>
      </c>
      <c r="E402" s="421">
        <v>0</v>
      </c>
      <c r="F402" s="421">
        <v>183665.14</v>
      </c>
      <c r="G402" s="421">
        <v>183665.14</v>
      </c>
      <c r="H402" s="421">
        <v>0</v>
      </c>
      <c r="I402" s="371">
        <v>0</v>
      </c>
      <c r="J402" s="357">
        <v>183665.14</v>
      </c>
      <c r="K402" s="357">
        <v>183665.14</v>
      </c>
      <c r="L402" s="357">
        <v>0</v>
      </c>
      <c r="N402" s="302"/>
    </row>
    <row r="403" spans="3:14" ht="15" customHeight="1" x14ac:dyDescent="0.3">
      <c r="C403" s="365" t="s">
        <v>4697</v>
      </c>
      <c r="D403" s="366" t="s">
        <v>1279</v>
      </c>
      <c r="E403" s="421">
        <v>-29676.94</v>
      </c>
      <c r="F403" s="421">
        <v>90096.97</v>
      </c>
      <c r="G403" s="421">
        <v>60689.120000000003</v>
      </c>
      <c r="H403" s="421">
        <v>-269.08999999999997</v>
      </c>
      <c r="I403" s="367">
        <v>-29676.94</v>
      </c>
      <c r="J403" s="356">
        <v>90096.97</v>
      </c>
      <c r="K403" s="356">
        <v>60689.120000000003</v>
      </c>
      <c r="L403" s="356">
        <v>-269.08999999999997</v>
      </c>
      <c r="N403" s="302"/>
    </row>
    <row r="404" spans="3:14" ht="15" customHeight="1" x14ac:dyDescent="0.3">
      <c r="C404" s="369" t="s">
        <v>4698</v>
      </c>
      <c r="D404" s="370" t="s">
        <v>1283</v>
      </c>
      <c r="E404" s="421">
        <v>-2894.66</v>
      </c>
      <c r="F404" s="421">
        <v>4852.1899999999996</v>
      </c>
      <c r="G404" s="421">
        <v>1957.53</v>
      </c>
      <c r="H404" s="421">
        <v>0</v>
      </c>
      <c r="I404" s="371">
        <v>-2894.66</v>
      </c>
      <c r="J404" s="357">
        <v>4852.1899999999996</v>
      </c>
      <c r="K404" s="357">
        <v>1957.53</v>
      </c>
      <c r="L404" s="357">
        <v>0</v>
      </c>
      <c r="N404" s="302"/>
    </row>
    <row r="405" spans="3:14" ht="15" customHeight="1" x14ac:dyDescent="0.3">
      <c r="C405" s="369" t="s">
        <v>4699</v>
      </c>
      <c r="D405" s="370" t="s">
        <v>1290</v>
      </c>
      <c r="E405" s="421">
        <v>-6982.89</v>
      </c>
      <c r="F405" s="421">
        <v>7447.25</v>
      </c>
      <c r="G405" s="421">
        <v>464.36</v>
      </c>
      <c r="H405" s="421">
        <v>0</v>
      </c>
      <c r="I405" s="371">
        <v>-6982.89</v>
      </c>
      <c r="J405" s="357">
        <v>7447.25</v>
      </c>
      <c r="K405" s="357">
        <v>464.36</v>
      </c>
      <c r="L405" s="357">
        <v>0</v>
      </c>
      <c r="N405" s="302"/>
    </row>
    <row r="406" spans="3:14" ht="15" customHeight="1" x14ac:dyDescent="0.3">
      <c r="C406" s="369" t="s">
        <v>4700</v>
      </c>
      <c r="D406" s="370" t="s">
        <v>1293</v>
      </c>
      <c r="E406" s="421">
        <v>-18920.07</v>
      </c>
      <c r="F406" s="421">
        <v>53622.73</v>
      </c>
      <c r="G406" s="421">
        <v>34702.660000000003</v>
      </c>
      <c r="H406" s="421">
        <v>0</v>
      </c>
      <c r="I406" s="371">
        <v>-18920.07</v>
      </c>
      <c r="J406" s="357">
        <v>53622.73</v>
      </c>
      <c r="K406" s="357">
        <v>34702.660000000003</v>
      </c>
      <c r="L406" s="357">
        <v>0</v>
      </c>
      <c r="N406" s="302"/>
    </row>
    <row r="407" spans="3:14" ht="15" customHeight="1" x14ac:dyDescent="0.3">
      <c r="C407" s="369" t="s">
        <v>4701</v>
      </c>
      <c r="D407" s="370" t="s">
        <v>3534</v>
      </c>
      <c r="E407" s="421">
        <v>-879.32</v>
      </c>
      <c r="F407" s="421">
        <v>4075.83</v>
      </c>
      <c r="G407" s="421">
        <v>3465.6</v>
      </c>
      <c r="H407" s="421">
        <v>-269.08999999999997</v>
      </c>
      <c r="I407" s="371">
        <v>-879.32</v>
      </c>
      <c r="J407" s="357">
        <v>4075.83</v>
      </c>
      <c r="K407" s="357">
        <v>3465.6</v>
      </c>
      <c r="L407" s="357">
        <v>-269.08999999999997</v>
      </c>
      <c r="N407" s="302"/>
    </row>
    <row r="408" spans="3:14" ht="15" customHeight="1" x14ac:dyDescent="0.3">
      <c r="C408" s="369" t="s">
        <v>4702</v>
      </c>
      <c r="D408" s="370" t="s">
        <v>3535</v>
      </c>
      <c r="E408" s="421">
        <v>0</v>
      </c>
      <c r="F408" s="421">
        <v>20098.97</v>
      </c>
      <c r="G408" s="421">
        <v>20098.97</v>
      </c>
      <c r="H408" s="421">
        <v>0</v>
      </c>
      <c r="I408" s="371">
        <v>0</v>
      </c>
      <c r="J408" s="357">
        <v>20098.97</v>
      </c>
      <c r="K408" s="357">
        <v>20098.97</v>
      </c>
      <c r="L408" s="357">
        <v>0</v>
      </c>
      <c r="N408" s="302"/>
    </row>
    <row r="409" spans="3:14" ht="15" customHeight="1" x14ac:dyDescent="0.3">
      <c r="C409" s="365" t="s">
        <v>4703</v>
      </c>
      <c r="D409" s="366" t="s">
        <v>3536</v>
      </c>
      <c r="E409" s="421">
        <v>-50680.26</v>
      </c>
      <c r="F409" s="421">
        <v>48510.65</v>
      </c>
      <c r="G409" s="421">
        <v>55495.61</v>
      </c>
      <c r="H409" s="421">
        <v>-57665.22</v>
      </c>
      <c r="I409" s="367">
        <v>-50680.26</v>
      </c>
      <c r="J409" s="356">
        <v>48510.65</v>
      </c>
      <c r="K409" s="356">
        <v>55495.61</v>
      </c>
      <c r="L409" s="356">
        <v>-57665.22</v>
      </c>
      <c r="N409" s="302"/>
    </row>
    <row r="410" spans="3:14" ht="15" customHeight="1" x14ac:dyDescent="0.3">
      <c r="C410" s="369" t="s">
        <v>4704</v>
      </c>
      <c r="D410" s="370" t="s">
        <v>1301</v>
      </c>
      <c r="E410" s="421">
        <v>-50680.26</v>
      </c>
      <c r="F410" s="421">
        <v>48510.65</v>
      </c>
      <c r="G410" s="421">
        <v>55495.61</v>
      </c>
      <c r="H410" s="421">
        <v>-57665.22</v>
      </c>
      <c r="I410" s="371">
        <v>-50680.26</v>
      </c>
      <c r="J410" s="357">
        <v>48510.65</v>
      </c>
      <c r="K410" s="357">
        <v>55495.61</v>
      </c>
      <c r="L410" s="357">
        <v>-57665.22</v>
      </c>
      <c r="N410" s="302"/>
    </row>
    <row r="411" spans="3:14" ht="15" customHeight="1" x14ac:dyDescent="0.3">
      <c r="C411" s="365" t="s">
        <v>4705</v>
      </c>
      <c r="D411" s="366" t="s">
        <v>3537</v>
      </c>
      <c r="E411" s="421">
        <v>-1157924.8500000001</v>
      </c>
      <c r="F411" s="421">
        <v>1777880.93</v>
      </c>
      <c r="G411" s="421">
        <v>1640229.8</v>
      </c>
      <c r="H411" s="421">
        <v>-1020273.72</v>
      </c>
      <c r="I411" s="367">
        <v>-1157924.8500000001</v>
      </c>
      <c r="J411" s="356">
        <v>1777880.93</v>
      </c>
      <c r="K411" s="356">
        <v>1640229.8</v>
      </c>
      <c r="L411" s="356">
        <v>-1020273.72</v>
      </c>
      <c r="N411" s="302">
        <v>14</v>
      </c>
    </row>
    <row r="412" spans="3:14" ht="15" customHeight="1" x14ac:dyDescent="0.3">
      <c r="C412" s="365" t="s">
        <v>4706</v>
      </c>
      <c r="D412" s="366" t="s">
        <v>3538</v>
      </c>
      <c r="E412" s="421">
        <v>-50928.32</v>
      </c>
      <c r="F412" s="421">
        <v>614178.23</v>
      </c>
      <c r="G412" s="421">
        <v>597607.36</v>
      </c>
      <c r="H412" s="421">
        <v>-34357.449999999997</v>
      </c>
      <c r="I412" s="367">
        <v>-50928.32</v>
      </c>
      <c r="J412" s="356">
        <v>614178.23</v>
      </c>
      <c r="K412" s="356">
        <v>597607.36</v>
      </c>
      <c r="L412" s="356">
        <v>-34357.449999999997</v>
      </c>
      <c r="N412" s="302"/>
    </row>
    <row r="413" spans="3:14" ht="15" customHeight="1" x14ac:dyDescent="0.3">
      <c r="C413" s="369" t="s">
        <v>4707</v>
      </c>
      <c r="D413" s="370" t="s">
        <v>1311</v>
      </c>
      <c r="E413" s="421">
        <v>-20964.53</v>
      </c>
      <c r="F413" s="421">
        <v>20964.53</v>
      </c>
      <c r="G413" s="421">
        <v>0</v>
      </c>
      <c r="H413" s="421">
        <v>0</v>
      </c>
      <c r="I413" s="371">
        <v>-20964.53</v>
      </c>
      <c r="J413" s="357">
        <v>20964.53</v>
      </c>
      <c r="K413" s="357">
        <v>0</v>
      </c>
      <c r="L413" s="357">
        <v>0</v>
      </c>
      <c r="N413" s="302"/>
    </row>
    <row r="414" spans="3:14" ht="15" customHeight="1" x14ac:dyDescent="0.3">
      <c r="C414" s="369" t="s">
        <v>4708</v>
      </c>
      <c r="D414" s="370" t="s">
        <v>1318</v>
      </c>
      <c r="E414" s="421">
        <v>-4035.88</v>
      </c>
      <c r="F414" s="421">
        <v>59989.18</v>
      </c>
      <c r="G414" s="421">
        <v>73653.600000000006</v>
      </c>
      <c r="H414" s="421">
        <v>-17700.3</v>
      </c>
      <c r="I414" s="371">
        <v>-4035.88</v>
      </c>
      <c r="J414" s="357">
        <v>59989.18</v>
      </c>
      <c r="K414" s="357">
        <v>73653.600000000006</v>
      </c>
      <c r="L414" s="357">
        <v>-17700.3</v>
      </c>
      <c r="N414" s="302"/>
    </row>
    <row r="415" spans="3:14" ht="15" customHeight="1" x14ac:dyDescent="0.3">
      <c r="C415" s="369" t="s">
        <v>4709</v>
      </c>
      <c r="D415" s="370" t="s">
        <v>1327</v>
      </c>
      <c r="E415" s="421">
        <v>-39</v>
      </c>
      <c r="F415" s="421">
        <v>100830.06</v>
      </c>
      <c r="G415" s="421">
        <v>104671.09</v>
      </c>
      <c r="H415" s="421">
        <v>-3880.03</v>
      </c>
      <c r="I415" s="371">
        <v>-39</v>
      </c>
      <c r="J415" s="357">
        <v>100830.06</v>
      </c>
      <c r="K415" s="357">
        <v>104671.09</v>
      </c>
      <c r="L415" s="357">
        <v>-3880.03</v>
      </c>
      <c r="N415" s="302"/>
    </row>
    <row r="416" spans="3:14" ht="15" customHeight="1" x14ac:dyDescent="0.3">
      <c r="C416" s="369" t="s">
        <v>4710</v>
      </c>
      <c r="D416" s="370" t="s">
        <v>1331</v>
      </c>
      <c r="E416" s="421">
        <v>-13137.42</v>
      </c>
      <c r="F416" s="421">
        <v>89181.38</v>
      </c>
      <c r="G416" s="421">
        <v>82611.350000000006</v>
      </c>
      <c r="H416" s="421">
        <v>-6567.39</v>
      </c>
      <c r="I416" s="371">
        <v>-13137.42</v>
      </c>
      <c r="J416" s="357">
        <v>89181.38</v>
      </c>
      <c r="K416" s="357">
        <v>82611.350000000006</v>
      </c>
      <c r="L416" s="357">
        <v>-6567.39</v>
      </c>
      <c r="N416" s="302"/>
    </row>
    <row r="417" spans="3:14" ht="15" customHeight="1" x14ac:dyDescent="0.3">
      <c r="C417" s="369" t="s">
        <v>4711</v>
      </c>
      <c r="D417" s="370" t="s">
        <v>1335</v>
      </c>
      <c r="E417" s="421">
        <v>0</v>
      </c>
      <c r="F417" s="421">
        <v>305774.40999999997</v>
      </c>
      <c r="G417" s="421">
        <v>305774.40999999997</v>
      </c>
      <c r="H417" s="421">
        <v>0</v>
      </c>
      <c r="I417" s="371">
        <v>0</v>
      </c>
      <c r="J417" s="357">
        <v>305774.40999999997</v>
      </c>
      <c r="K417" s="357">
        <v>305774.40999999997</v>
      </c>
      <c r="L417" s="357">
        <v>0</v>
      </c>
      <c r="N417" s="302"/>
    </row>
    <row r="418" spans="3:14" ht="15" customHeight="1" x14ac:dyDescent="0.3">
      <c r="C418" s="369" t="s">
        <v>4712</v>
      </c>
      <c r="D418" s="370" t="s">
        <v>1337</v>
      </c>
      <c r="E418" s="421">
        <v>-12751.49</v>
      </c>
      <c r="F418" s="421">
        <v>37438.67</v>
      </c>
      <c r="G418" s="421">
        <v>30896.91</v>
      </c>
      <c r="H418" s="421">
        <v>-6209.73</v>
      </c>
      <c r="I418" s="371">
        <v>-12751.49</v>
      </c>
      <c r="J418" s="357">
        <v>37438.67</v>
      </c>
      <c r="K418" s="357">
        <v>30896.91</v>
      </c>
      <c r="L418" s="357">
        <v>-6209.73</v>
      </c>
      <c r="N418" s="302"/>
    </row>
    <row r="419" spans="3:14" ht="15" customHeight="1" x14ac:dyDescent="0.3">
      <c r="C419" s="365" t="s">
        <v>4713</v>
      </c>
      <c r="D419" s="366" t="s">
        <v>3539</v>
      </c>
      <c r="E419" s="421">
        <v>-1106996.53</v>
      </c>
      <c r="F419" s="421">
        <v>1163702.7</v>
      </c>
      <c r="G419" s="421">
        <v>1042622.44</v>
      </c>
      <c r="H419" s="421">
        <v>-985916.27</v>
      </c>
      <c r="I419" s="367">
        <v>-1106996.53</v>
      </c>
      <c r="J419" s="356">
        <v>1163702.7</v>
      </c>
      <c r="K419" s="356">
        <v>1042622.44</v>
      </c>
      <c r="L419" s="356">
        <v>-985916.27</v>
      </c>
      <c r="N419" s="302"/>
    </row>
    <row r="420" spans="3:14" ht="15" customHeight="1" x14ac:dyDescent="0.3">
      <c r="C420" s="369" t="s">
        <v>4714</v>
      </c>
      <c r="D420" s="370" t="s">
        <v>1345</v>
      </c>
      <c r="E420" s="421">
        <v>-169107.74</v>
      </c>
      <c r="F420" s="421">
        <v>176173.35</v>
      </c>
      <c r="G420" s="421">
        <v>7065.61</v>
      </c>
      <c r="H420" s="421">
        <v>0</v>
      </c>
      <c r="I420" s="371">
        <v>-169107.74</v>
      </c>
      <c r="J420" s="357">
        <v>176173.35</v>
      </c>
      <c r="K420" s="357">
        <v>7065.61</v>
      </c>
      <c r="L420" s="357">
        <v>0</v>
      </c>
      <c r="N420" s="302"/>
    </row>
    <row r="421" spans="3:14" ht="15" customHeight="1" x14ac:dyDescent="0.3">
      <c r="C421" s="369" t="s">
        <v>4715</v>
      </c>
      <c r="D421" s="370" t="s">
        <v>1349</v>
      </c>
      <c r="E421" s="421">
        <v>-74874.75</v>
      </c>
      <c r="F421" s="421">
        <v>78003.48</v>
      </c>
      <c r="G421" s="421">
        <v>3128.73</v>
      </c>
      <c r="H421" s="421">
        <v>0</v>
      </c>
      <c r="I421" s="371">
        <v>-74874.75</v>
      </c>
      <c r="J421" s="357">
        <v>78003.48</v>
      </c>
      <c r="K421" s="357">
        <v>3128.73</v>
      </c>
      <c r="L421" s="357">
        <v>0</v>
      </c>
      <c r="N421" s="302"/>
    </row>
    <row r="422" spans="3:14" ht="15" customHeight="1" x14ac:dyDescent="0.3">
      <c r="C422" s="369" t="s">
        <v>4716</v>
      </c>
      <c r="D422" s="370" t="s">
        <v>1353</v>
      </c>
      <c r="E422" s="421">
        <v>-123981.29</v>
      </c>
      <c r="F422" s="421">
        <v>129160.29</v>
      </c>
      <c r="G422" s="421">
        <v>5179</v>
      </c>
      <c r="H422" s="421">
        <v>0</v>
      </c>
      <c r="I422" s="371">
        <v>-123981.29</v>
      </c>
      <c r="J422" s="357">
        <v>129160.29</v>
      </c>
      <c r="K422" s="357">
        <v>5179</v>
      </c>
      <c r="L422" s="357">
        <v>0</v>
      </c>
      <c r="N422" s="302"/>
    </row>
    <row r="423" spans="3:14" ht="15" customHeight="1" x14ac:dyDescent="0.3">
      <c r="C423" s="369" t="s">
        <v>4717</v>
      </c>
      <c r="D423" s="370" t="s">
        <v>1357</v>
      </c>
      <c r="E423" s="421">
        <v>-68307.31</v>
      </c>
      <c r="F423" s="421">
        <v>84881.79</v>
      </c>
      <c r="G423" s="421">
        <v>92228.24</v>
      </c>
      <c r="H423" s="421">
        <v>-75653.759999999995</v>
      </c>
      <c r="I423" s="371">
        <v>-68307.31</v>
      </c>
      <c r="J423" s="357">
        <v>84881.79</v>
      </c>
      <c r="K423" s="357">
        <v>92228.24</v>
      </c>
      <c r="L423" s="357">
        <v>-75653.759999999995</v>
      </c>
      <c r="N423" s="302"/>
    </row>
    <row r="424" spans="3:14" ht="15" customHeight="1" x14ac:dyDescent="0.3">
      <c r="C424" s="369" t="s">
        <v>4718</v>
      </c>
      <c r="D424" s="370" t="s">
        <v>1361</v>
      </c>
      <c r="E424" s="421">
        <v>-357607</v>
      </c>
      <c r="F424" s="421">
        <v>409457.04</v>
      </c>
      <c r="G424" s="421">
        <v>558753.76</v>
      </c>
      <c r="H424" s="421">
        <v>-506903.72</v>
      </c>
      <c r="I424" s="371">
        <v>-357607</v>
      </c>
      <c r="J424" s="357">
        <v>409457.04</v>
      </c>
      <c r="K424" s="357">
        <v>558753.76</v>
      </c>
      <c r="L424" s="357">
        <v>-506903.72</v>
      </c>
      <c r="N424" s="302"/>
    </row>
    <row r="425" spans="3:14" ht="15" customHeight="1" x14ac:dyDescent="0.3">
      <c r="C425" s="369" t="s">
        <v>4719</v>
      </c>
      <c r="D425" s="370" t="s">
        <v>1364</v>
      </c>
      <c r="E425" s="421">
        <v>-31813.439999999999</v>
      </c>
      <c r="F425" s="421">
        <v>35147.06</v>
      </c>
      <c r="G425" s="421">
        <v>38481.49</v>
      </c>
      <c r="H425" s="421">
        <v>-35147.870000000003</v>
      </c>
      <c r="I425" s="371">
        <v>-31813.439999999999</v>
      </c>
      <c r="J425" s="357">
        <v>35147.06</v>
      </c>
      <c r="K425" s="357">
        <v>38481.49</v>
      </c>
      <c r="L425" s="357">
        <v>-35147.870000000003</v>
      </c>
      <c r="N425" s="302"/>
    </row>
    <row r="426" spans="3:14" ht="15" customHeight="1" x14ac:dyDescent="0.3">
      <c r="C426" s="369" t="s">
        <v>4720</v>
      </c>
      <c r="D426" s="370" t="s">
        <v>3540</v>
      </c>
      <c r="E426" s="421">
        <v>-281305</v>
      </c>
      <c r="F426" s="421">
        <v>250879.69</v>
      </c>
      <c r="G426" s="421">
        <v>337785.61</v>
      </c>
      <c r="H426" s="421">
        <v>-368210.92</v>
      </c>
      <c r="I426" s="371">
        <v>-281305</v>
      </c>
      <c r="J426" s="357">
        <v>250879.69</v>
      </c>
      <c r="K426" s="357">
        <v>337785.61</v>
      </c>
      <c r="L426" s="357">
        <v>-368210.92</v>
      </c>
      <c r="N426" s="302"/>
    </row>
    <row r="427" spans="3:14" ht="15" customHeight="1" x14ac:dyDescent="0.3">
      <c r="C427" s="310" t="s">
        <v>4721</v>
      </c>
      <c r="D427" s="311" t="s">
        <v>3541</v>
      </c>
      <c r="E427" s="421">
        <v>-8829501.7599999998</v>
      </c>
      <c r="F427" s="421">
        <v>2774115.52</v>
      </c>
      <c r="G427" s="421">
        <v>0</v>
      </c>
      <c r="H427" s="421">
        <v>-6055386.2400000002</v>
      </c>
      <c r="I427" s="312">
        <v>-8829501.7599999998</v>
      </c>
      <c r="J427" s="313">
        <v>2774115.52</v>
      </c>
      <c r="K427" s="313">
        <v>0</v>
      </c>
      <c r="L427" s="313">
        <v>-6055386.2400000002</v>
      </c>
      <c r="N427" s="302"/>
    </row>
    <row r="428" spans="3:14" ht="15" customHeight="1" x14ac:dyDescent="0.3">
      <c r="C428" s="365" t="s">
        <v>4722</v>
      </c>
      <c r="D428" s="366" t="s">
        <v>3542</v>
      </c>
      <c r="E428" s="421">
        <v>-8816074.5700000003</v>
      </c>
      <c r="F428" s="421">
        <v>2774115.52</v>
      </c>
      <c r="G428" s="421">
        <v>0</v>
      </c>
      <c r="H428" s="421">
        <v>-6041959.0499999998</v>
      </c>
      <c r="I428" s="367">
        <v>-8816074.5700000003</v>
      </c>
      <c r="J428" s="356">
        <v>2774115.52</v>
      </c>
      <c r="K428" s="356">
        <v>0</v>
      </c>
      <c r="L428" s="356">
        <v>-6041959.0499999998</v>
      </c>
      <c r="N428" s="302">
        <v>15</v>
      </c>
    </row>
    <row r="429" spans="3:14" ht="15" customHeight="1" x14ac:dyDescent="0.3">
      <c r="C429" s="369" t="s">
        <v>4723</v>
      </c>
      <c r="D429" s="370" t="s">
        <v>1374</v>
      </c>
      <c r="E429" s="421">
        <v>-5896347.0700000003</v>
      </c>
      <c r="F429" s="421">
        <v>2763899.37</v>
      </c>
      <c r="G429" s="421">
        <v>0</v>
      </c>
      <c r="H429" s="421">
        <v>-3132447.7</v>
      </c>
      <c r="I429" s="371">
        <v>-5896347.0700000003</v>
      </c>
      <c r="J429" s="357">
        <v>2763899.37</v>
      </c>
      <c r="K429" s="357">
        <v>0</v>
      </c>
      <c r="L429" s="357">
        <v>-3132447.7</v>
      </c>
      <c r="N429" s="302"/>
    </row>
    <row r="430" spans="3:14" ht="15" customHeight="1" x14ac:dyDescent="0.3">
      <c r="C430" s="369" t="s">
        <v>4724</v>
      </c>
      <c r="D430" s="370" t="s">
        <v>1380</v>
      </c>
      <c r="E430" s="421">
        <v>-2808928.22</v>
      </c>
      <c r="F430" s="421">
        <v>0</v>
      </c>
      <c r="G430" s="421">
        <v>0</v>
      </c>
      <c r="H430" s="421">
        <v>-2808928.22</v>
      </c>
      <c r="I430" s="371">
        <v>-2808928.22</v>
      </c>
      <c r="J430" s="357">
        <v>0</v>
      </c>
      <c r="K430" s="357">
        <v>0</v>
      </c>
      <c r="L430" s="357">
        <v>-2808928.22</v>
      </c>
      <c r="N430" s="302"/>
    </row>
    <row r="431" spans="3:14" ht="15" customHeight="1" x14ac:dyDescent="0.3">
      <c r="C431" s="369" t="s">
        <v>4725</v>
      </c>
      <c r="D431" s="370" t="s">
        <v>1385</v>
      </c>
      <c r="E431" s="421">
        <v>-110799.28</v>
      </c>
      <c r="F431" s="421">
        <v>10216.15</v>
      </c>
      <c r="G431" s="421">
        <v>0</v>
      </c>
      <c r="H431" s="421">
        <v>-100583.13</v>
      </c>
      <c r="I431" s="371">
        <v>-110799.28</v>
      </c>
      <c r="J431" s="357">
        <v>10216.15</v>
      </c>
      <c r="K431" s="357">
        <v>0</v>
      </c>
      <c r="L431" s="357">
        <v>-100583.13</v>
      </c>
      <c r="N431" s="302"/>
    </row>
    <row r="432" spans="3:14" ht="15" customHeight="1" x14ac:dyDescent="0.3">
      <c r="C432" s="423" t="s">
        <v>4726</v>
      </c>
      <c r="D432" s="424" t="s">
        <v>1388</v>
      </c>
      <c r="E432" s="425">
        <v>-13427.19</v>
      </c>
      <c r="F432" s="425">
        <v>0</v>
      </c>
      <c r="G432" s="425">
        <v>0</v>
      </c>
      <c r="H432" s="425">
        <v>-13427.19</v>
      </c>
      <c r="I432" s="426">
        <v>-13427.19</v>
      </c>
      <c r="J432" s="422">
        <v>0</v>
      </c>
      <c r="K432" s="422">
        <v>0</v>
      </c>
      <c r="L432" s="422">
        <v>-13427.19</v>
      </c>
      <c r="N432" s="302">
        <v>16</v>
      </c>
    </row>
    <row r="433" spans="3:14" ht="15" customHeight="1" x14ac:dyDescent="0.3">
      <c r="C433" s="427" t="s">
        <v>4727</v>
      </c>
      <c r="D433" s="428" t="s">
        <v>1391</v>
      </c>
      <c r="E433" s="425">
        <v>-13427.19</v>
      </c>
      <c r="F433" s="425">
        <v>0</v>
      </c>
      <c r="G433" s="425">
        <v>0</v>
      </c>
      <c r="H433" s="425">
        <v>-13427.19</v>
      </c>
      <c r="I433" s="429">
        <v>-13427.19</v>
      </c>
      <c r="J433" s="430">
        <v>0</v>
      </c>
      <c r="K433" s="430">
        <v>0</v>
      </c>
      <c r="L433" s="430">
        <v>-13427.19</v>
      </c>
      <c r="N433" s="302"/>
    </row>
    <row r="434" spans="3:14" ht="15" customHeight="1" x14ac:dyDescent="0.3">
      <c r="C434" s="423" t="s">
        <v>4728</v>
      </c>
      <c r="D434" s="424" t="s">
        <v>3543</v>
      </c>
      <c r="E434" s="425">
        <v>-188783.22</v>
      </c>
      <c r="F434" s="425">
        <v>197754.26</v>
      </c>
      <c r="G434" s="425">
        <v>209914.64</v>
      </c>
      <c r="H434" s="425">
        <v>-200943.6</v>
      </c>
      <c r="I434" s="426">
        <v>-188783.22</v>
      </c>
      <c r="J434" s="422">
        <v>197754.26</v>
      </c>
      <c r="K434" s="422">
        <v>209914.64</v>
      </c>
      <c r="L434" s="422">
        <v>-200943.6</v>
      </c>
      <c r="N434" s="302">
        <v>16</v>
      </c>
    </row>
    <row r="435" spans="3:14" ht="15" customHeight="1" x14ac:dyDescent="0.3">
      <c r="C435" s="423" t="s">
        <v>4729</v>
      </c>
      <c r="D435" s="424" t="s">
        <v>3544</v>
      </c>
      <c r="E435" s="425">
        <v>-188783.22</v>
      </c>
      <c r="F435" s="425">
        <v>197754.26</v>
      </c>
      <c r="G435" s="425">
        <v>209914.64</v>
      </c>
      <c r="H435" s="425">
        <v>-200943.6</v>
      </c>
      <c r="I435" s="426">
        <v>-188783.22</v>
      </c>
      <c r="J435" s="422">
        <v>197754.26</v>
      </c>
      <c r="K435" s="422">
        <v>209914.64</v>
      </c>
      <c r="L435" s="422">
        <v>-200943.6</v>
      </c>
      <c r="N435" s="302"/>
    </row>
    <row r="436" spans="3:14" ht="15" customHeight="1" x14ac:dyDescent="0.3">
      <c r="C436" s="427" t="s">
        <v>4730</v>
      </c>
      <c r="D436" s="428" t="s">
        <v>3545</v>
      </c>
      <c r="E436" s="425">
        <v>-797.56</v>
      </c>
      <c r="F436" s="425">
        <v>797.56</v>
      </c>
      <c r="G436" s="425">
        <v>0</v>
      </c>
      <c r="H436" s="425">
        <v>0</v>
      </c>
      <c r="I436" s="429">
        <v>-797.56</v>
      </c>
      <c r="J436" s="430">
        <v>797.56</v>
      </c>
      <c r="K436" s="430">
        <v>0</v>
      </c>
      <c r="L436" s="430">
        <v>0</v>
      </c>
      <c r="N436" s="302"/>
    </row>
    <row r="437" spans="3:14" ht="15" customHeight="1" x14ac:dyDescent="0.3">
      <c r="C437" s="427" t="s">
        <v>4731</v>
      </c>
      <c r="D437" s="428" t="s">
        <v>1412</v>
      </c>
      <c r="E437" s="425">
        <v>-187985.66</v>
      </c>
      <c r="F437" s="425">
        <v>196956.7</v>
      </c>
      <c r="G437" s="425">
        <v>209914.64</v>
      </c>
      <c r="H437" s="425">
        <v>-200943.6</v>
      </c>
      <c r="I437" s="429">
        <v>-187985.66</v>
      </c>
      <c r="J437" s="430">
        <v>196956.7</v>
      </c>
      <c r="K437" s="430">
        <v>209914.64</v>
      </c>
      <c r="L437" s="430">
        <v>-200943.6</v>
      </c>
      <c r="N437" s="302"/>
    </row>
    <row r="438" spans="3:14" ht="15" customHeight="1" x14ac:dyDescent="0.3">
      <c r="C438" s="365" t="s">
        <v>4732</v>
      </c>
      <c r="D438" s="366" t="s">
        <v>3546</v>
      </c>
      <c r="E438" s="421">
        <v>-1003895.78</v>
      </c>
      <c r="F438" s="421">
        <v>5164877.58</v>
      </c>
      <c r="G438" s="421">
        <v>7133418.71</v>
      </c>
      <c r="H438" s="421">
        <v>-2972436.91</v>
      </c>
      <c r="I438" s="367">
        <v>-1003895.78</v>
      </c>
      <c r="J438" s="356">
        <v>5164877.58</v>
      </c>
      <c r="K438" s="356">
        <v>7133418.71</v>
      </c>
      <c r="L438" s="356">
        <v>-2972436.91</v>
      </c>
      <c r="N438" s="302">
        <v>13</v>
      </c>
    </row>
    <row r="439" spans="3:14" ht="15" customHeight="1" x14ac:dyDescent="0.3">
      <c r="C439" s="365" t="s">
        <v>4733</v>
      </c>
      <c r="D439" s="366" t="s">
        <v>3547</v>
      </c>
      <c r="E439" s="421">
        <v>-1003895.78</v>
      </c>
      <c r="F439" s="421">
        <v>5164877.58</v>
      </c>
      <c r="G439" s="421">
        <v>7133418.71</v>
      </c>
      <c r="H439" s="421">
        <v>-2972436.91</v>
      </c>
      <c r="I439" s="367">
        <v>-1003895.78</v>
      </c>
      <c r="J439" s="356">
        <v>5164877.58</v>
      </c>
      <c r="K439" s="356">
        <v>7133418.71</v>
      </c>
      <c r="L439" s="356">
        <v>-2972436.91</v>
      </c>
      <c r="N439" s="302"/>
    </row>
    <row r="440" spans="3:14" ht="15" customHeight="1" x14ac:dyDescent="0.3">
      <c r="C440" s="369" t="s">
        <v>4734</v>
      </c>
      <c r="D440" s="370" t="s">
        <v>1424</v>
      </c>
      <c r="E440" s="421">
        <v>-774582.94</v>
      </c>
      <c r="F440" s="421">
        <v>1344714.22</v>
      </c>
      <c r="G440" s="421">
        <v>2772054.13</v>
      </c>
      <c r="H440" s="421">
        <v>-2201922.85</v>
      </c>
      <c r="I440" s="371">
        <v>-774582.94</v>
      </c>
      <c r="J440" s="357">
        <v>1344714.22</v>
      </c>
      <c r="K440" s="357">
        <v>2772054.13</v>
      </c>
      <c r="L440" s="357">
        <v>-2201922.85</v>
      </c>
      <c r="N440" s="302"/>
    </row>
    <row r="441" spans="3:14" ht="15" customHeight="1" x14ac:dyDescent="0.3">
      <c r="C441" s="369" t="s">
        <v>4735</v>
      </c>
      <c r="D441" s="370" t="s">
        <v>1428</v>
      </c>
      <c r="E441" s="421">
        <v>-229312.84</v>
      </c>
      <c r="F441" s="421">
        <v>1103384.8400000001</v>
      </c>
      <c r="G441" s="421">
        <v>1644586.06</v>
      </c>
      <c r="H441" s="421">
        <v>-770514.06</v>
      </c>
      <c r="I441" s="371">
        <v>-229312.84</v>
      </c>
      <c r="J441" s="357">
        <v>1103384.8400000001</v>
      </c>
      <c r="K441" s="357">
        <v>1644586.06</v>
      </c>
      <c r="L441" s="357">
        <v>-770514.06</v>
      </c>
      <c r="N441" s="302"/>
    </row>
    <row r="442" spans="3:14" ht="15" customHeight="1" x14ac:dyDescent="0.3">
      <c r="C442" s="369" t="s">
        <v>4736</v>
      </c>
      <c r="D442" s="370" t="s">
        <v>1432</v>
      </c>
      <c r="E442" s="421">
        <v>0</v>
      </c>
      <c r="F442" s="421">
        <v>2716778.52</v>
      </c>
      <c r="G442" s="421">
        <v>2716778.52</v>
      </c>
      <c r="H442" s="421">
        <v>0</v>
      </c>
      <c r="I442" s="371">
        <v>0</v>
      </c>
      <c r="J442" s="357">
        <v>2716778.52</v>
      </c>
      <c r="K442" s="357">
        <v>2716778.52</v>
      </c>
      <c r="L442" s="357">
        <v>0</v>
      </c>
      <c r="N442" s="302"/>
    </row>
    <row r="443" spans="3:14" ht="15" customHeight="1" x14ac:dyDescent="0.3">
      <c r="C443" s="423" t="s">
        <v>4737</v>
      </c>
      <c r="D443" s="424" t="s">
        <v>3548</v>
      </c>
      <c r="E443" s="425">
        <v>-2596139.36</v>
      </c>
      <c r="F443" s="425">
        <v>39338268.840000004</v>
      </c>
      <c r="G443" s="425">
        <v>49434566.100000001</v>
      </c>
      <c r="H443" s="425">
        <v>-12692436.619999999</v>
      </c>
      <c r="I443" s="426">
        <v>-2596139.36</v>
      </c>
      <c r="J443" s="422">
        <v>39338268.840000004</v>
      </c>
      <c r="K443" s="422">
        <v>49434566.100000001</v>
      </c>
      <c r="L443" s="422">
        <v>-12692436.619999999</v>
      </c>
      <c r="N443" s="302">
        <v>16</v>
      </c>
    </row>
    <row r="444" spans="3:14" ht="15" customHeight="1" x14ac:dyDescent="0.3">
      <c r="C444" s="423" t="s">
        <v>4738</v>
      </c>
      <c r="D444" s="424" t="s">
        <v>3549</v>
      </c>
      <c r="E444" s="425">
        <v>-2596139.36</v>
      </c>
      <c r="F444" s="425">
        <v>39338268.840000004</v>
      </c>
      <c r="G444" s="425">
        <v>49434566.100000001</v>
      </c>
      <c r="H444" s="425">
        <v>-12692436.619999999</v>
      </c>
      <c r="I444" s="426">
        <v>-2596139.36</v>
      </c>
      <c r="J444" s="422">
        <v>39338268.840000004</v>
      </c>
      <c r="K444" s="422">
        <v>49434566.100000001</v>
      </c>
      <c r="L444" s="422">
        <v>-12692436.619999999</v>
      </c>
      <c r="N444" s="302"/>
    </row>
    <row r="445" spans="3:14" ht="15" customHeight="1" x14ac:dyDescent="0.3">
      <c r="C445" s="427" t="s">
        <v>4739</v>
      </c>
      <c r="D445" s="428" t="s">
        <v>1443</v>
      </c>
      <c r="E445" s="425">
        <v>-13247.77</v>
      </c>
      <c r="F445" s="425">
        <v>13247.77</v>
      </c>
      <c r="G445" s="425">
        <v>0</v>
      </c>
      <c r="H445" s="425">
        <v>0</v>
      </c>
      <c r="I445" s="429">
        <v>-13247.77</v>
      </c>
      <c r="J445" s="430">
        <v>13247.77</v>
      </c>
      <c r="K445" s="430">
        <v>0</v>
      </c>
      <c r="L445" s="430">
        <v>0</v>
      </c>
      <c r="N445" s="302"/>
    </row>
    <row r="446" spans="3:14" ht="15" customHeight="1" x14ac:dyDescent="0.3">
      <c r="C446" s="427" t="s">
        <v>4740</v>
      </c>
      <c r="D446" s="428" t="s">
        <v>1446</v>
      </c>
      <c r="E446" s="425">
        <v>-2582891.59</v>
      </c>
      <c r="F446" s="425">
        <v>2698104.05</v>
      </c>
      <c r="G446" s="425">
        <v>239949.47</v>
      </c>
      <c r="H446" s="425">
        <v>-124737.01</v>
      </c>
      <c r="I446" s="429">
        <v>-2582891.59</v>
      </c>
      <c r="J446" s="430">
        <v>2698104.05</v>
      </c>
      <c r="K446" s="430">
        <v>239949.47</v>
      </c>
      <c r="L446" s="430">
        <v>-124737.01</v>
      </c>
      <c r="N446" s="302"/>
    </row>
    <row r="447" spans="3:14" ht="15" customHeight="1" x14ac:dyDescent="0.3">
      <c r="C447" s="427" t="s">
        <v>4741</v>
      </c>
      <c r="D447" s="428" t="s">
        <v>3550</v>
      </c>
      <c r="E447" s="425">
        <v>0</v>
      </c>
      <c r="F447" s="425">
        <v>36626917.019999996</v>
      </c>
      <c r="G447" s="425">
        <v>48702439.079999998</v>
      </c>
      <c r="H447" s="425">
        <v>-12075522.060000001</v>
      </c>
      <c r="I447" s="429">
        <v>0</v>
      </c>
      <c r="J447" s="430">
        <v>36626917.019999996</v>
      </c>
      <c r="K447" s="430">
        <v>48702439.079999998</v>
      </c>
      <c r="L447" s="430">
        <v>-12075522.060000001</v>
      </c>
      <c r="N447" s="302"/>
    </row>
    <row r="448" spans="3:14" ht="15" customHeight="1" x14ac:dyDescent="0.3">
      <c r="C448" s="427" t="s">
        <v>4742</v>
      </c>
      <c r="D448" s="428" t="s">
        <v>3551</v>
      </c>
      <c r="E448" s="425">
        <v>0</v>
      </c>
      <c r="F448" s="425">
        <v>0</v>
      </c>
      <c r="G448" s="425">
        <v>492177.55</v>
      </c>
      <c r="H448" s="425">
        <v>-492177.55</v>
      </c>
      <c r="I448" s="429">
        <v>0</v>
      </c>
      <c r="J448" s="430">
        <v>0</v>
      </c>
      <c r="K448" s="430">
        <v>492177.55</v>
      </c>
      <c r="L448" s="430">
        <v>-492177.55</v>
      </c>
      <c r="N448" s="302"/>
    </row>
    <row r="449" spans="3:14" ht="15" customHeight="1" x14ac:dyDescent="0.3">
      <c r="C449" s="310" t="s">
        <v>4743</v>
      </c>
      <c r="D449" s="311" t="s">
        <v>3552</v>
      </c>
      <c r="E449" s="421">
        <v>-48715220.960000001</v>
      </c>
      <c r="F449" s="421">
        <v>31278900.09</v>
      </c>
      <c r="G449" s="421">
        <v>49222298.859999999</v>
      </c>
      <c r="H449" s="421">
        <v>-66658619.729999997</v>
      </c>
      <c r="I449" s="312">
        <v>-48715220.960000001</v>
      </c>
      <c r="J449" s="313">
        <v>31278900.09</v>
      </c>
      <c r="K449" s="313">
        <v>49222298.859999999</v>
      </c>
      <c r="L449" s="313">
        <v>-66658619.729999997</v>
      </c>
      <c r="N449" s="302"/>
    </row>
    <row r="450" spans="3:14" ht="15" customHeight="1" x14ac:dyDescent="0.3">
      <c r="C450" s="310" t="s">
        <v>4744</v>
      </c>
      <c r="D450" s="311" t="s">
        <v>3553</v>
      </c>
      <c r="E450" s="421">
        <v>-3901355.39</v>
      </c>
      <c r="F450" s="421">
        <v>998428.19</v>
      </c>
      <c r="G450" s="421">
        <v>33344532.93</v>
      </c>
      <c r="H450" s="421">
        <v>-36247460.130000003</v>
      </c>
      <c r="I450" s="312">
        <v>-3901355.39</v>
      </c>
      <c r="J450" s="313">
        <v>998428.19</v>
      </c>
      <c r="K450" s="313">
        <v>33344532.93</v>
      </c>
      <c r="L450" s="313">
        <v>-36247460.130000003</v>
      </c>
      <c r="N450" s="302"/>
    </row>
    <row r="451" spans="3:14" ht="15" customHeight="1" x14ac:dyDescent="0.3">
      <c r="C451" s="365" t="s">
        <v>4745</v>
      </c>
      <c r="D451" s="366" t="s">
        <v>3554</v>
      </c>
      <c r="E451" s="421">
        <v>-439113.51</v>
      </c>
      <c r="F451" s="421">
        <v>163418.76</v>
      </c>
      <c r="G451" s="421">
        <v>33317541.27</v>
      </c>
      <c r="H451" s="421">
        <v>-33593236.020000003</v>
      </c>
      <c r="I451" s="367">
        <v>-439113.51</v>
      </c>
      <c r="J451" s="356">
        <v>163418.76</v>
      </c>
      <c r="K451" s="356">
        <v>33317541.27</v>
      </c>
      <c r="L451" s="356">
        <v>-33593236.020000003</v>
      </c>
      <c r="N451" s="302">
        <v>17</v>
      </c>
    </row>
    <row r="452" spans="3:14" ht="15" customHeight="1" x14ac:dyDescent="0.3">
      <c r="C452" s="369" t="s">
        <v>4746</v>
      </c>
      <c r="D452" s="370" t="s">
        <v>1465</v>
      </c>
      <c r="E452" s="421">
        <v>-439113.51</v>
      </c>
      <c r="F452" s="421">
        <v>163418.76</v>
      </c>
      <c r="G452" s="421">
        <v>0</v>
      </c>
      <c r="H452" s="421">
        <v>-275694.75</v>
      </c>
      <c r="I452" s="371">
        <v>-439113.51</v>
      </c>
      <c r="J452" s="357">
        <v>163418.76</v>
      </c>
      <c r="K452" s="357">
        <v>0</v>
      </c>
      <c r="L452" s="357">
        <v>-275694.75</v>
      </c>
      <c r="N452" s="302"/>
    </row>
    <row r="453" spans="3:14" ht="15" customHeight="1" x14ac:dyDescent="0.3">
      <c r="C453" s="369" t="s">
        <v>4747</v>
      </c>
      <c r="D453" s="370" t="s">
        <v>3555</v>
      </c>
      <c r="E453" s="421">
        <v>0</v>
      </c>
      <c r="F453" s="421">
        <v>0</v>
      </c>
      <c r="G453" s="421">
        <v>32515268.66</v>
      </c>
      <c r="H453" s="421">
        <v>-32515268.66</v>
      </c>
      <c r="I453" s="371">
        <v>0</v>
      </c>
      <c r="J453" s="357">
        <v>0</v>
      </c>
      <c r="K453" s="357">
        <v>32515268.66</v>
      </c>
      <c r="L453" s="357">
        <v>-32515268.66</v>
      </c>
      <c r="N453" s="302"/>
    </row>
    <row r="454" spans="3:14" ht="15" customHeight="1" x14ac:dyDescent="0.3">
      <c r="C454" s="369" t="s">
        <v>4748</v>
      </c>
      <c r="D454" s="370" t="s">
        <v>3556</v>
      </c>
      <c r="E454" s="421">
        <v>0</v>
      </c>
      <c r="F454" s="421">
        <v>0</v>
      </c>
      <c r="G454" s="421">
        <v>802272.61</v>
      </c>
      <c r="H454" s="421">
        <v>-802272.61</v>
      </c>
      <c r="I454" s="371">
        <v>0</v>
      </c>
      <c r="J454" s="357">
        <v>0</v>
      </c>
      <c r="K454" s="357">
        <v>802272.61</v>
      </c>
      <c r="L454" s="357">
        <v>-802272.61</v>
      </c>
      <c r="N454" s="302"/>
    </row>
    <row r="455" spans="3:14" ht="15" customHeight="1" x14ac:dyDescent="0.3">
      <c r="C455" s="365" t="s">
        <v>4749</v>
      </c>
      <c r="D455" s="366" t="s">
        <v>3557</v>
      </c>
      <c r="E455" s="421">
        <v>-2094201.41</v>
      </c>
      <c r="F455" s="421">
        <v>835009.43</v>
      </c>
      <c r="G455" s="421">
        <v>26991.66</v>
      </c>
      <c r="H455" s="421">
        <v>-1286183.6399999999</v>
      </c>
      <c r="I455" s="367">
        <v>-2094201.41</v>
      </c>
      <c r="J455" s="356">
        <v>835009.43</v>
      </c>
      <c r="K455" s="356">
        <v>26991.66</v>
      </c>
      <c r="L455" s="356">
        <v>-1286183.6399999999</v>
      </c>
      <c r="N455" s="302">
        <v>18</v>
      </c>
    </row>
    <row r="456" spans="3:14" ht="15" customHeight="1" x14ac:dyDescent="0.3">
      <c r="C456" s="369" t="s">
        <v>4750</v>
      </c>
      <c r="D456" s="370" t="s">
        <v>1471</v>
      </c>
      <c r="E456" s="421">
        <v>-138252.07</v>
      </c>
      <c r="F456" s="421">
        <v>48511</v>
      </c>
      <c r="G456" s="421">
        <v>0</v>
      </c>
      <c r="H456" s="421">
        <v>-89741.07</v>
      </c>
      <c r="I456" s="371">
        <v>-138252.07</v>
      </c>
      <c r="J456" s="357">
        <v>48511</v>
      </c>
      <c r="K456" s="357">
        <v>0</v>
      </c>
      <c r="L456" s="357">
        <v>-89741.07</v>
      </c>
      <c r="N456" s="302"/>
    </row>
    <row r="457" spans="3:14" ht="15" customHeight="1" x14ac:dyDescent="0.3">
      <c r="C457" s="369" t="s">
        <v>4751</v>
      </c>
      <c r="D457" s="370" t="s">
        <v>1487</v>
      </c>
      <c r="E457" s="421">
        <v>-108152.13</v>
      </c>
      <c r="F457" s="421">
        <v>91012.43</v>
      </c>
      <c r="G457" s="421">
        <v>26991.66</v>
      </c>
      <c r="H457" s="421">
        <v>-44131.360000000001</v>
      </c>
      <c r="I457" s="371">
        <v>-108152.13</v>
      </c>
      <c r="J457" s="357">
        <v>91012.43</v>
      </c>
      <c r="K457" s="357">
        <v>26991.66</v>
      </c>
      <c r="L457" s="357">
        <v>-44131.360000000001</v>
      </c>
      <c r="N457" s="302"/>
    </row>
    <row r="458" spans="3:14" ht="15" customHeight="1" x14ac:dyDescent="0.3">
      <c r="C458" s="369" t="s">
        <v>4752</v>
      </c>
      <c r="D458" s="370" t="s">
        <v>1491</v>
      </c>
      <c r="E458" s="421">
        <v>-834415</v>
      </c>
      <c r="F458" s="421">
        <v>409458</v>
      </c>
      <c r="G458" s="421">
        <v>0</v>
      </c>
      <c r="H458" s="421">
        <v>-424957</v>
      </c>
      <c r="I458" s="371">
        <v>-834415</v>
      </c>
      <c r="J458" s="357">
        <v>409458</v>
      </c>
      <c r="K458" s="357">
        <v>0</v>
      </c>
      <c r="L458" s="357">
        <v>-424957</v>
      </c>
      <c r="N458" s="302"/>
    </row>
    <row r="459" spans="3:14" ht="15" customHeight="1" x14ac:dyDescent="0.3">
      <c r="C459" s="369" t="s">
        <v>4753</v>
      </c>
      <c r="D459" s="370" t="s">
        <v>1494</v>
      </c>
      <c r="E459" s="421">
        <v>-75701.490000000005</v>
      </c>
      <c r="F459" s="421">
        <v>35148</v>
      </c>
      <c r="G459" s="421">
        <v>0</v>
      </c>
      <c r="H459" s="421">
        <v>-40553.49</v>
      </c>
      <c r="I459" s="371">
        <v>-75701.490000000005</v>
      </c>
      <c r="J459" s="357">
        <v>35148</v>
      </c>
      <c r="K459" s="357">
        <v>0</v>
      </c>
      <c r="L459" s="357">
        <v>-40553.49</v>
      </c>
      <c r="N459" s="302"/>
    </row>
    <row r="460" spans="3:14" ht="15" customHeight="1" x14ac:dyDescent="0.3">
      <c r="C460" s="369" t="s">
        <v>4754</v>
      </c>
      <c r="D460" s="370" t="s">
        <v>3558</v>
      </c>
      <c r="E460" s="421">
        <v>-937680.72</v>
      </c>
      <c r="F460" s="421">
        <v>250880</v>
      </c>
      <c r="G460" s="421">
        <v>0</v>
      </c>
      <c r="H460" s="421">
        <v>-686800.72</v>
      </c>
      <c r="I460" s="371">
        <v>-937680.72</v>
      </c>
      <c r="J460" s="357">
        <v>250880</v>
      </c>
      <c r="K460" s="357">
        <v>0</v>
      </c>
      <c r="L460" s="357">
        <v>-686800.72</v>
      </c>
      <c r="N460" s="302"/>
    </row>
    <row r="461" spans="3:14" ht="15" customHeight="1" x14ac:dyDescent="0.3">
      <c r="C461" s="365" t="s">
        <v>4755</v>
      </c>
      <c r="D461" s="366" t="s">
        <v>1497</v>
      </c>
      <c r="E461" s="421">
        <v>-1368040.47</v>
      </c>
      <c r="F461" s="421">
        <v>0</v>
      </c>
      <c r="G461" s="421">
        <v>0</v>
      </c>
      <c r="H461" s="421">
        <v>-1368040.47</v>
      </c>
      <c r="I461" s="367">
        <v>-1368040.47</v>
      </c>
      <c r="J461" s="356">
        <v>0</v>
      </c>
      <c r="K461" s="356">
        <v>0</v>
      </c>
      <c r="L461" s="356">
        <v>-1368040.47</v>
      </c>
      <c r="N461" s="302">
        <v>17</v>
      </c>
    </row>
    <row r="462" spans="3:14" ht="15" customHeight="1" x14ac:dyDescent="0.3">
      <c r="C462" s="369" t="s">
        <v>4756</v>
      </c>
      <c r="D462" s="370" t="s">
        <v>1500</v>
      </c>
      <c r="E462" s="421">
        <v>-1368040.47</v>
      </c>
      <c r="F462" s="421">
        <v>0</v>
      </c>
      <c r="G462" s="421">
        <v>0</v>
      </c>
      <c r="H462" s="421">
        <v>-1368040.47</v>
      </c>
      <c r="I462" s="371">
        <v>-1368040.47</v>
      </c>
      <c r="J462" s="357">
        <v>0</v>
      </c>
      <c r="K462" s="357">
        <v>0</v>
      </c>
      <c r="L462" s="357">
        <v>-1368040.47</v>
      </c>
      <c r="N462" s="302"/>
    </row>
    <row r="463" spans="3:14" ht="15" customHeight="1" x14ac:dyDescent="0.3">
      <c r="C463" s="365" t="s">
        <v>4757</v>
      </c>
      <c r="D463" s="366" t="s">
        <v>3559</v>
      </c>
      <c r="E463" s="421">
        <v>-44813865.57</v>
      </c>
      <c r="F463" s="421">
        <v>30280471.899999999</v>
      </c>
      <c r="G463" s="421">
        <v>15877765.93</v>
      </c>
      <c r="H463" s="421">
        <v>-30411159.600000001</v>
      </c>
      <c r="I463" s="367">
        <v>-44813865.57</v>
      </c>
      <c r="J463" s="356">
        <v>30280471.899999999</v>
      </c>
      <c r="K463" s="356">
        <v>15877765.93</v>
      </c>
      <c r="L463" s="356">
        <v>-30411159.600000001</v>
      </c>
      <c r="N463" s="302">
        <v>19</v>
      </c>
    </row>
    <row r="464" spans="3:14" ht="15" customHeight="1" x14ac:dyDescent="0.3">
      <c r="C464" s="365" t="s">
        <v>4758</v>
      </c>
      <c r="D464" s="366" t="s">
        <v>3560</v>
      </c>
      <c r="E464" s="421">
        <v>-44813865.57</v>
      </c>
      <c r="F464" s="421">
        <v>30280471.899999999</v>
      </c>
      <c r="G464" s="421">
        <v>15877765.93</v>
      </c>
      <c r="H464" s="421">
        <v>-30411159.600000001</v>
      </c>
      <c r="I464" s="367">
        <v>-44813865.57</v>
      </c>
      <c r="J464" s="356">
        <v>30280471.899999999</v>
      </c>
      <c r="K464" s="356">
        <v>15877765.93</v>
      </c>
      <c r="L464" s="356">
        <v>-30411159.600000001</v>
      </c>
      <c r="N464" s="302"/>
    </row>
    <row r="465" spans="3:14" ht="15" customHeight="1" x14ac:dyDescent="0.3">
      <c r="C465" s="369" t="s">
        <v>4759</v>
      </c>
      <c r="D465" s="370" t="s">
        <v>1510</v>
      </c>
      <c r="E465" s="421">
        <v>-10752358.65</v>
      </c>
      <c r="F465" s="421">
        <v>11783229.75</v>
      </c>
      <c r="G465" s="421">
        <v>2571698.0299999998</v>
      </c>
      <c r="H465" s="421">
        <v>-1540826.93</v>
      </c>
      <c r="I465" s="371">
        <v>-10752358.65</v>
      </c>
      <c r="J465" s="357">
        <v>11783229.75</v>
      </c>
      <c r="K465" s="357">
        <v>2571698.0299999998</v>
      </c>
      <c r="L465" s="357">
        <v>-1540826.93</v>
      </c>
      <c r="N465" s="302"/>
    </row>
    <row r="466" spans="3:14" ht="15" customHeight="1" x14ac:dyDescent="0.3">
      <c r="C466" s="369" t="s">
        <v>4760</v>
      </c>
      <c r="D466" s="370" t="s">
        <v>1514</v>
      </c>
      <c r="E466" s="421">
        <v>-32139419.390000001</v>
      </c>
      <c r="F466" s="421">
        <v>16575154.619999999</v>
      </c>
      <c r="G466" s="421">
        <v>13306067.9</v>
      </c>
      <c r="H466" s="421">
        <v>-28870332.670000002</v>
      </c>
      <c r="I466" s="371">
        <v>-32139419.390000001</v>
      </c>
      <c r="J466" s="357">
        <v>16575154.619999999</v>
      </c>
      <c r="K466" s="357">
        <v>13306067.9</v>
      </c>
      <c r="L466" s="357">
        <v>-28870332.670000002</v>
      </c>
      <c r="N466" s="302"/>
    </row>
    <row r="467" spans="3:14" ht="15" customHeight="1" x14ac:dyDescent="0.3">
      <c r="C467" s="369" t="s">
        <v>4761</v>
      </c>
      <c r="D467" s="370" t="s">
        <v>1518</v>
      </c>
      <c r="E467" s="421">
        <v>-1922087.53</v>
      </c>
      <c r="F467" s="421">
        <v>1922087.53</v>
      </c>
      <c r="G467" s="421">
        <v>0</v>
      </c>
      <c r="H467" s="421">
        <v>0</v>
      </c>
      <c r="I467" s="371">
        <v>-1922087.53</v>
      </c>
      <c r="J467" s="357">
        <v>1922087.53</v>
      </c>
      <c r="K467" s="357">
        <v>0</v>
      </c>
      <c r="L467" s="357">
        <v>0</v>
      </c>
      <c r="N467" s="302"/>
    </row>
    <row r="468" spans="3:14" ht="15" customHeight="1" x14ac:dyDescent="0.3">
      <c r="C468" s="310" t="s">
        <v>4762</v>
      </c>
      <c r="D468" s="311" t="s">
        <v>3561</v>
      </c>
      <c r="E468" s="421">
        <v>27000048.329999998</v>
      </c>
      <c r="F468" s="421">
        <v>46531494.759999998</v>
      </c>
      <c r="G468" s="421">
        <v>41433090.310000002</v>
      </c>
      <c r="H468" s="421">
        <v>32098452.780000001</v>
      </c>
      <c r="I468" s="312">
        <v>27000048.329999998</v>
      </c>
      <c r="J468" s="313">
        <v>46531494.759999998</v>
      </c>
      <c r="K468" s="313">
        <v>41433090.310000002</v>
      </c>
      <c r="L468" s="313">
        <v>32098452.780000001</v>
      </c>
      <c r="N468" s="302"/>
    </row>
    <row r="469" spans="3:14" ht="15" customHeight="1" x14ac:dyDescent="0.3">
      <c r="C469" s="365" t="s">
        <v>4763</v>
      </c>
      <c r="D469" s="366" t="s">
        <v>3562</v>
      </c>
      <c r="E469" s="421">
        <v>-240000000</v>
      </c>
      <c r="F469" s="421">
        <v>1855</v>
      </c>
      <c r="G469" s="421">
        <v>1855</v>
      </c>
      <c r="H469" s="421">
        <v>-240000000</v>
      </c>
      <c r="I469" s="367">
        <v>-240000000</v>
      </c>
      <c r="J469" s="356">
        <v>1855</v>
      </c>
      <c r="K469" s="356">
        <v>1855</v>
      </c>
      <c r="L469" s="356">
        <v>-240000000</v>
      </c>
      <c r="N469" s="321">
        <v>20</v>
      </c>
    </row>
    <row r="470" spans="3:14" ht="15" customHeight="1" x14ac:dyDescent="0.3">
      <c r="C470" s="365" t="s">
        <v>4764</v>
      </c>
      <c r="D470" s="366" t="s">
        <v>3563</v>
      </c>
      <c r="E470" s="421">
        <v>-240000000</v>
      </c>
      <c r="F470" s="421">
        <v>1855</v>
      </c>
      <c r="G470" s="421">
        <v>1855</v>
      </c>
      <c r="H470" s="421">
        <v>-240000000</v>
      </c>
      <c r="I470" s="367">
        <v>-240000000</v>
      </c>
      <c r="J470" s="356">
        <v>1855</v>
      </c>
      <c r="K470" s="356">
        <v>1855</v>
      </c>
      <c r="L470" s="356">
        <v>-240000000</v>
      </c>
      <c r="N470" s="302"/>
    </row>
    <row r="471" spans="3:14" ht="15" customHeight="1" x14ac:dyDescent="0.3">
      <c r="C471" s="369" t="s">
        <v>4765</v>
      </c>
      <c r="D471" s="370" t="s">
        <v>1553</v>
      </c>
      <c r="E471" s="421">
        <v>-5518</v>
      </c>
      <c r="F471" s="421">
        <v>1843</v>
      </c>
      <c r="G471" s="421">
        <v>0</v>
      </c>
      <c r="H471" s="421">
        <v>-3675</v>
      </c>
      <c r="I471" s="371">
        <v>-5518</v>
      </c>
      <c r="J471" s="357">
        <v>1843</v>
      </c>
      <c r="K471" s="357">
        <v>0</v>
      </c>
      <c r="L471" s="357">
        <v>-3675</v>
      </c>
      <c r="N471" s="302"/>
    </row>
    <row r="472" spans="3:14" ht="15" customHeight="1" x14ac:dyDescent="0.3">
      <c r="C472" s="369" t="s">
        <v>4766</v>
      </c>
      <c r="D472" s="370" t="s">
        <v>1556</v>
      </c>
      <c r="E472" s="421">
        <v>-73</v>
      </c>
      <c r="F472" s="421">
        <v>12</v>
      </c>
      <c r="G472" s="421">
        <v>0</v>
      </c>
      <c r="H472" s="421">
        <v>-61</v>
      </c>
      <c r="I472" s="371">
        <v>-73</v>
      </c>
      <c r="J472" s="357">
        <v>12</v>
      </c>
      <c r="K472" s="357">
        <v>0</v>
      </c>
      <c r="L472" s="357">
        <v>-61</v>
      </c>
      <c r="N472" s="302"/>
    </row>
    <row r="473" spans="3:14" ht="15" customHeight="1" x14ac:dyDescent="0.3">
      <c r="C473" s="369" t="s">
        <v>4767</v>
      </c>
      <c r="D473" s="370" t="s">
        <v>1559</v>
      </c>
      <c r="E473" s="421">
        <v>-239994409</v>
      </c>
      <c r="F473" s="421">
        <v>0</v>
      </c>
      <c r="G473" s="421">
        <v>1855</v>
      </c>
      <c r="H473" s="421">
        <v>-239996264</v>
      </c>
      <c r="I473" s="371">
        <v>-239994409</v>
      </c>
      <c r="J473" s="357">
        <v>0</v>
      </c>
      <c r="K473" s="357">
        <v>1855</v>
      </c>
      <c r="L473" s="357">
        <v>-239996264</v>
      </c>
      <c r="N473" s="302"/>
    </row>
    <row r="474" spans="3:14" ht="15" customHeight="1" x14ac:dyDescent="0.3">
      <c r="C474" s="310" t="s">
        <v>4768</v>
      </c>
      <c r="D474" s="311" t="s">
        <v>3564</v>
      </c>
      <c r="E474" s="421">
        <v>250483795.00999999</v>
      </c>
      <c r="F474" s="421">
        <v>46529639.759999998</v>
      </c>
      <c r="G474" s="421">
        <v>41431235.310000002</v>
      </c>
      <c r="H474" s="421">
        <v>255582199.46000001</v>
      </c>
      <c r="I474" s="312">
        <v>250483795.00999999</v>
      </c>
      <c r="J474" s="313">
        <v>46529639.759999998</v>
      </c>
      <c r="K474" s="313">
        <v>41431235.310000002</v>
      </c>
      <c r="L474" s="313">
        <v>255582199.46000001</v>
      </c>
      <c r="N474" s="321"/>
    </row>
    <row r="475" spans="3:14" ht="15" customHeight="1" x14ac:dyDescent="0.3">
      <c r="C475" s="310" t="s">
        <v>4769</v>
      </c>
      <c r="D475" s="311" t="s">
        <v>3565</v>
      </c>
      <c r="E475" s="421">
        <v>1540240.83</v>
      </c>
      <c r="F475" s="421">
        <v>19830797.77</v>
      </c>
      <c r="G475" s="421">
        <v>16272634.15</v>
      </c>
      <c r="H475" s="421">
        <v>5098404.45</v>
      </c>
      <c r="I475" s="312">
        <v>1540240.83</v>
      </c>
      <c r="J475" s="313">
        <v>19830797.77</v>
      </c>
      <c r="K475" s="313">
        <v>16272634.15</v>
      </c>
      <c r="L475" s="313">
        <v>5098404.45</v>
      </c>
      <c r="N475" s="302"/>
    </row>
    <row r="476" spans="3:14" ht="15" customHeight="1" x14ac:dyDescent="0.3">
      <c r="C476" s="314" t="s">
        <v>4770</v>
      </c>
      <c r="D476" s="315" t="s">
        <v>3566</v>
      </c>
      <c r="E476" s="421">
        <v>-2098384.59</v>
      </c>
      <c r="F476" s="421">
        <v>2098384.59</v>
      </c>
      <c r="G476" s="421">
        <v>0</v>
      </c>
      <c r="H476" s="421">
        <v>0</v>
      </c>
      <c r="I476" s="316">
        <v>-2098384.59</v>
      </c>
      <c r="J476" s="317">
        <v>2098384.59</v>
      </c>
      <c r="K476" s="317">
        <v>0</v>
      </c>
      <c r="L476" s="317">
        <v>0</v>
      </c>
      <c r="N476" s="302"/>
    </row>
    <row r="477" spans="3:14" ht="15" customHeight="1" x14ac:dyDescent="0.3">
      <c r="C477" s="314" t="s">
        <v>4771</v>
      </c>
      <c r="D477" s="315" t="s">
        <v>1597</v>
      </c>
      <c r="E477" s="421">
        <v>3638625.42</v>
      </c>
      <c r="F477" s="421">
        <v>17732413.18</v>
      </c>
      <c r="G477" s="421">
        <v>16272634.15</v>
      </c>
      <c r="H477" s="421">
        <v>5098404.45</v>
      </c>
      <c r="I477" s="316">
        <v>3638625.42</v>
      </c>
      <c r="J477" s="317">
        <v>17732413.18</v>
      </c>
      <c r="K477" s="317">
        <v>16272634.15</v>
      </c>
      <c r="L477" s="317">
        <v>5098404.45</v>
      </c>
      <c r="N477" s="322">
        <v>22</v>
      </c>
    </row>
    <row r="478" spans="3:14" ht="15" customHeight="1" x14ac:dyDescent="0.3">
      <c r="C478" s="310" t="s">
        <v>4772</v>
      </c>
      <c r="D478" s="311" t="s">
        <v>1600</v>
      </c>
      <c r="E478" s="421">
        <v>248943554.18000001</v>
      </c>
      <c r="F478" s="421">
        <v>26698841.989999998</v>
      </c>
      <c r="G478" s="421">
        <v>25158601.16</v>
      </c>
      <c r="H478" s="421">
        <v>250483795.00999999</v>
      </c>
      <c r="I478" s="312">
        <v>248943554.18000001</v>
      </c>
      <c r="J478" s="313">
        <v>26698841.989999998</v>
      </c>
      <c r="K478" s="313">
        <v>25158601.16</v>
      </c>
      <c r="L478" s="313">
        <v>250483795.00999999</v>
      </c>
      <c r="N478" s="322"/>
    </row>
    <row r="479" spans="3:14" ht="15" customHeight="1" x14ac:dyDescent="0.3">
      <c r="C479" s="314" t="s">
        <v>4773</v>
      </c>
      <c r="D479" s="315" t="s">
        <v>1603</v>
      </c>
      <c r="E479" s="421">
        <v>229521963.03</v>
      </c>
      <c r="F479" s="421">
        <v>26698841.989999998</v>
      </c>
      <c r="G479" s="421">
        <v>5737010.0099999998</v>
      </c>
      <c r="H479" s="421">
        <v>250483795.00999999</v>
      </c>
      <c r="I479" s="316">
        <v>229521963.03</v>
      </c>
      <c r="J479" s="317">
        <v>26698841.989999998</v>
      </c>
      <c r="K479" s="317">
        <v>5737010.0099999998</v>
      </c>
      <c r="L479" s="317">
        <v>250483795.00999999</v>
      </c>
      <c r="N479" s="322">
        <v>22</v>
      </c>
    </row>
    <row r="480" spans="3:14" ht="15" customHeight="1" x14ac:dyDescent="0.3">
      <c r="C480" s="314" t="s">
        <v>4774</v>
      </c>
      <c r="D480" s="315" t="s">
        <v>1607</v>
      </c>
      <c r="E480" s="421">
        <v>19421591.149999999</v>
      </c>
      <c r="F480" s="421">
        <v>0</v>
      </c>
      <c r="G480" s="421">
        <v>19421591.149999999</v>
      </c>
      <c r="H480" s="421">
        <v>0</v>
      </c>
      <c r="I480" s="316">
        <v>19421591.149999999</v>
      </c>
      <c r="J480" s="317">
        <v>0</v>
      </c>
      <c r="K480" s="317">
        <v>19421591.149999999</v>
      </c>
      <c r="L480" s="317">
        <v>0</v>
      </c>
      <c r="N480" s="322"/>
    </row>
    <row r="481" spans="3:14" ht="15" customHeight="1" x14ac:dyDescent="0.3">
      <c r="C481" s="365" t="s">
        <v>4775</v>
      </c>
      <c r="D481" s="366" t="s">
        <v>1610</v>
      </c>
      <c r="E481" s="421">
        <v>16516253.32</v>
      </c>
      <c r="F481" s="421">
        <v>0</v>
      </c>
      <c r="G481" s="421">
        <v>0</v>
      </c>
      <c r="H481" s="421">
        <v>16516253.32</v>
      </c>
      <c r="I481" s="367">
        <v>16516253.32</v>
      </c>
      <c r="J481" s="356">
        <v>0</v>
      </c>
      <c r="K481" s="356">
        <v>0</v>
      </c>
      <c r="L481" s="356">
        <v>16516253.32</v>
      </c>
      <c r="N481" s="321">
        <v>20</v>
      </c>
    </row>
    <row r="482" spans="3:14" ht="15" customHeight="1" x14ac:dyDescent="0.3">
      <c r="C482" s="365" t="s">
        <v>4776</v>
      </c>
      <c r="D482" s="366" t="s">
        <v>1613</v>
      </c>
      <c r="E482" s="421">
        <v>16516253.32</v>
      </c>
      <c r="F482" s="421">
        <v>0</v>
      </c>
      <c r="G482" s="421">
        <v>0</v>
      </c>
      <c r="H482" s="421">
        <v>16516253.32</v>
      </c>
      <c r="I482" s="367">
        <v>16516253.32</v>
      </c>
      <c r="J482" s="356">
        <v>0</v>
      </c>
      <c r="K482" s="356">
        <v>0</v>
      </c>
      <c r="L482" s="356">
        <v>16516253.32</v>
      </c>
      <c r="N482" s="302"/>
    </row>
    <row r="483" spans="3:14" ht="15" customHeight="1" x14ac:dyDescent="0.3">
      <c r="C483" s="369" t="s">
        <v>4777</v>
      </c>
      <c r="D483" s="370" t="s">
        <v>1616</v>
      </c>
      <c r="E483" s="421">
        <v>16516253.32</v>
      </c>
      <c r="F483" s="421">
        <v>0</v>
      </c>
      <c r="G483" s="421">
        <v>0</v>
      </c>
      <c r="H483" s="421">
        <v>16516253.32</v>
      </c>
      <c r="I483" s="371">
        <v>16516253.32</v>
      </c>
      <c r="J483" s="357">
        <v>0</v>
      </c>
      <c r="K483" s="357">
        <v>0</v>
      </c>
      <c r="L483" s="357">
        <v>16516253.32</v>
      </c>
      <c r="N483" s="302"/>
    </row>
    <row r="484" spans="3:14" ht="15" customHeight="1" x14ac:dyDescent="0.3">
      <c r="C484" s="310">
        <v>3</v>
      </c>
      <c r="D484" s="311" t="s">
        <v>3567</v>
      </c>
      <c r="E484" s="421">
        <v>0</v>
      </c>
      <c r="F484" s="421">
        <v>59359605.420000002</v>
      </c>
      <c r="G484" s="421">
        <v>13282410.75</v>
      </c>
      <c r="H484" s="421">
        <v>46077194.670000002</v>
      </c>
      <c r="I484" s="312">
        <v>0</v>
      </c>
      <c r="J484" s="313">
        <v>59359605.420000002</v>
      </c>
      <c r="K484" s="313">
        <v>13282410.75</v>
      </c>
      <c r="L484" s="313">
        <v>46077194.670000002</v>
      </c>
      <c r="N484" s="321"/>
    </row>
    <row r="485" spans="3:14" ht="15" customHeight="1" x14ac:dyDescent="0.3">
      <c r="C485" s="389" t="s">
        <v>4778</v>
      </c>
      <c r="D485" s="390" t="s">
        <v>3568</v>
      </c>
      <c r="E485" s="421">
        <v>0</v>
      </c>
      <c r="F485" s="421">
        <v>8994819.3100000005</v>
      </c>
      <c r="G485" s="421">
        <v>2061780.41</v>
      </c>
      <c r="H485" s="421">
        <v>6933038.9000000004</v>
      </c>
      <c r="I485" s="391">
        <v>0</v>
      </c>
      <c r="J485" s="392">
        <v>8994819.3100000005</v>
      </c>
      <c r="K485" s="392">
        <v>2061780.41</v>
      </c>
      <c r="L485" s="392">
        <v>6933038.9000000004</v>
      </c>
      <c r="N485" s="322" t="s">
        <v>3569</v>
      </c>
    </row>
    <row r="486" spans="3:14" ht="15" customHeight="1" x14ac:dyDescent="0.3">
      <c r="C486" s="389" t="s">
        <v>4779</v>
      </c>
      <c r="D486" s="390" t="s">
        <v>3570</v>
      </c>
      <c r="E486" s="421">
        <v>0</v>
      </c>
      <c r="F486" s="421">
        <v>4135338.34</v>
      </c>
      <c r="G486" s="421">
        <v>52773.91</v>
      </c>
      <c r="H486" s="421">
        <v>4082564.43</v>
      </c>
      <c r="I486" s="391">
        <v>0</v>
      </c>
      <c r="J486" s="392">
        <v>4135338.34</v>
      </c>
      <c r="K486" s="392">
        <v>52773.91</v>
      </c>
      <c r="L486" s="392">
        <v>4082564.43</v>
      </c>
      <c r="N486" s="302"/>
    </row>
    <row r="487" spans="3:14" ht="15" customHeight="1" x14ac:dyDescent="0.3">
      <c r="C487" s="389" t="s">
        <v>4780</v>
      </c>
      <c r="D487" s="390" t="s">
        <v>3571</v>
      </c>
      <c r="E487" s="421">
        <v>0</v>
      </c>
      <c r="F487" s="421">
        <v>4135338.34</v>
      </c>
      <c r="G487" s="421">
        <v>52773.91</v>
      </c>
      <c r="H487" s="421">
        <v>4082564.43</v>
      </c>
      <c r="I487" s="391">
        <v>0</v>
      </c>
      <c r="J487" s="392">
        <v>4135338.34</v>
      </c>
      <c r="K487" s="392">
        <v>52773.91</v>
      </c>
      <c r="L487" s="392">
        <v>4082564.43</v>
      </c>
      <c r="N487" s="302"/>
    </row>
    <row r="488" spans="3:14" ht="15" customHeight="1" x14ac:dyDescent="0.3">
      <c r="C488" s="393" t="s">
        <v>4781</v>
      </c>
      <c r="D488" s="394" t="s">
        <v>3572</v>
      </c>
      <c r="E488" s="421">
        <v>0</v>
      </c>
      <c r="F488" s="421">
        <v>4130588.51</v>
      </c>
      <c r="G488" s="421">
        <v>13832</v>
      </c>
      <c r="H488" s="421">
        <v>4116756.51</v>
      </c>
      <c r="I488" s="395">
        <v>0</v>
      </c>
      <c r="J488" s="396">
        <v>4130588.51</v>
      </c>
      <c r="K488" s="396">
        <v>13832</v>
      </c>
      <c r="L488" s="396">
        <v>4116756.51</v>
      </c>
      <c r="N488" s="302"/>
    </row>
    <row r="489" spans="3:14" ht="15" customHeight="1" x14ac:dyDescent="0.3">
      <c r="C489" s="393" t="s">
        <v>4782</v>
      </c>
      <c r="D489" s="394" t="s">
        <v>3573</v>
      </c>
      <c r="E489" s="421">
        <v>0</v>
      </c>
      <c r="F489" s="421">
        <v>4749.83</v>
      </c>
      <c r="G489" s="421">
        <v>38941.910000000003</v>
      </c>
      <c r="H489" s="421">
        <v>-34192.080000000002</v>
      </c>
      <c r="I489" s="395">
        <v>0</v>
      </c>
      <c r="J489" s="396">
        <v>4749.83</v>
      </c>
      <c r="K489" s="396">
        <v>38941.910000000003</v>
      </c>
      <c r="L489" s="396">
        <v>-34192.080000000002</v>
      </c>
      <c r="N489" s="302"/>
    </row>
    <row r="490" spans="3:14" ht="15" customHeight="1" x14ac:dyDescent="0.3">
      <c r="C490" s="389" t="s">
        <v>4783</v>
      </c>
      <c r="D490" s="390" t="s">
        <v>1638</v>
      </c>
      <c r="E490" s="421">
        <v>0</v>
      </c>
      <c r="F490" s="421">
        <v>2866476.67</v>
      </c>
      <c r="G490" s="421">
        <v>307145.53999999998</v>
      </c>
      <c r="H490" s="421">
        <v>2559331.13</v>
      </c>
      <c r="I490" s="391">
        <v>0</v>
      </c>
      <c r="J490" s="392">
        <v>2866476.67</v>
      </c>
      <c r="K490" s="392">
        <v>307145.53999999998</v>
      </c>
      <c r="L490" s="392">
        <v>2559331.13</v>
      </c>
      <c r="N490" s="302"/>
    </row>
    <row r="491" spans="3:14" ht="15" customHeight="1" x14ac:dyDescent="0.3">
      <c r="C491" s="389" t="s">
        <v>4784</v>
      </c>
      <c r="D491" s="390" t="s">
        <v>3574</v>
      </c>
      <c r="E491" s="421">
        <v>0</v>
      </c>
      <c r="F491" s="421">
        <v>357347.9</v>
      </c>
      <c r="G491" s="421">
        <v>0.95</v>
      </c>
      <c r="H491" s="421">
        <v>357346.95</v>
      </c>
      <c r="I491" s="391">
        <v>0</v>
      </c>
      <c r="J491" s="392">
        <v>357347.9</v>
      </c>
      <c r="K491" s="392">
        <v>0.95</v>
      </c>
      <c r="L491" s="392">
        <v>357346.95</v>
      </c>
      <c r="N491" s="322"/>
    </row>
    <row r="492" spans="3:14" ht="15" customHeight="1" x14ac:dyDescent="0.3">
      <c r="C492" s="393" t="s">
        <v>4785</v>
      </c>
      <c r="D492" s="394" t="s">
        <v>3575</v>
      </c>
      <c r="E492" s="421">
        <v>0</v>
      </c>
      <c r="F492" s="421">
        <v>550.4</v>
      </c>
      <c r="G492" s="421">
        <v>0</v>
      </c>
      <c r="H492" s="421">
        <v>550.4</v>
      </c>
      <c r="I492" s="395">
        <v>0</v>
      </c>
      <c r="J492" s="396">
        <v>550.4</v>
      </c>
      <c r="K492" s="396">
        <v>0</v>
      </c>
      <c r="L492" s="396">
        <v>550.4</v>
      </c>
      <c r="N492" s="322"/>
    </row>
    <row r="493" spans="3:14" ht="15" customHeight="1" x14ac:dyDescent="0.3">
      <c r="C493" s="393" t="s">
        <v>4786</v>
      </c>
      <c r="D493" s="394" t="s">
        <v>3576</v>
      </c>
      <c r="E493" s="421">
        <v>0</v>
      </c>
      <c r="F493" s="421">
        <v>260980.64</v>
      </c>
      <c r="G493" s="421">
        <v>0.95</v>
      </c>
      <c r="H493" s="421">
        <v>260979.69</v>
      </c>
      <c r="I493" s="395">
        <v>0</v>
      </c>
      <c r="J493" s="396">
        <v>260980.64</v>
      </c>
      <c r="K493" s="396">
        <v>0.95</v>
      </c>
      <c r="L493" s="396">
        <v>260979.69</v>
      </c>
      <c r="N493" s="302"/>
    </row>
    <row r="494" spans="3:14" ht="15" customHeight="1" x14ac:dyDescent="0.3">
      <c r="C494" s="393" t="s">
        <v>4787</v>
      </c>
      <c r="D494" s="394" t="s">
        <v>3577</v>
      </c>
      <c r="E494" s="421">
        <v>0</v>
      </c>
      <c r="F494" s="421">
        <v>95816.86</v>
      </c>
      <c r="G494" s="421">
        <v>0</v>
      </c>
      <c r="H494" s="421">
        <v>95816.86</v>
      </c>
      <c r="I494" s="395">
        <v>0</v>
      </c>
      <c r="J494" s="396">
        <v>95816.86</v>
      </c>
      <c r="K494" s="396">
        <v>0</v>
      </c>
      <c r="L494" s="396">
        <v>95816.86</v>
      </c>
      <c r="N494" s="302"/>
    </row>
    <row r="495" spans="3:14" ht="15" customHeight="1" x14ac:dyDescent="0.3">
      <c r="C495" s="389" t="s">
        <v>4788</v>
      </c>
      <c r="D495" s="390" t="s">
        <v>1646</v>
      </c>
      <c r="E495" s="421">
        <v>0</v>
      </c>
      <c r="F495" s="421">
        <v>2509128.77</v>
      </c>
      <c r="G495" s="421">
        <v>307144.59000000003</v>
      </c>
      <c r="H495" s="421">
        <v>2201984.1800000002</v>
      </c>
      <c r="I495" s="391">
        <v>0</v>
      </c>
      <c r="J495" s="392">
        <v>2509128.77</v>
      </c>
      <c r="K495" s="392">
        <v>307144.59000000003</v>
      </c>
      <c r="L495" s="392">
        <v>2201984.1800000002</v>
      </c>
      <c r="N495" s="302"/>
    </row>
    <row r="496" spans="3:14" ht="15" customHeight="1" x14ac:dyDescent="0.3">
      <c r="C496" s="393" t="s">
        <v>4789</v>
      </c>
      <c r="D496" s="394" t="s">
        <v>3579</v>
      </c>
      <c r="E496" s="421">
        <v>0</v>
      </c>
      <c r="F496" s="421">
        <v>1800</v>
      </c>
      <c r="G496" s="421">
        <v>0</v>
      </c>
      <c r="H496" s="421">
        <v>1800</v>
      </c>
      <c r="I496" s="395">
        <v>0</v>
      </c>
      <c r="J496" s="396">
        <v>1800</v>
      </c>
      <c r="K496" s="396">
        <v>0</v>
      </c>
      <c r="L496" s="396">
        <v>1800</v>
      </c>
      <c r="N496" s="302"/>
    </row>
    <row r="497" spans="3:14" ht="15" customHeight="1" x14ac:dyDescent="0.3">
      <c r="C497" s="393" t="s">
        <v>4790</v>
      </c>
      <c r="D497" s="394" t="s">
        <v>3580</v>
      </c>
      <c r="E497" s="421">
        <v>0</v>
      </c>
      <c r="F497" s="421">
        <v>33947.82</v>
      </c>
      <c r="G497" s="421">
        <v>0</v>
      </c>
      <c r="H497" s="421">
        <v>33947.82</v>
      </c>
      <c r="I497" s="395">
        <v>0</v>
      </c>
      <c r="J497" s="396">
        <v>33947.82</v>
      </c>
      <c r="K497" s="396">
        <v>0</v>
      </c>
      <c r="L497" s="396">
        <v>33947.82</v>
      </c>
      <c r="N497" s="302"/>
    </row>
    <row r="498" spans="3:14" ht="15" customHeight="1" x14ac:dyDescent="0.3">
      <c r="C498" s="393" t="s">
        <v>4791</v>
      </c>
      <c r="D498" s="394" t="s">
        <v>3581</v>
      </c>
      <c r="E498" s="421"/>
      <c r="F498" s="421"/>
      <c r="G498" s="421"/>
      <c r="H498" s="421"/>
      <c r="I498" s="395"/>
      <c r="J498" s="396"/>
      <c r="K498" s="396"/>
      <c r="L498" s="396"/>
      <c r="N498" s="302"/>
    </row>
    <row r="499" spans="3:14" ht="15" customHeight="1" x14ac:dyDescent="0.3">
      <c r="C499" s="393" t="s">
        <v>4792</v>
      </c>
      <c r="D499" s="394" t="s">
        <v>1654</v>
      </c>
      <c r="E499" s="421">
        <v>0</v>
      </c>
      <c r="F499" s="421">
        <v>492907.93</v>
      </c>
      <c r="G499" s="421">
        <v>306694.59000000003</v>
      </c>
      <c r="H499" s="421">
        <v>186213.34</v>
      </c>
      <c r="I499" s="395">
        <v>0</v>
      </c>
      <c r="J499" s="396">
        <v>492907.93</v>
      </c>
      <c r="K499" s="396">
        <v>306694.59000000003</v>
      </c>
      <c r="L499" s="396">
        <v>186213.34</v>
      </c>
      <c r="N499" s="302"/>
    </row>
    <row r="500" spans="3:14" ht="15" customHeight="1" x14ac:dyDescent="0.3">
      <c r="C500" s="393" t="s">
        <v>4793</v>
      </c>
      <c r="D500" s="394" t="s">
        <v>1656</v>
      </c>
      <c r="E500" s="421">
        <v>0</v>
      </c>
      <c r="F500" s="421">
        <v>41005.910000000003</v>
      </c>
      <c r="G500" s="421">
        <v>0</v>
      </c>
      <c r="H500" s="421">
        <v>41005.910000000003</v>
      </c>
      <c r="I500" s="395">
        <v>0</v>
      </c>
      <c r="J500" s="396">
        <v>41005.910000000003</v>
      </c>
      <c r="K500" s="396">
        <v>0</v>
      </c>
      <c r="L500" s="396">
        <v>41005.910000000003</v>
      </c>
      <c r="N500" s="302"/>
    </row>
    <row r="501" spans="3:14" ht="15" customHeight="1" x14ac:dyDescent="0.3">
      <c r="C501" s="393" t="s">
        <v>4794</v>
      </c>
      <c r="D501" s="394" t="s">
        <v>3582</v>
      </c>
      <c r="E501" s="421">
        <v>0</v>
      </c>
      <c r="F501" s="421">
        <v>22588.74</v>
      </c>
      <c r="G501" s="421">
        <v>450</v>
      </c>
      <c r="H501" s="421">
        <v>22138.74</v>
      </c>
      <c r="I501" s="395">
        <v>0</v>
      </c>
      <c r="J501" s="396">
        <v>22588.74</v>
      </c>
      <c r="K501" s="396">
        <v>450</v>
      </c>
      <c r="L501" s="396">
        <v>22138.74</v>
      </c>
      <c r="N501" s="302"/>
    </row>
    <row r="502" spans="3:14" ht="15" customHeight="1" x14ac:dyDescent="0.3">
      <c r="C502" s="393" t="s">
        <v>4795</v>
      </c>
      <c r="D502" s="394" t="s">
        <v>3583</v>
      </c>
      <c r="E502" s="421">
        <v>0</v>
      </c>
      <c r="F502" s="421">
        <v>1916789.59</v>
      </c>
      <c r="G502" s="421">
        <v>0</v>
      </c>
      <c r="H502" s="421">
        <v>1916789.59</v>
      </c>
      <c r="I502" s="395">
        <v>0</v>
      </c>
      <c r="J502" s="396">
        <v>1916789.59</v>
      </c>
      <c r="K502" s="396">
        <v>0</v>
      </c>
      <c r="L502" s="396">
        <v>1916789.59</v>
      </c>
      <c r="N502" s="302"/>
    </row>
    <row r="503" spans="3:14" ht="15" customHeight="1" x14ac:dyDescent="0.3">
      <c r="C503" s="393" t="s">
        <v>4796</v>
      </c>
      <c r="D503" s="394" t="s">
        <v>3584</v>
      </c>
      <c r="E503" s="421">
        <v>0</v>
      </c>
      <c r="F503" s="421">
        <v>88.78</v>
      </c>
      <c r="G503" s="421">
        <v>0</v>
      </c>
      <c r="H503" s="421">
        <v>88.78</v>
      </c>
      <c r="I503" s="395">
        <v>0</v>
      </c>
      <c r="J503" s="396">
        <v>88.78</v>
      </c>
      <c r="K503" s="396">
        <v>0</v>
      </c>
      <c r="L503" s="396">
        <v>88.78</v>
      </c>
      <c r="N503" s="302"/>
    </row>
    <row r="504" spans="3:14" ht="15" customHeight="1" x14ac:dyDescent="0.3">
      <c r="C504" s="393" t="s">
        <v>4795</v>
      </c>
      <c r="D504" s="394" t="s">
        <v>1665</v>
      </c>
      <c r="E504" s="421">
        <v>0</v>
      </c>
      <c r="F504" s="421">
        <v>1916789.59</v>
      </c>
      <c r="G504" s="421">
        <v>0</v>
      </c>
      <c r="H504" s="421">
        <v>1916789.59</v>
      </c>
      <c r="I504" s="395">
        <v>0</v>
      </c>
      <c r="J504" s="396">
        <v>1916789.59</v>
      </c>
      <c r="K504" s="396">
        <v>0</v>
      </c>
      <c r="L504" s="396">
        <v>1916789.59</v>
      </c>
      <c r="N504" s="302"/>
    </row>
    <row r="505" spans="3:14" ht="15" customHeight="1" x14ac:dyDescent="0.3">
      <c r="C505" s="389" t="s">
        <v>4797</v>
      </c>
      <c r="D505" s="390" t="s">
        <v>1667</v>
      </c>
      <c r="E505" s="421">
        <v>0</v>
      </c>
      <c r="F505" s="421">
        <v>1993004.3</v>
      </c>
      <c r="G505" s="421">
        <v>1701860.96</v>
      </c>
      <c r="H505" s="421">
        <v>291143.34000000003</v>
      </c>
      <c r="I505" s="391">
        <v>0</v>
      </c>
      <c r="J505" s="392">
        <v>1993004.3</v>
      </c>
      <c r="K505" s="392">
        <v>1701860.96</v>
      </c>
      <c r="L505" s="392">
        <v>291143.34000000003</v>
      </c>
      <c r="N505" s="302"/>
    </row>
    <row r="506" spans="3:14" ht="15" customHeight="1" x14ac:dyDescent="0.3">
      <c r="C506" s="389" t="s">
        <v>4798</v>
      </c>
      <c r="D506" s="390" t="s">
        <v>3585</v>
      </c>
      <c r="E506" s="421">
        <v>0</v>
      </c>
      <c r="F506" s="421">
        <v>4980</v>
      </c>
      <c r="G506" s="421">
        <v>0</v>
      </c>
      <c r="H506" s="421">
        <v>4980</v>
      </c>
      <c r="I506" s="391">
        <v>0</v>
      </c>
      <c r="J506" s="392">
        <v>4980</v>
      </c>
      <c r="K506" s="392">
        <v>0</v>
      </c>
      <c r="L506" s="392">
        <v>4980</v>
      </c>
      <c r="N506" s="302"/>
    </row>
    <row r="507" spans="3:14" ht="15" customHeight="1" x14ac:dyDescent="0.3">
      <c r="C507" s="393" t="s">
        <v>4799</v>
      </c>
      <c r="D507" s="394" t="s">
        <v>3586</v>
      </c>
      <c r="E507" s="421">
        <v>0</v>
      </c>
      <c r="F507" s="421">
        <v>4980</v>
      </c>
      <c r="G507" s="421">
        <v>0</v>
      </c>
      <c r="H507" s="421">
        <v>4980</v>
      </c>
      <c r="I507" s="395">
        <v>0</v>
      </c>
      <c r="J507" s="396">
        <v>4980</v>
      </c>
      <c r="K507" s="396">
        <v>0</v>
      </c>
      <c r="L507" s="396">
        <v>4980</v>
      </c>
      <c r="N507" s="302"/>
    </row>
    <row r="508" spans="3:14" ht="15" customHeight="1" x14ac:dyDescent="0.3">
      <c r="C508" s="389" t="s">
        <v>4800</v>
      </c>
      <c r="D508" s="390" t="s">
        <v>2301</v>
      </c>
      <c r="E508" s="421">
        <v>0</v>
      </c>
      <c r="F508" s="421">
        <v>78501.38</v>
      </c>
      <c r="G508" s="421">
        <v>0</v>
      </c>
      <c r="H508" s="421">
        <v>78501.38</v>
      </c>
      <c r="I508" s="391">
        <v>0</v>
      </c>
      <c r="J508" s="392">
        <v>78501.38</v>
      </c>
      <c r="K508" s="392">
        <v>0</v>
      </c>
      <c r="L508" s="392">
        <v>78501.38</v>
      </c>
      <c r="N508" s="302"/>
    </row>
    <row r="509" spans="3:14" ht="15" customHeight="1" x14ac:dyDescent="0.3">
      <c r="C509" s="393" t="s">
        <v>4801</v>
      </c>
      <c r="D509" s="394" t="s">
        <v>3587</v>
      </c>
      <c r="E509" s="421"/>
      <c r="F509" s="421"/>
      <c r="G509" s="421"/>
      <c r="H509" s="421"/>
      <c r="I509" s="395"/>
      <c r="J509" s="396"/>
      <c r="K509" s="396"/>
      <c r="L509" s="396"/>
      <c r="N509" s="302"/>
    </row>
    <row r="510" spans="3:14" ht="15" customHeight="1" x14ac:dyDescent="0.3">
      <c r="C510" s="393" t="s">
        <v>4802</v>
      </c>
      <c r="D510" s="394" t="s">
        <v>3588</v>
      </c>
      <c r="E510" s="421">
        <v>0</v>
      </c>
      <c r="F510" s="421">
        <v>2333.0700000000002</v>
      </c>
      <c r="G510" s="421">
        <v>0</v>
      </c>
      <c r="H510" s="421">
        <v>2333.0700000000002</v>
      </c>
      <c r="I510" s="395">
        <v>0</v>
      </c>
      <c r="J510" s="396">
        <v>2333.0700000000002</v>
      </c>
      <c r="K510" s="396">
        <v>0</v>
      </c>
      <c r="L510" s="396">
        <v>2333.0700000000002</v>
      </c>
      <c r="N510" s="302"/>
    </row>
    <row r="511" spans="3:14" ht="15" customHeight="1" x14ac:dyDescent="0.3">
      <c r="C511" s="393" t="s">
        <v>4803</v>
      </c>
      <c r="D511" s="394" t="s">
        <v>3589</v>
      </c>
      <c r="E511" s="421">
        <v>0</v>
      </c>
      <c r="F511" s="421">
        <v>285</v>
      </c>
      <c r="G511" s="421">
        <v>0</v>
      </c>
      <c r="H511" s="421">
        <v>285</v>
      </c>
      <c r="I511" s="395">
        <v>0</v>
      </c>
      <c r="J511" s="396">
        <v>285</v>
      </c>
      <c r="K511" s="396">
        <v>0</v>
      </c>
      <c r="L511" s="396">
        <v>285</v>
      </c>
      <c r="N511" s="302"/>
    </row>
    <row r="512" spans="3:14" ht="15" customHeight="1" x14ac:dyDescent="0.3">
      <c r="C512" s="393" t="s">
        <v>4804</v>
      </c>
      <c r="D512" s="394" t="s">
        <v>3590</v>
      </c>
      <c r="E512" s="421">
        <v>0</v>
      </c>
      <c r="F512" s="421">
        <v>6040</v>
      </c>
      <c r="G512" s="421">
        <v>0</v>
      </c>
      <c r="H512" s="421">
        <v>6040</v>
      </c>
      <c r="I512" s="395">
        <v>0</v>
      </c>
      <c r="J512" s="396">
        <v>6040</v>
      </c>
      <c r="K512" s="396">
        <v>0</v>
      </c>
      <c r="L512" s="396">
        <v>6040</v>
      </c>
      <c r="N512" s="302"/>
    </row>
    <row r="513" spans="3:17" ht="15" customHeight="1" x14ac:dyDescent="0.3">
      <c r="C513" s="393" t="s">
        <v>4805</v>
      </c>
      <c r="D513" s="394" t="s">
        <v>3591</v>
      </c>
      <c r="E513" s="421">
        <v>0</v>
      </c>
      <c r="F513" s="421">
        <v>50658.87</v>
      </c>
      <c r="G513" s="421">
        <v>0</v>
      </c>
      <c r="H513" s="421">
        <v>50658.87</v>
      </c>
      <c r="I513" s="395">
        <v>0</v>
      </c>
      <c r="J513" s="396">
        <v>50658.87</v>
      </c>
      <c r="K513" s="396">
        <v>0</v>
      </c>
      <c r="L513" s="396">
        <v>50658.87</v>
      </c>
      <c r="N513" s="302"/>
    </row>
    <row r="514" spans="3:17" ht="15" customHeight="1" x14ac:dyDescent="0.3">
      <c r="C514" s="393" t="s">
        <v>4952</v>
      </c>
      <c r="D514" s="394" t="s">
        <v>3592</v>
      </c>
      <c r="E514" s="421">
        <v>0</v>
      </c>
      <c r="F514" s="421">
        <v>2352.63</v>
      </c>
      <c r="G514" s="421">
        <v>0</v>
      </c>
      <c r="H514" s="421">
        <v>2352.63</v>
      </c>
      <c r="I514" s="395">
        <v>0</v>
      </c>
      <c r="J514" s="396">
        <v>2352.63</v>
      </c>
      <c r="K514" s="396">
        <v>0</v>
      </c>
      <c r="L514" s="396">
        <v>2352.63</v>
      </c>
      <c r="N514" s="302"/>
    </row>
    <row r="515" spans="3:17" ht="15" customHeight="1" x14ac:dyDescent="0.3">
      <c r="C515" s="393" t="s">
        <v>4806</v>
      </c>
      <c r="D515" s="394" t="s">
        <v>3593</v>
      </c>
      <c r="E515" s="421">
        <v>0</v>
      </c>
      <c r="F515" s="421">
        <v>16831.810000000001</v>
      </c>
      <c r="G515" s="421">
        <v>0</v>
      </c>
      <c r="H515" s="421">
        <v>16831.810000000001</v>
      </c>
      <c r="I515" s="395">
        <v>0</v>
      </c>
      <c r="J515" s="396">
        <v>16831.810000000001</v>
      </c>
      <c r="K515" s="396">
        <v>0</v>
      </c>
      <c r="L515" s="396">
        <v>16831.810000000001</v>
      </c>
      <c r="N515" s="302"/>
    </row>
    <row r="516" spans="3:17" ht="15" customHeight="1" x14ac:dyDescent="0.3">
      <c r="C516" s="389" t="s">
        <v>4807</v>
      </c>
      <c r="D516" s="390" t="s">
        <v>3594</v>
      </c>
      <c r="E516" s="421">
        <v>0</v>
      </c>
      <c r="F516" s="421">
        <v>118352.96000000001</v>
      </c>
      <c r="G516" s="421">
        <v>0</v>
      </c>
      <c r="H516" s="421">
        <v>118352.96000000001</v>
      </c>
      <c r="I516" s="391">
        <v>0</v>
      </c>
      <c r="J516" s="392">
        <v>118352.96000000001</v>
      </c>
      <c r="K516" s="392">
        <v>0</v>
      </c>
      <c r="L516" s="392">
        <v>118352.96000000001</v>
      </c>
      <c r="N516" s="302"/>
    </row>
    <row r="517" spans="3:17" ht="15" customHeight="1" x14ac:dyDescent="0.3">
      <c r="C517" s="393" t="s">
        <v>4808</v>
      </c>
      <c r="D517" s="394" t="s">
        <v>3595</v>
      </c>
      <c r="E517" s="421">
        <v>0</v>
      </c>
      <c r="F517" s="421">
        <v>118204.95</v>
      </c>
      <c r="G517" s="421">
        <v>0</v>
      </c>
      <c r="H517" s="421">
        <v>118204.95</v>
      </c>
      <c r="I517" s="395">
        <v>0</v>
      </c>
      <c r="J517" s="396">
        <v>118204.95</v>
      </c>
      <c r="K517" s="396">
        <v>0</v>
      </c>
      <c r="L517" s="396">
        <v>118204.95</v>
      </c>
      <c r="N517" s="302"/>
    </row>
    <row r="518" spans="3:17" s="286" customFormat="1" ht="14.4" x14ac:dyDescent="0.3">
      <c r="C518" s="397" t="s">
        <v>4809</v>
      </c>
      <c r="D518" s="398" t="s">
        <v>1678</v>
      </c>
      <c r="E518" s="421">
        <v>0</v>
      </c>
      <c r="F518" s="421">
        <v>148.01</v>
      </c>
      <c r="G518" s="421">
        <v>0</v>
      </c>
      <c r="H518" s="421">
        <v>148.01</v>
      </c>
      <c r="I518" s="395">
        <v>0</v>
      </c>
      <c r="J518" s="396">
        <v>148.01</v>
      </c>
      <c r="K518" s="396">
        <v>0</v>
      </c>
      <c r="L518" s="396">
        <v>148.01</v>
      </c>
      <c r="N518" s="322"/>
      <c r="P518" s="298"/>
      <c r="Q518" s="298"/>
    </row>
    <row r="519" spans="3:17" s="286" customFormat="1" ht="14.4" x14ac:dyDescent="0.3">
      <c r="C519" s="397" t="s">
        <v>4810</v>
      </c>
      <c r="D519" s="398" t="s">
        <v>1681</v>
      </c>
      <c r="E519" s="421"/>
      <c r="F519" s="421"/>
      <c r="G519" s="421"/>
      <c r="H519" s="421"/>
      <c r="I519" s="395"/>
      <c r="J519" s="396"/>
      <c r="K519" s="396"/>
      <c r="L519" s="396"/>
      <c r="N519" s="322"/>
      <c r="P519" s="298"/>
      <c r="Q519" s="298"/>
    </row>
    <row r="520" spans="3:17" s="286" customFormat="1" ht="14.4" x14ac:dyDescent="0.3">
      <c r="C520" s="397" t="s">
        <v>4811</v>
      </c>
      <c r="D520" s="398" t="s">
        <v>1684</v>
      </c>
      <c r="E520" s="421"/>
      <c r="F520" s="421"/>
      <c r="G520" s="421"/>
      <c r="H520" s="421"/>
      <c r="I520" s="395"/>
      <c r="J520" s="396"/>
      <c r="K520" s="396"/>
      <c r="L520" s="396"/>
      <c r="N520" s="322"/>
      <c r="P520" s="298"/>
      <c r="Q520" s="298"/>
    </row>
    <row r="521" spans="3:17" s="286" customFormat="1" ht="14.4" x14ac:dyDescent="0.3">
      <c r="C521" s="397" t="s">
        <v>4812</v>
      </c>
      <c r="D521" s="398" t="s">
        <v>1687</v>
      </c>
      <c r="E521" s="421"/>
      <c r="F521" s="421"/>
      <c r="G521" s="421"/>
      <c r="H521" s="421"/>
      <c r="I521" s="395"/>
      <c r="J521" s="396"/>
      <c r="K521" s="396"/>
      <c r="L521" s="396"/>
      <c r="N521" s="322"/>
      <c r="P521" s="298"/>
      <c r="Q521" s="298"/>
    </row>
    <row r="522" spans="3:17" s="286" customFormat="1" ht="14.4" x14ac:dyDescent="0.3">
      <c r="C522" s="397" t="s">
        <v>4813</v>
      </c>
      <c r="D522" s="398" t="s">
        <v>3596</v>
      </c>
      <c r="E522" s="421"/>
      <c r="F522" s="421"/>
      <c r="G522" s="421"/>
      <c r="H522" s="421"/>
      <c r="I522" s="395"/>
      <c r="J522" s="396"/>
      <c r="K522" s="396"/>
      <c r="L522" s="396"/>
      <c r="N522" s="322"/>
      <c r="P522" s="298"/>
      <c r="Q522" s="298"/>
    </row>
    <row r="523" spans="3:17" ht="15" customHeight="1" x14ac:dyDescent="0.3">
      <c r="C523" s="397" t="s">
        <v>4814</v>
      </c>
      <c r="D523" s="398" t="s">
        <v>3597</v>
      </c>
      <c r="E523" s="421"/>
      <c r="F523" s="421"/>
      <c r="G523" s="421"/>
      <c r="H523" s="421"/>
      <c r="I523" s="399"/>
      <c r="J523" s="396"/>
      <c r="K523" s="396"/>
      <c r="L523" s="396"/>
      <c r="N523" s="322"/>
    </row>
    <row r="524" spans="3:17" ht="15" customHeight="1" x14ac:dyDescent="0.3">
      <c r="C524" s="389" t="s">
        <v>4815</v>
      </c>
      <c r="D524" s="389" t="s">
        <v>3598</v>
      </c>
      <c r="E524" s="421">
        <v>0</v>
      </c>
      <c r="F524" s="421">
        <v>89309</v>
      </c>
      <c r="G524" s="421">
        <v>0</v>
      </c>
      <c r="H524" s="421">
        <v>89309</v>
      </c>
      <c r="I524" s="391">
        <v>0</v>
      </c>
      <c r="J524" s="392">
        <v>89309</v>
      </c>
      <c r="K524" s="392">
        <v>0</v>
      </c>
      <c r="L524" s="392">
        <v>89309</v>
      </c>
      <c r="N524" s="302"/>
    </row>
    <row r="525" spans="3:17" ht="15" customHeight="1" x14ac:dyDescent="0.3">
      <c r="C525" s="393" t="s">
        <v>4816</v>
      </c>
      <c r="D525" s="393" t="s">
        <v>3599</v>
      </c>
      <c r="E525" s="421">
        <v>0</v>
      </c>
      <c r="F525" s="421">
        <v>89309</v>
      </c>
      <c r="G525" s="421">
        <v>0</v>
      </c>
      <c r="H525" s="421">
        <v>89309</v>
      </c>
      <c r="I525" s="395">
        <v>0</v>
      </c>
      <c r="J525" s="396">
        <v>89309</v>
      </c>
      <c r="K525" s="396">
        <v>0</v>
      </c>
      <c r="L525" s="396">
        <v>89309</v>
      </c>
      <c r="N525" s="302"/>
    </row>
    <row r="526" spans="3:17" ht="15" customHeight="1" x14ac:dyDescent="0.3">
      <c r="C526" s="389" t="s">
        <v>4817</v>
      </c>
      <c r="D526" s="390" t="s">
        <v>3600</v>
      </c>
      <c r="E526" s="421">
        <v>0</v>
      </c>
      <c r="F526" s="421">
        <v>1701860.96</v>
      </c>
      <c r="G526" s="421">
        <v>1701860.96</v>
      </c>
      <c r="H526" s="421">
        <v>0</v>
      </c>
      <c r="I526" s="391">
        <v>0</v>
      </c>
      <c r="J526" s="392">
        <v>1701860.96</v>
      </c>
      <c r="K526" s="392">
        <v>1701860.96</v>
      </c>
      <c r="L526" s="392">
        <v>0</v>
      </c>
      <c r="N526" s="302"/>
      <c r="P526" s="286"/>
      <c r="Q526" s="286"/>
    </row>
    <row r="527" spans="3:17" ht="15" customHeight="1" x14ac:dyDescent="0.3">
      <c r="C527" s="393" t="s">
        <v>4818</v>
      </c>
      <c r="D527" s="394" t="s">
        <v>2313</v>
      </c>
      <c r="E527" s="421">
        <v>0</v>
      </c>
      <c r="F527" s="421">
        <v>1701860.96</v>
      </c>
      <c r="G527" s="421">
        <v>1701860.96</v>
      </c>
      <c r="H527" s="421">
        <v>0</v>
      </c>
      <c r="I527" s="395">
        <v>0</v>
      </c>
      <c r="J527" s="396">
        <v>1701860.96</v>
      </c>
      <c r="K527" s="396">
        <v>1701860.96</v>
      </c>
      <c r="L527" s="396">
        <v>0</v>
      </c>
      <c r="N527" s="302"/>
      <c r="P527" s="286"/>
      <c r="Q527" s="286"/>
    </row>
    <row r="528" spans="3:17" ht="15" customHeight="1" x14ac:dyDescent="0.3">
      <c r="C528" s="310" t="s">
        <v>4819</v>
      </c>
      <c r="D528" s="311" t="s">
        <v>3601</v>
      </c>
      <c r="E528" s="421">
        <v>0</v>
      </c>
      <c r="F528" s="421">
        <v>50364786.109999999</v>
      </c>
      <c r="G528" s="421">
        <v>11220630.34</v>
      </c>
      <c r="H528" s="421">
        <v>39144155.770000003</v>
      </c>
      <c r="I528" s="312">
        <v>0</v>
      </c>
      <c r="J528" s="313">
        <v>50364786.109999999</v>
      </c>
      <c r="K528" s="313">
        <v>11220630.34</v>
      </c>
      <c r="L528" s="313">
        <v>39144155.770000003</v>
      </c>
      <c r="N528" s="322"/>
      <c r="P528" s="286"/>
      <c r="Q528" s="286"/>
    </row>
    <row r="529" spans="3:17" ht="15" customHeight="1" x14ac:dyDescent="0.3">
      <c r="C529" s="310" t="s">
        <v>4820</v>
      </c>
      <c r="D529" s="311" t="s">
        <v>3602</v>
      </c>
      <c r="E529" s="421">
        <v>0</v>
      </c>
      <c r="F529" s="421">
        <v>50339529.630000003</v>
      </c>
      <c r="G529" s="421">
        <v>11220630.34</v>
      </c>
      <c r="H529" s="421">
        <v>39118899.289999999</v>
      </c>
      <c r="I529" s="312">
        <v>0</v>
      </c>
      <c r="J529" s="313">
        <v>50339529.630000003</v>
      </c>
      <c r="K529" s="313">
        <v>11220630.34</v>
      </c>
      <c r="L529" s="313">
        <v>39118899.289999999</v>
      </c>
      <c r="N529" s="322"/>
      <c r="P529" s="286"/>
      <c r="Q529" s="286"/>
    </row>
    <row r="530" spans="3:17" ht="15" customHeight="1" x14ac:dyDescent="0.3">
      <c r="C530" s="409" t="s">
        <v>4821</v>
      </c>
      <c r="D530" s="410" t="s">
        <v>3603</v>
      </c>
      <c r="E530" s="421">
        <v>0</v>
      </c>
      <c r="F530" s="421">
        <v>14310911.689999999</v>
      </c>
      <c r="G530" s="421">
        <v>1314795.79</v>
      </c>
      <c r="H530" s="421">
        <v>12996115.9</v>
      </c>
      <c r="I530" s="411">
        <v>0</v>
      </c>
      <c r="J530" s="412">
        <v>14310911.689999999</v>
      </c>
      <c r="K530" s="412">
        <v>1314795.79</v>
      </c>
      <c r="L530" s="412">
        <v>12996115.9</v>
      </c>
      <c r="N530" s="322" t="s">
        <v>3604</v>
      </c>
      <c r="P530" s="286"/>
      <c r="Q530" s="286"/>
    </row>
    <row r="531" spans="3:17" ht="15" customHeight="1" x14ac:dyDescent="0.3">
      <c r="C531" s="413" t="s">
        <v>4822</v>
      </c>
      <c r="D531" s="414" t="s">
        <v>1701</v>
      </c>
      <c r="E531" s="421">
        <v>0</v>
      </c>
      <c r="F531" s="421">
        <v>401005.61</v>
      </c>
      <c r="G531" s="421">
        <v>130.26</v>
      </c>
      <c r="H531" s="421">
        <v>400875.35</v>
      </c>
      <c r="I531" s="415">
        <v>0</v>
      </c>
      <c r="J531" s="416">
        <v>401005.61</v>
      </c>
      <c r="K531" s="416">
        <v>130.26</v>
      </c>
      <c r="L531" s="416">
        <v>400875.35</v>
      </c>
      <c r="N531" s="322"/>
    </row>
    <row r="532" spans="3:17" ht="15" customHeight="1" x14ac:dyDescent="0.3">
      <c r="C532" s="413" t="s">
        <v>4823</v>
      </c>
      <c r="D532" s="414" t="s">
        <v>1704</v>
      </c>
      <c r="E532" s="421">
        <v>0</v>
      </c>
      <c r="F532" s="421">
        <v>338557.57</v>
      </c>
      <c r="G532" s="421">
        <v>201.43</v>
      </c>
      <c r="H532" s="421">
        <v>338356.14</v>
      </c>
      <c r="I532" s="415">
        <v>0</v>
      </c>
      <c r="J532" s="416">
        <v>338557.57</v>
      </c>
      <c r="K532" s="416">
        <v>201.43</v>
      </c>
      <c r="L532" s="416">
        <v>338356.14</v>
      </c>
      <c r="N532" s="322"/>
    </row>
    <row r="533" spans="3:17" ht="15" customHeight="1" x14ac:dyDescent="0.3">
      <c r="C533" s="413" t="s">
        <v>4824</v>
      </c>
      <c r="D533" s="414" t="s">
        <v>1707</v>
      </c>
      <c r="E533" s="421">
        <v>0</v>
      </c>
      <c r="F533" s="421">
        <v>7334.77</v>
      </c>
      <c r="G533" s="421">
        <v>0</v>
      </c>
      <c r="H533" s="421">
        <v>7334.77</v>
      </c>
      <c r="I533" s="415">
        <v>0</v>
      </c>
      <c r="J533" s="416">
        <v>7334.77</v>
      </c>
      <c r="K533" s="416">
        <v>0</v>
      </c>
      <c r="L533" s="416">
        <v>7334.77</v>
      </c>
      <c r="N533" s="322"/>
    </row>
    <row r="534" spans="3:17" ht="15" customHeight="1" x14ac:dyDescent="0.3">
      <c r="C534" s="413" t="s">
        <v>4825</v>
      </c>
      <c r="D534" s="414" t="s">
        <v>1710</v>
      </c>
      <c r="E534" s="421">
        <v>0</v>
      </c>
      <c r="F534" s="421">
        <v>93949.93</v>
      </c>
      <c r="G534" s="421">
        <v>253.12</v>
      </c>
      <c r="H534" s="421">
        <v>93696.81</v>
      </c>
      <c r="I534" s="415">
        <v>0</v>
      </c>
      <c r="J534" s="416">
        <v>93949.93</v>
      </c>
      <c r="K534" s="416">
        <v>253.12</v>
      </c>
      <c r="L534" s="416">
        <v>93696.81</v>
      </c>
      <c r="N534" s="322"/>
    </row>
    <row r="535" spans="3:17" ht="15" customHeight="1" x14ac:dyDescent="0.3">
      <c r="C535" s="413" t="s">
        <v>4826</v>
      </c>
      <c r="D535" s="414" t="s">
        <v>1713</v>
      </c>
      <c r="E535" s="421">
        <v>0</v>
      </c>
      <c r="F535" s="421">
        <v>16443.68</v>
      </c>
      <c r="G535" s="421">
        <v>0</v>
      </c>
      <c r="H535" s="421">
        <v>16443.68</v>
      </c>
      <c r="I535" s="415">
        <v>0</v>
      </c>
      <c r="J535" s="416">
        <v>16443.68</v>
      </c>
      <c r="K535" s="416">
        <v>0</v>
      </c>
      <c r="L535" s="416">
        <v>16443.68</v>
      </c>
      <c r="N535" s="322"/>
    </row>
    <row r="536" spans="3:17" ht="15" customHeight="1" x14ac:dyDescent="0.3">
      <c r="C536" s="413" t="s">
        <v>4827</v>
      </c>
      <c r="D536" s="414" t="s">
        <v>3605</v>
      </c>
      <c r="E536" s="421">
        <v>0</v>
      </c>
      <c r="F536" s="421">
        <v>5568.24</v>
      </c>
      <c r="G536" s="421">
        <v>0</v>
      </c>
      <c r="H536" s="421">
        <v>5568.24</v>
      </c>
      <c r="I536" s="415">
        <v>0</v>
      </c>
      <c r="J536" s="416">
        <v>5568.24</v>
      </c>
      <c r="K536" s="416">
        <v>0</v>
      </c>
      <c r="L536" s="416">
        <v>5568.24</v>
      </c>
      <c r="N536" s="322"/>
    </row>
    <row r="537" spans="3:17" ht="15" customHeight="1" x14ac:dyDescent="0.3">
      <c r="C537" s="413" t="s">
        <v>4828</v>
      </c>
      <c r="D537" s="414" t="s">
        <v>3606</v>
      </c>
      <c r="E537" s="421">
        <v>0</v>
      </c>
      <c r="F537" s="421">
        <v>32383.88</v>
      </c>
      <c r="G537" s="421">
        <v>0</v>
      </c>
      <c r="H537" s="421">
        <v>32383.88</v>
      </c>
      <c r="I537" s="415">
        <v>0</v>
      </c>
      <c r="J537" s="416">
        <v>32383.88</v>
      </c>
      <c r="K537" s="416">
        <v>0</v>
      </c>
      <c r="L537" s="416">
        <v>32383.88</v>
      </c>
      <c r="N537" s="322"/>
    </row>
    <row r="538" spans="3:17" ht="15" customHeight="1" x14ac:dyDescent="0.3">
      <c r="C538" s="413" t="s">
        <v>4829</v>
      </c>
      <c r="D538" s="414" t="s">
        <v>1716</v>
      </c>
      <c r="E538" s="421">
        <v>0</v>
      </c>
      <c r="F538" s="421">
        <v>4593022.21</v>
      </c>
      <c r="G538" s="421">
        <v>0</v>
      </c>
      <c r="H538" s="421">
        <v>4593022.21</v>
      </c>
      <c r="I538" s="415">
        <v>0</v>
      </c>
      <c r="J538" s="416">
        <v>4593022.21</v>
      </c>
      <c r="K538" s="416">
        <v>0</v>
      </c>
      <c r="L538" s="416">
        <v>4593022.21</v>
      </c>
      <c r="N538" s="322"/>
    </row>
    <row r="539" spans="3:17" ht="15" customHeight="1" x14ac:dyDescent="0.3">
      <c r="C539" s="413" t="s">
        <v>4830</v>
      </c>
      <c r="D539" s="414" t="s">
        <v>3607</v>
      </c>
      <c r="E539" s="421"/>
      <c r="F539" s="421"/>
      <c r="G539" s="421"/>
      <c r="H539" s="421"/>
      <c r="I539" s="415"/>
      <c r="J539" s="416"/>
      <c r="K539" s="416"/>
      <c r="L539" s="416"/>
      <c r="N539" s="322"/>
    </row>
    <row r="540" spans="3:17" ht="15" customHeight="1" x14ac:dyDescent="0.3">
      <c r="C540" s="413" t="s">
        <v>4831</v>
      </c>
      <c r="D540" s="414" t="s">
        <v>1719</v>
      </c>
      <c r="E540" s="421">
        <v>0</v>
      </c>
      <c r="F540" s="421">
        <v>1207402.24</v>
      </c>
      <c r="G540" s="421">
        <v>18900.46</v>
      </c>
      <c r="H540" s="421">
        <v>1188501.78</v>
      </c>
      <c r="I540" s="415">
        <v>0</v>
      </c>
      <c r="J540" s="416">
        <v>1207402.24</v>
      </c>
      <c r="K540" s="416">
        <v>18900.46</v>
      </c>
      <c r="L540" s="416">
        <v>1188501.78</v>
      </c>
      <c r="N540" s="322"/>
    </row>
    <row r="541" spans="3:17" ht="15" customHeight="1" x14ac:dyDescent="0.3">
      <c r="C541" s="413" t="s">
        <v>4832</v>
      </c>
      <c r="D541" s="414" t="s">
        <v>1722</v>
      </c>
      <c r="E541" s="421">
        <v>0</v>
      </c>
      <c r="F541" s="421">
        <v>122700.77</v>
      </c>
      <c r="G541" s="421">
        <v>0</v>
      </c>
      <c r="H541" s="421">
        <v>122700.77</v>
      </c>
      <c r="I541" s="415">
        <v>0</v>
      </c>
      <c r="J541" s="416">
        <v>122700.77</v>
      </c>
      <c r="K541" s="416">
        <v>0</v>
      </c>
      <c r="L541" s="416">
        <v>122700.77</v>
      </c>
      <c r="N541" s="322"/>
    </row>
    <row r="542" spans="3:17" ht="15" customHeight="1" x14ac:dyDescent="0.3">
      <c r="C542" s="413" t="s">
        <v>4833</v>
      </c>
      <c r="D542" s="414" t="s">
        <v>1725</v>
      </c>
      <c r="E542" s="421">
        <v>0</v>
      </c>
      <c r="F542" s="421">
        <v>362985.65</v>
      </c>
      <c r="G542" s="421">
        <v>0</v>
      </c>
      <c r="H542" s="421">
        <v>362985.65</v>
      </c>
      <c r="I542" s="415">
        <v>0</v>
      </c>
      <c r="J542" s="416">
        <v>362985.65</v>
      </c>
      <c r="K542" s="416">
        <v>0</v>
      </c>
      <c r="L542" s="416">
        <v>362985.65</v>
      </c>
      <c r="N542" s="322"/>
    </row>
    <row r="543" spans="3:17" ht="15" customHeight="1" x14ac:dyDescent="0.3">
      <c r="C543" s="413" t="s">
        <v>4834</v>
      </c>
      <c r="D543" s="414" t="s">
        <v>1728</v>
      </c>
      <c r="E543" s="421">
        <v>0</v>
      </c>
      <c r="F543" s="421">
        <v>6178853.8099999996</v>
      </c>
      <c r="G543" s="421">
        <v>1272918.81</v>
      </c>
      <c r="H543" s="421">
        <v>4905935</v>
      </c>
      <c r="I543" s="415">
        <v>0</v>
      </c>
      <c r="J543" s="416">
        <v>6178853.8099999996</v>
      </c>
      <c r="K543" s="416">
        <v>1272918.81</v>
      </c>
      <c r="L543" s="416">
        <v>4905935</v>
      </c>
      <c r="N543" s="322"/>
    </row>
    <row r="544" spans="3:17" ht="15" customHeight="1" x14ac:dyDescent="0.3">
      <c r="C544" s="413" t="s">
        <v>4835</v>
      </c>
      <c r="D544" s="414" t="s">
        <v>3608</v>
      </c>
      <c r="E544" s="421">
        <v>0</v>
      </c>
      <c r="F544" s="421">
        <v>2161.9899999999998</v>
      </c>
      <c r="G544" s="421">
        <v>6.78</v>
      </c>
      <c r="H544" s="421">
        <v>2155.21</v>
      </c>
      <c r="I544" s="415">
        <v>0</v>
      </c>
      <c r="J544" s="416">
        <v>2161.9899999999998</v>
      </c>
      <c r="K544" s="416">
        <v>6.78</v>
      </c>
      <c r="L544" s="416">
        <v>2155.21</v>
      </c>
      <c r="N544" s="322"/>
    </row>
    <row r="545" spans="3:14" ht="15" customHeight="1" x14ac:dyDescent="0.3">
      <c r="C545" s="413" t="s">
        <v>4836</v>
      </c>
      <c r="D545" s="414" t="s">
        <v>1731</v>
      </c>
      <c r="E545" s="421">
        <v>0</v>
      </c>
      <c r="F545" s="421">
        <v>83301.8</v>
      </c>
      <c r="G545" s="421">
        <v>22384.93</v>
      </c>
      <c r="H545" s="421">
        <v>60916.87</v>
      </c>
      <c r="I545" s="415">
        <v>0</v>
      </c>
      <c r="J545" s="416">
        <v>83301.8</v>
      </c>
      <c r="K545" s="416">
        <v>22384.93</v>
      </c>
      <c r="L545" s="416">
        <v>60916.87</v>
      </c>
      <c r="N545" s="322"/>
    </row>
    <row r="546" spans="3:14" ht="15" customHeight="1" x14ac:dyDescent="0.3">
      <c r="C546" s="413" t="s">
        <v>4837</v>
      </c>
      <c r="D546" s="414" t="s">
        <v>1734</v>
      </c>
      <c r="E546" s="421">
        <v>0</v>
      </c>
      <c r="F546" s="421">
        <v>514113.61</v>
      </c>
      <c r="G546" s="421">
        <v>0</v>
      </c>
      <c r="H546" s="421">
        <v>514113.61</v>
      </c>
      <c r="I546" s="415">
        <v>0</v>
      </c>
      <c r="J546" s="416">
        <v>514113.61</v>
      </c>
      <c r="K546" s="416">
        <v>0</v>
      </c>
      <c r="L546" s="416">
        <v>514113.61</v>
      </c>
      <c r="N546" s="322"/>
    </row>
    <row r="547" spans="3:14" ht="15" customHeight="1" x14ac:dyDescent="0.3">
      <c r="C547" s="413" t="s">
        <v>4838</v>
      </c>
      <c r="D547" s="414" t="s">
        <v>1737</v>
      </c>
      <c r="E547" s="421">
        <v>0</v>
      </c>
      <c r="F547" s="421">
        <v>28281.61</v>
      </c>
      <c r="G547" s="421">
        <v>0</v>
      </c>
      <c r="H547" s="421">
        <v>28281.61</v>
      </c>
      <c r="I547" s="415">
        <v>0</v>
      </c>
      <c r="J547" s="416">
        <v>28281.61</v>
      </c>
      <c r="K547" s="416">
        <v>0</v>
      </c>
      <c r="L547" s="416">
        <v>28281.61</v>
      </c>
      <c r="N547" s="322"/>
    </row>
    <row r="548" spans="3:14" ht="15" customHeight="1" x14ac:dyDescent="0.3">
      <c r="C548" s="413" t="s">
        <v>4839</v>
      </c>
      <c r="D548" s="414" t="s">
        <v>3609</v>
      </c>
      <c r="E548" s="421"/>
      <c r="F548" s="421"/>
      <c r="G548" s="421"/>
      <c r="H548" s="421"/>
      <c r="I548" s="415"/>
      <c r="J548" s="416"/>
      <c r="K548" s="416"/>
      <c r="L548" s="416"/>
      <c r="N548" s="322"/>
    </row>
    <row r="549" spans="3:14" ht="15" customHeight="1" x14ac:dyDescent="0.3">
      <c r="C549" s="413" t="s">
        <v>4840</v>
      </c>
      <c r="D549" s="414" t="s">
        <v>1740</v>
      </c>
      <c r="E549" s="421">
        <v>0</v>
      </c>
      <c r="F549" s="421">
        <v>322844.32</v>
      </c>
      <c r="G549" s="421">
        <v>0</v>
      </c>
      <c r="H549" s="421">
        <v>322844.32</v>
      </c>
      <c r="I549" s="415">
        <v>0</v>
      </c>
      <c r="J549" s="416">
        <v>322844.32</v>
      </c>
      <c r="K549" s="416">
        <v>0</v>
      </c>
      <c r="L549" s="416">
        <v>322844.32</v>
      </c>
      <c r="N549" s="322"/>
    </row>
    <row r="550" spans="3:14" ht="15" customHeight="1" x14ac:dyDescent="0.3">
      <c r="C550" s="409" t="s">
        <v>4841</v>
      </c>
      <c r="D550" s="410" t="s">
        <v>1743</v>
      </c>
      <c r="E550" s="421">
        <v>0</v>
      </c>
      <c r="F550" s="421">
        <v>4174662.25</v>
      </c>
      <c r="G550" s="421">
        <v>0</v>
      </c>
      <c r="H550" s="421">
        <v>4174662.25</v>
      </c>
      <c r="I550" s="411">
        <v>0</v>
      </c>
      <c r="J550" s="412">
        <v>4174662.25</v>
      </c>
      <c r="K550" s="412">
        <v>0</v>
      </c>
      <c r="L550" s="412">
        <v>4174662.25</v>
      </c>
      <c r="N550" s="322" t="s">
        <v>3604</v>
      </c>
    </row>
    <row r="551" spans="3:14" ht="15" customHeight="1" x14ac:dyDescent="0.3">
      <c r="C551" s="413" t="s">
        <v>4842</v>
      </c>
      <c r="D551" s="414" t="s">
        <v>1745</v>
      </c>
      <c r="E551" s="421">
        <v>0</v>
      </c>
      <c r="F551" s="421">
        <v>879994.54</v>
      </c>
      <c r="G551" s="421">
        <v>0</v>
      </c>
      <c r="H551" s="421">
        <v>879994.54</v>
      </c>
      <c r="I551" s="415">
        <v>0</v>
      </c>
      <c r="J551" s="416">
        <v>879994.54</v>
      </c>
      <c r="K551" s="416">
        <v>0</v>
      </c>
      <c r="L551" s="416">
        <v>879994.54</v>
      </c>
      <c r="N551" s="322"/>
    </row>
    <row r="552" spans="3:14" ht="15" customHeight="1" x14ac:dyDescent="0.3">
      <c r="C552" s="413" t="s">
        <v>4843</v>
      </c>
      <c r="D552" s="414" t="s">
        <v>1748</v>
      </c>
      <c r="E552" s="421">
        <v>0</v>
      </c>
      <c r="F552" s="421">
        <v>3020324.62</v>
      </c>
      <c r="G552" s="421">
        <v>0</v>
      </c>
      <c r="H552" s="421">
        <v>3020324.62</v>
      </c>
      <c r="I552" s="415">
        <v>0</v>
      </c>
      <c r="J552" s="416">
        <v>3020324.62</v>
      </c>
      <c r="K552" s="416">
        <v>0</v>
      </c>
      <c r="L552" s="416">
        <v>3020324.62</v>
      </c>
      <c r="N552" s="322"/>
    </row>
    <row r="553" spans="3:14" ht="15" customHeight="1" x14ac:dyDescent="0.3">
      <c r="C553" s="413" t="s">
        <v>4844</v>
      </c>
      <c r="D553" s="414" t="s">
        <v>1751</v>
      </c>
      <c r="E553" s="421">
        <v>0</v>
      </c>
      <c r="F553" s="421">
        <v>164605.85999999999</v>
      </c>
      <c r="G553" s="421">
        <v>0</v>
      </c>
      <c r="H553" s="421">
        <v>164605.85999999999</v>
      </c>
      <c r="I553" s="415">
        <v>0</v>
      </c>
      <c r="J553" s="416">
        <v>164605.85999999999</v>
      </c>
      <c r="K553" s="416">
        <v>0</v>
      </c>
      <c r="L553" s="416">
        <v>164605.85999999999</v>
      </c>
      <c r="N553" s="322"/>
    </row>
    <row r="554" spans="3:14" ht="15" customHeight="1" x14ac:dyDescent="0.3">
      <c r="C554" s="413" t="s">
        <v>4845</v>
      </c>
      <c r="D554" s="414" t="s">
        <v>1754</v>
      </c>
      <c r="E554" s="421">
        <v>0</v>
      </c>
      <c r="F554" s="421">
        <v>109737.23</v>
      </c>
      <c r="G554" s="421">
        <v>0</v>
      </c>
      <c r="H554" s="421">
        <v>109737.23</v>
      </c>
      <c r="I554" s="415">
        <v>0</v>
      </c>
      <c r="J554" s="416">
        <v>109737.23</v>
      </c>
      <c r="K554" s="416">
        <v>0</v>
      </c>
      <c r="L554" s="416">
        <v>109737.23</v>
      </c>
      <c r="N554" s="322"/>
    </row>
    <row r="555" spans="3:14" ht="15" customHeight="1" x14ac:dyDescent="0.3">
      <c r="C555" s="409" t="s">
        <v>4846</v>
      </c>
      <c r="D555" s="410" t="s">
        <v>3610</v>
      </c>
      <c r="E555" s="421">
        <v>0</v>
      </c>
      <c r="F555" s="421">
        <v>19693789.629999999</v>
      </c>
      <c r="G555" s="421">
        <v>8605822.5999999996</v>
      </c>
      <c r="H555" s="421">
        <v>11087967.029999999</v>
      </c>
      <c r="I555" s="411">
        <v>0</v>
      </c>
      <c r="J555" s="412">
        <v>19693789.629999999</v>
      </c>
      <c r="K555" s="412">
        <v>8605822.5999999996</v>
      </c>
      <c r="L555" s="412">
        <v>11087967.029999999</v>
      </c>
      <c r="N555" s="322" t="s">
        <v>3604</v>
      </c>
    </row>
    <row r="556" spans="3:14" ht="15" customHeight="1" x14ac:dyDescent="0.3">
      <c r="C556" s="413" t="s">
        <v>4847</v>
      </c>
      <c r="D556" s="414" t="s">
        <v>1760</v>
      </c>
      <c r="E556" s="421">
        <v>0</v>
      </c>
      <c r="F556" s="421">
        <v>1857781.88</v>
      </c>
      <c r="G556" s="421">
        <v>0</v>
      </c>
      <c r="H556" s="421">
        <v>1857781.88</v>
      </c>
      <c r="I556" s="415">
        <v>0</v>
      </c>
      <c r="J556" s="416">
        <v>1857781.88</v>
      </c>
      <c r="K556" s="416">
        <v>0</v>
      </c>
      <c r="L556" s="416">
        <v>1857781.88</v>
      </c>
      <c r="N556" s="322"/>
    </row>
    <row r="557" spans="3:14" ht="15" customHeight="1" x14ac:dyDescent="0.3">
      <c r="C557" s="413" t="s">
        <v>4848</v>
      </c>
      <c r="D557" s="414" t="s">
        <v>1763</v>
      </c>
      <c r="E557" s="421">
        <v>0</v>
      </c>
      <c r="F557" s="421">
        <v>1772208.89</v>
      </c>
      <c r="G557" s="421">
        <v>880191.17</v>
      </c>
      <c r="H557" s="421">
        <v>892017.72</v>
      </c>
      <c r="I557" s="415">
        <v>0</v>
      </c>
      <c r="J557" s="416">
        <v>1772208.89</v>
      </c>
      <c r="K557" s="416">
        <v>880191.17</v>
      </c>
      <c r="L557" s="416">
        <v>892017.72</v>
      </c>
      <c r="N557" s="322"/>
    </row>
    <row r="558" spans="3:14" ht="15" customHeight="1" x14ac:dyDescent="0.3">
      <c r="C558" s="413" t="s">
        <v>4849</v>
      </c>
      <c r="D558" s="414" t="s">
        <v>1766</v>
      </c>
      <c r="E558" s="421">
        <v>0</v>
      </c>
      <c r="F558" s="421">
        <v>1924617.36</v>
      </c>
      <c r="G558" s="421">
        <v>1503339.57</v>
      </c>
      <c r="H558" s="421">
        <v>421277.79</v>
      </c>
      <c r="I558" s="415">
        <v>0</v>
      </c>
      <c r="J558" s="416">
        <v>1924617.36</v>
      </c>
      <c r="K558" s="416">
        <v>1503339.57</v>
      </c>
      <c r="L558" s="416">
        <v>421277.79</v>
      </c>
      <c r="N558" s="322"/>
    </row>
    <row r="559" spans="3:14" ht="15" customHeight="1" x14ac:dyDescent="0.3">
      <c r="C559" s="413" t="s">
        <v>4850</v>
      </c>
      <c r="D559" s="414" t="s">
        <v>1769</v>
      </c>
      <c r="E559" s="421">
        <v>0</v>
      </c>
      <c r="F559" s="421">
        <v>1059017.1000000001</v>
      </c>
      <c r="G559" s="421">
        <v>0</v>
      </c>
      <c r="H559" s="421">
        <v>1059017.1000000001</v>
      </c>
      <c r="I559" s="415">
        <v>0</v>
      </c>
      <c r="J559" s="416">
        <v>1059017.1000000001</v>
      </c>
      <c r="K559" s="416">
        <v>0</v>
      </c>
      <c r="L559" s="416">
        <v>1059017.1000000001</v>
      </c>
      <c r="N559" s="322"/>
    </row>
    <row r="560" spans="3:14" ht="15" customHeight="1" x14ac:dyDescent="0.3">
      <c r="C560" s="413" t="s">
        <v>4851</v>
      </c>
      <c r="D560" s="414" t="s">
        <v>1772</v>
      </c>
      <c r="E560" s="421">
        <v>0</v>
      </c>
      <c r="F560" s="421">
        <v>0</v>
      </c>
      <c r="G560" s="421">
        <v>2846769.86</v>
      </c>
      <c r="H560" s="421">
        <v>-2846769.86</v>
      </c>
      <c r="I560" s="415">
        <v>0</v>
      </c>
      <c r="J560" s="416">
        <v>0</v>
      </c>
      <c r="K560" s="416">
        <v>2846769.86</v>
      </c>
      <c r="L560" s="416">
        <v>-2846769.86</v>
      </c>
      <c r="N560" s="322"/>
    </row>
    <row r="561" spans="3:14" ht="15" customHeight="1" x14ac:dyDescent="0.3">
      <c r="C561" s="413" t="s">
        <v>4852</v>
      </c>
      <c r="D561" s="414" t="s">
        <v>1775</v>
      </c>
      <c r="E561" s="421">
        <v>0</v>
      </c>
      <c r="F561" s="421">
        <v>13080164.4</v>
      </c>
      <c r="G561" s="421">
        <v>0</v>
      </c>
      <c r="H561" s="421">
        <v>13080164.4</v>
      </c>
      <c r="I561" s="415">
        <v>0</v>
      </c>
      <c r="J561" s="416">
        <v>13080164.4</v>
      </c>
      <c r="K561" s="416">
        <v>0</v>
      </c>
      <c r="L561" s="416">
        <v>13080164.4</v>
      </c>
      <c r="N561" s="322"/>
    </row>
    <row r="562" spans="3:14" ht="15" customHeight="1" x14ac:dyDescent="0.3">
      <c r="C562" s="413" t="s">
        <v>4853</v>
      </c>
      <c r="D562" s="414" t="s">
        <v>3611</v>
      </c>
      <c r="E562" s="421">
        <v>0</v>
      </c>
      <c r="F562" s="421">
        <v>0</v>
      </c>
      <c r="G562" s="421">
        <v>3375522</v>
      </c>
      <c r="H562" s="421">
        <v>-3375522</v>
      </c>
      <c r="I562" s="415">
        <v>0</v>
      </c>
      <c r="J562" s="416">
        <v>0</v>
      </c>
      <c r="K562" s="416">
        <v>3375522</v>
      </c>
      <c r="L562" s="416">
        <v>-3375522</v>
      </c>
      <c r="N562" s="322"/>
    </row>
    <row r="563" spans="3:14" ht="15" customHeight="1" x14ac:dyDescent="0.3">
      <c r="C563" s="409" t="s">
        <v>4854</v>
      </c>
      <c r="D563" s="410" t="s">
        <v>1778</v>
      </c>
      <c r="E563" s="421">
        <v>0</v>
      </c>
      <c r="F563" s="421">
        <v>11415121.880000001</v>
      </c>
      <c r="G563" s="421">
        <v>1297423.27</v>
      </c>
      <c r="H563" s="421">
        <v>10117698.609999999</v>
      </c>
      <c r="I563" s="411">
        <v>0</v>
      </c>
      <c r="J563" s="412">
        <v>11415121.880000001</v>
      </c>
      <c r="K563" s="412">
        <v>1297423.27</v>
      </c>
      <c r="L563" s="412">
        <v>10117698.609999999</v>
      </c>
      <c r="N563" s="322" t="s">
        <v>3604</v>
      </c>
    </row>
    <row r="564" spans="3:14" ht="15" customHeight="1" x14ac:dyDescent="0.3">
      <c r="C564" s="413" t="s">
        <v>4855</v>
      </c>
      <c r="D564" s="414" t="s">
        <v>1781</v>
      </c>
      <c r="E564" s="421">
        <v>0</v>
      </c>
      <c r="F564" s="421">
        <v>148530.17000000001</v>
      </c>
      <c r="G564" s="421">
        <v>0</v>
      </c>
      <c r="H564" s="421">
        <v>148530.17000000001</v>
      </c>
      <c r="I564" s="415">
        <v>0</v>
      </c>
      <c r="J564" s="416">
        <v>148530.17000000001</v>
      </c>
      <c r="K564" s="416">
        <v>0</v>
      </c>
      <c r="L564" s="416">
        <v>148530.17000000001</v>
      </c>
      <c r="N564" s="322"/>
    </row>
    <row r="565" spans="3:14" ht="15" customHeight="1" x14ac:dyDescent="0.3">
      <c r="C565" s="413" t="s">
        <v>4856</v>
      </c>
      <c r="D565" s="414" t="s">
        <v>1784</v>
      </c>
      <c r="E565" s="421">
        <v>0</v>
      </c>
      <c r="F565" s="421">
        <v>224903.8</v>
      </c>
      <c r="G565" s="421">
        <v>0</v>
      </c>
      <c r="H565" s="421">
        <v>224903.8</v>
      </c>
      <c r="I565" s="415">
        <v>0</v>
      </c>
      <c r="J565" s="416">
        <v>224903.8</v>
      </c>
      <c r="K565" s="416">
        <v>0</v>
      </c>
      <c r="L565" s="416">
        <v>224903.8</v>
      </c>
      <c r="N565" s="302"/>
    </row>
    <row r="566" spans="3:14" ht="15" customHeight="1" x14ac:dyDescent="0.3">
      <c r="C566" s="413" t="s">
        <v>4857</v>
      </c>
      <c r="D566" s="414" t="s">
        <v>1787</v>
      </c>
      <c r="E566" s="421">
        <v>0</v>
      </c>
      <c r="F566" s="421">
        <v>157.6</v>
      </c>
      <c r="G566" s="421">
        <v>0</v>
      </c>
      <c r="H566" s="421">
        <v>157.6</v>
      </c>
      <c r="I566" s="415">
        <v>0</v>
      </c>
      <c r="J566" s="416">
        <v>157.6</v>
      </c>
      <c r="K566" s="416">
        <v>0</v>
      </c>
      <c r="L566" s="416">
        <v>157.6</v>
      </c>
      <c r="N566" s="302"/>
    </row>
    <row r="567" spans="3:14" ht="15" customHeight="1" x14ac:dyDescent="0.3">
      <c r="C567" s="413" t="s">
        <v>4858</v>
      </c>
      <c r="D567" s="414" t="s">
        <v>1790</v>
      </c>
      <c r="E567" s="421">
        <v>0</v>
      </c>
      <c r="F567" s="421">
        <v>789565.36</v>
      </c>
      <c r="G567" s="421">
        <v>0</v>
      </c>
      <c r="H567" s="421">
        <v>789565.36</v>
      </c>
      <c r="I567" s="415">
        <v>0</v>
      </c>
      <c r="J567" s="416">
        <v>789565.36</v>
      </c>
      <c r="K567" s="416">
        <v>0</v>
      </c>
      <c r="L567" s="416">
        <v>789565.36</v>
      </c>
      <c r="N567" s="302"/>
    </row>
    <row r="568" spans="3:14" ht="15" customHeight="1" x14ac:dyDescent="0.3">
      <c r="C568" s="413" t="s">
        <v>4859</v>
      </c>
      <c r="D568" s="414" t="s">
        <v>3612</v>
      </c>
      <c r="E568" s="421">
        <v>0</v>
      </c>
      <c r="F568" s="421">
        <v>2000000</v>
      </c>
      <c r="G568" s="421">
        <v>0</v>
      </c>
      <c r="H568" s="421">
        <v>2000000</v>
      </c>
      <c r="I568" s="415">
        <v>0</v>
      </c>
      <c r="J568" s="416">
        <v>2000000</v>
      </c>
      <c r="K568" s="416">
        <v>0</v>
      </c>
      <c r="L568" s="416">
        <v>2000000</v>
      </c>
      <c r="N568" s="302"/>
    </row>
    <row r="569" spans="3:14" ht="15" customHeight="1" x14ac:dyDescent="0.3">
      <c r="C569" s="413" t="s">
        <v>4860</v>
      </c>
      <c r="D569" s="414" t="s">
        <v>1796</v>
      </c>
      <c r="E569" s="421">
        <v>0</v>
      </c>
      <c r="F569" s="421">
        <v>92979.68</v>
      </c>
      <c r="G569" s="421">
        <v>0</v>
      </c>
      <c r="H569" s="421">
        <v>92979.68</v>
      </c>
      <c r="I569" s="415">
        <v>0</v>
      </c>
      <c r="J569" s="416">
        <v>92979.68</v>
      </c>
      <c r="K569" s="416">
        <v>0</v>
      </c>
      <c r="L569" s="416">
        <v>92979.68</v>
      </c>
      <c r="N569" s="302"/>
    </row>
    <row r="570" spans="3:14" ht="15" customHeight="1" x14ac:dyDescent="0.3">
      <c r="C570" s="413" t="s">
        <v>4861</v>
      </c>
      <c r="D570" s="414" t="s">
        <v>1802</v>
      </c>
      <c r="E570" s="421">
        <v>0</v>
      </c>
      <c r="F570" s="421">
        <v>22829.279999999999</v>
      </c>
      <c r="G570" s="421">
        <v>40.32</v>
      </c>
      <c r="H570" s="421">
        <v>22788.959999999999</v>
      </c>
      <c r="I570" s="415">
        <v>0</v>
      </c>
      <c r="J570" s="416">
        <v>22829.279999999999</v>
      </c>
      <c r="K570" s="416">
        <v>40.32</v>
      </c>
      <c r="L570" s="416">
        <v>22788.959999999999</v>
      </c>
      <c r="N570" s="302"/>
    </row>
    <row r="571" spans="3:14" ht="15" customHeight="1" x14ac:dyDescent="0.3">
      <c r="C571" s="413" t="s">
        <v>4862</v>
      </c>
      <c r="D571" s="414" t="s">
        <v>3613</v>
      </c>
      <c r="E571" s="421">
        <v>0</v>
      </c>
      <c r="F571" s="421">
        <v>2180</v>
      </c>
      <c r="G571" s="421">
        <v>0</v>
      </c>
      <c r="H571" s="421">
        <v>2180</v>
      </c>
      <c r="I571" s="415">
        <v>0</v>
      </c>
      <c r="J571" s="416">
        <v>2180</v>
      </c>
      <c r="K571" s="416">
        <v>0</v>
      </c>
      <c r="L571" s="416">
        <v>2180</v>
      </c>
      <c r="N571" s="302"/>
    </row>
    <row r="572" spans="3:14" ht="15" customHeight="1" x14ac:dyDescent="0.3">
      <c r="C572" s="413" t="s">
        <v>4863</v>
      </c>
      <c r="D572" s="414" t="s">
        <v>1805</v>
      </c>
      <c r="E572" s="421">
        <v>0</v>
      </c>
      <c r="F572" s="421">
        <v>162422.68</v>
      </c>
      <c r="G572" s="421">
        <v>0</v>
      </c>
      <c r="H572" s="421">
        <v>162422.68</v>
      </c>
      <c r="I572" s="415">
        <v>0</v>
      </c>
      <c r="J572" s="416">
        <v>162422.68</v>
      </c>
      <c r="K572" s="416">
        <v>0</v>
      </c>
      <c r="L572" s="416">
        <v>162422.68</v>
      </c>
      <c r="N572" s="302"/>
    </row>
    <row r="573" spans="3:14" ht="15" customHeight="1" x14ac:dyDescent="0.3">
      <c r="C573" s="413" t="s">
        <v>4864</v>
      </c>
      <c r="D573" s="414" t="s">
        <v>1808</v>
      </c>
      <c r="E573" s="421">
        <v>0</v>
      </c>
      <c r="F573" s="421">
        <v>26525.88</v>
      </c>
      <c r="G573" s="421">
        <v>0</v>
      </c>
      <c r="H573" s="421">
        <v>26525.88</v>
      </c>
      <c r="I573" s="415">
        <v>0</v>
      </c>
      <c r="J573" s="416">
        <v>26525.88</v>
      </c>
      <c r="K573" s="416">
        <v>0</v>
      </c>
      <c r="L573" s="416">
        <v>26525.88</v>
      </c>
      <c r="N573" s="302"/>
    </row>
    <row r="574" spans="3:14" ht="15" customHeight="1" x14ac:dyDescent="0.3">
      <c r="C574" s="413" t="s">
        <v>4865</v>
      </c>
      <c r="D574" s="414" t="s">
        <v>3614</v>
      </c>
      <c r="E574" s="421">
        <v>0</v>
      </c>
      <c r="F574" s="421">
        <v>27061.200000000001</v>
      </c>
      <c r="G574" s="421">
        <v>0</v>
      </c>
      <c r="H574" s="421">
        <v>27061.200000000001</v>
      </c>
      <c r="I574" s="415">
        <v>0</v>
      </c>
      <c r="J574" s="416">
        <v>27061.200000000001</v>
      </c>
      <c r="K574" s="416">
        <v>0</v>
      </c>
      <c r="L574" s="416">
        <v>27061.200000000001</v>
      </c>
      <c r="N574" s="302"/>
    </row>
    <row r="575" spans="3:14" ht="15" customHeight="1" x14ac:dyDescent="0.3">
      <c r="C575" s="413" t="s">
        <v>4866</v>
      </c>
      <c r="D575" s="414" t="s">
        <v>3615</v>
      </c>
      <c r="E575" s="421"/>
      <c r="F575" s="421"/>
      <c r="G575" s="421"/>
      <c r="H575" s="421"/>
      <c r="I575" s="415"/>
      <c r="J575" s="416"/>
      <c r="K575" s="416"/>
      <c r="L575" s="416"/>
      <c r="N575" s="302"/>
    </row>
    <row r="576" spans="3:14" ht="15" customHeight="1" x14ac:dyDescent="0.3">
      <c r="C576" s="413" t="s">
        <v>4867</v>
      </c>
      <c r="D576" s="414" t="s">
        <v>1814</v>
      </c>
      <c r="E576" s="421">
        <v>0</v>
      </c>
      <c r="F576" s="421">
        <v>43664.3</v>
      </c>
      <c r="G576" s="421">
        <v>0</v>
      </c>
      <c r="H576" s="421">
        <v>43664.3</v>
      </c>
      <c r="I576" s="415">
        <v>0</v>
      </c>
      <c r="J576" s="416">
        <v>43664.3</v>
      </c>
      <c r="K576" s="416">
        <v>0</v>
      </c>
      <c r="L576" s="416">
        <v>43664.3</v>
      </c>
      <c r="N576" s="302"/>
    </row>
    <row r="577" spans="3:14" ht="15" customHeight="1" x14ac:dyDescent="0.3">
      <c r="C577" s="413" t="s">
        <v>4868</v>
      </c>
      <c r="D577" s="414" t="s">
        <v>1817</v>
      </c>
      <c r="E577" s="421">
        <v>0</v>
      </c>
      <c r="F577" s="421">
        <v>411350.69</v>
      </c>
      <c r="G577" s="421">
        <v>75191.48</v>
      </c>
      <c r="H577" s="421">
        <v>336159.21</v>
      </c>
      <c r="I577" s="415">
        <v>0</v>
      </c>
      <c r="J577" s="416">
        <v>411350.69</v>
      </c>
      <c r="K577" s="416">
        <v>75191.48</v>
      </c>
      <c r="L577" s="416">
        <v>336159.21</v>
      </c>
      <c r="N577" s="302"/>
    </row>
    <row r="578" spans="3:14" ht="15" customHeight="1" x14ac:dyDescent="0.3">
      <c r="C578" s="413" t="s">
        <v>4869</v>
      </c>
      <c r="D578" s="414" t="s">
        <v>3616</v>
      </c>
      <c r="E578" s="421">
        <v>0</v>
      </c>
      <c r="F578" s="421">
        <v>134.72</v>
      </c>
      <c r="G578" s="421">
        <v>0</v>
      </c>
      <c r="H578" s="421">
        <v>134.72</v>
      </c>
      <c r="I578" s="415">
        <v>0</v>
      </c>
      <c r="J578" s="416">
        <v>134.72</v>
      </c>
      <c r="K578" s="416">
        <v>0</v>
      </c>
      <c r="L578" s="416">
        <v>134.72</v>
      </c>
      <c r="N578" s="302"/>
    </row>
    <row r="579" spans="3:14" ht="15" customHeight="1" x14ac:dyDescent="0.3">
      <c r="C579" s="413" t="s">
        <v>4870</v>
      </c>
      <c r="D579" s="414" t="s">
        <v>3617</v>
      </c>
      <c r="E579" s="421">
        <v>0</v>
      </c>
      <c r="F579" s="421">
        <v>52561.63</v>
      </c>
      <c r="G579" s="421">
        <v>0</v>
      </c>
      <c r="H579" s="421">
        <v>52561.63</v>
      </c>
      <c r="I579" s="415">
        <v>0</v>
      </c>
      <c r="J579" s="416">
        <v>52561.63</v>
      </c>
      <c r="K579" s="416">
        <v>0</v>
      </c>
      <c r="L579" s="416">
        <v>52561.63</v>
      </c>
      <c r="N579" s="302"/>
    </row>
    <row r="580" spans="3:14" ht="15" customHeight="1" x14ac:dyDescent="0.3">
      <c r="C580" s="413" t="s">
        <v>4871</v>
      </c>
      <c r="D580" s="414" t="s">
        <v>1825</v>
      </c>
      <c r="E580" s="421">
        <v>0</v>
      </c>
      <c r="F580" s="421">
        <v>53493.43</v>
      </c>
      <c r="G580" s="421">
        <v>0</v>
      </c>
      <c r="H580" s="421">
        <v>53493.43</v>
      </c>
      <c r="I580" s="415">
        <v>0</v>
      </c>
      <c r="J580" s="416">
        <v>53493.43</v>
      </c>
      <c r="K580" s="416">
        <v>0</v>
      </c>
      <c r="L580" s="416">
        <v>53493.43</v>
      </c>
      <c r="N580" s="302"/>
    </row>
    <row r="581" spans="3:14" ht="15" customHeight="1" x14ac:dyDescent="0.3">
      <c r="C581" s="413" t="s">
        <v>4872</v>
      </c>
      <c r="D581" s="414" t="s">
        <v>3618</v>
      </c>
      <c r="E581" s="421"/>
      <c r="F581" s="421"/>
      <c r="G581" s="421"/>
      <c r="H581" s="421"/>
      <c r="I581" s="415"/>
      <c r="J581" s="416"/>
      <c r="K581" s="416"/>
      <c r="L581" s="416"/>
      <c r="N581" s="302"/>
    </row>
    <row r="582" spans="3:14" ht="15" customHeight="1" x14ac:dyDescent="0.3">
      <c r="C582" s="413" t="s">
        <v>4873</v>
      </c>
      <c r="D582" s="414" t="s">
        <v>3619</v>
      </c>
      <c r="E582" s="421">
        <v>0</v>
      </c>
      <c r="F582" s="421">
        <v>4362</v>
      </c>
      <c r="G582" s="421">
        <v>0</v>
      </c>
      <c r="H582" s="421">
        <v>4362</v>
      </c>
      <c r="I582" s="415">
        <v>0</v>
      </c>
      <c r="J582" s="416">
        <v>4362</v>
      </c>
      <c r="K582" s="416">
        <v>0</v>
      </c>
      <c r="L582" s="416">
        <v>4362</v>
      </c>
      <c r="N582" s="302"/>
    </row>
    <row r="583" spans="3:14" ht="15" customHeight="1" x14ac:dyDescent="0.3">
      <c r="C583" s="413" t="s">
        <v>4874</v>
      </c>
      <c r="D583" s="414" t="s">
        <v>1834</v>
      </c>
      <c r="E583" s="421">
        <v>0</v>
      </c>
      <c r="F583" s="421">
        <v>9045</v>
      </c>
      <c r="G583" s="421">
        <v>0</v>
      </c>
      <c r="H583" s="421">
        <v>9045</v>
      </c>
      <c r="I583" s="415">
        <v>0</v>
      </c>
      <c r="J583" s="416">
        <v>9045</v>
      </c>
      <c r="K583" s="416">
        <v>0</v>
      </c>
      <c r="L583" s="416">
        <v>9045</v>
      </c>
      <c r="N583" s="302"/>
    </row>
    <row r="584" spans="3:14" ht="15" customHeight="1" x14ac:dyDescent="0.3">
      <c r="C584" s="413" t="s">
        <v>4875</v>
      </c>
      <c r="D584" s="414" t="s">
        <v>1837</v>
      </c>
      <c r="E584" s="421">
        <v>0</v>
      </c>
      <c r="F584" s="421">
        <v>5439.29</v>
      </c>
      <c r="G584" s="421">
        <v>0</v>
      </c>
      <c r="H584" s="421">
        <v>5439.29</v>
      </c>
      <c r="I584" s="415">
        <v>0</v>
      </c>
      <c r="J584" s="416">
        <v>5439.29</v>
      </c>
      <c r="K584" s="416">
        <v>0</v>
      </c>
      <c r="L584" s="416">
        <v>5439.29</v>
      </c>
      <c r="N584" s="302"/>
    </row>
    <row r="585" spans="3:14" ht="15" customHeight="1" x14ac:dyDescent="0.3">
      <c r="C585" s="413" t="s">
        <v>4876</v>
      </c>
      <c r="D585" s="414" t="s">
        <v>1840</v>
      </c>
      <c r="E585" s="421">
        <v>0</v>
      </c>
      <c r="F585" s="421">
        <v>13369.93</v>
      </c>
      <c r="G585" s="421">
        <v>0</v>
      </c>
      <c r="H585" s="421">
        <v>13369.93</v>
      </c>
      <c r="I585" s="415">
        <v>0</v>
      </c>
      <c r="J585" s="416">
        <v>13369.93</v>
      </c>
      <c r="K585" s="416">
        <v>0</v>
      </c>
      <c r="L585" s="416">
        <v>13369.93</v>
      </c>
      <c r="N585" s="302"/>
    </row>
    <row r="586" spans="3:14" ht="15" customHeight="1" x14ac:dyDescent="0.3">
      <c r="C586" s="413" t="s">
        <v>4877</v>
      </c>
      <c r="D586" s="414" t="s">
        <v>3620</v>
      </c>
      <c r="E586" s="421">
        <v>0</v>
      </c>
      <c r="F586" s="421">
        <v>33406.6</v>
      </c>
      <c r="G586" s="421">
        <v>0</v>
      </c>
      <c r="H586" s="421">
        <v>33406.6</v>
      </c>
      <c r="I586" s="415">
        <v>0</v>
      </c>
      <c r="J586" s="416">
        <v>33406.6</v>
      </c>
      <c r="K586" s="416">
        <v>0</v>
      </c>
      <c r="L586" s="416">
        <v>33406.6</v>
      </c>
      <c r="N586" s="302"/>
    </row>
    <row r="587" spans="3:14" ht="15" customHeight="1" x14ac:dyDescent="0.3">
      <c r="C587" s="413" t="s">
        <v>4878</v>
      </c>
      <c r="D587" s="414" t="s">
        <v>3621</v>
      </c>
      <c r="E587" s="421"/>
      <c r="F587" s="421"/>
      <c r="G587" s="421"/>
      <c r="H587" s="421"/>
      <c r="I587" s="415"/>
      <c r="J587" s="416"/>
      <c r="K587" s="416"/>
      <c r="L587" s="416"/>
      <c r="N587" s="302"/>
    </row>
    <row r="588" spans="3:14" ht="15" customHeight="1" x14ac:dyDescent="0.3">
      <c r="C588" s="413" t="s">
        <v>4879</v>
      </c>
      <c r="D588" s="414" t="s">
        <v>1843</v>
      </c>
      <c r="E588" s="421">
        <v>0</v>
      </c>
      <c r="F588" s="421">
        <v>110355.09</v>
      </c>
      <c r="G588" s="421">
        <v>0</v>
      </c>
      <c r="H588" s="421">
        <v>110355.09</v>
      </c>
      <c r="I588" s="415">
        <v>0</v>
      </c>
      <c r="J588" s="416">
        <v>110355.09</v>
      </c>
      <c r="K588" s="416">
        <v>0</v>
      </c>
      <c r="L588" s="416">
        <v>110355.09</v>
      </c>
      <c r="N588" s="302"/>
    </row>
    <row r="589" spans="3:14" ht="15" customHeight="1" x14ac:dyDescent="0.3">
      <c r="C589" s="413" t="s">
        <v>4880</v>
      </c>
      <c r="D589" s="414" t="s">
        <v>3622</v>
      </c>
      <c r="E589" s="421">
        <v>0</v>
      </c>
      <c r="F589" s="421">
        <v>5007967.34</v>
      </c>
      <c r="G589" s="421">
        <v>1222191.47</v>
      </c>
      <c r="H589" s="421">
        <v>3785775.87</v>
      </c>
      <c r="I589" s="415">
        <v>0</v>
      </c>
      <c r="J589" s="416">
        <v>5007967.34</v>
      </c>
      <c r="K589" s="416">
        <v>1222191.47</v>
      </c>
      <c r="L589" s="416">
        <v>3785775.87</v>
      </c>
      <c r="N589" s="302"/>
    </row>
    <row r="590" spans="3:14" ht="15" customHeight="1" x14ac:dyDescent="0.3">
      <c r="C590" s="413" t="s">
        <v>4881</v>
      </c>
      <c r="D590" s="414" t="s">
        <v>3623</v>
      </c>
      <c r="E590" s="421">
        <v>0</v>
      </c>
      <c r="F590" s="421">
        <v>67337.05</v>
      </c>
      <c r="G590" s="421">
        <v>0</v>
      </c>
      <c r="H590" s="421">
        <v>67337.05</v>
      </c>
      <c r="I590" s="415">
        <v>0</v>
      </c>
      <c r="J590" s="416">
        <v>67337.05</v>
      </c>
      <c r="K590" s="416">
        <v>0</v>
      </c>
      <c r="L590" s="416">
        <v>67337.05</v>
      </c>
      <c r="N590" s="302"/>
    </row>
    <row r="591" spans="3:14" ht="15" customHeight="1" x14ac:dyDescent="0.3">
      <c r="C591" s="413" t="s">
        <v>4882</v>
      </c>
      <c r="D591" s="414" t="s">
        <v>1849</v>
      </c>
      <c r="E591" s="421">
        <v>0</v>
      </c>
      <c r="F591" s="421">
        <v>24887.989999999998</v>
      </c>
      <c r="G591" s="421">
        <v>0</v>
      </c>
      <c r="H591" s="421">
        <v>24887.99</v>
      </c>
      <c r="I591" s="415">
        <v>0</v>
      </c>
      <c r="J591" s="416">
        <v>24887.989999999998</v>
      </c>
      <c r="K591" s="416">
        <v>0</v>
      </c>
      <c r="L591" s="416">
        <v>24887.99</v>
      </c>
      <c r="N591" s="302"/>
    </row>
    <row r="592" spans="3:14" ht="15" customHeight="1" x14ac:dyDescent="0.3">
      <c r="C592" s="413" t="s">
        <v>4883</v>
      </c>
      <c r="D592" s="414" t="s">
        <v>1852</v>
      </c>
      <c r="E592" s="421">
        <v>0</v>
      </c>
      <c r="F592" s="421">
        <v>132761.85999999999</v>
      </c>
      <c r="G592" s="421">
        <v>0</v>
      </c>
      <c r="H592" s="421">
        <v>132761.85999999999</v>
      </c>
      <c r="I592" s="415">
        <v>0</v>
      </c>
      <c r="J592" s="416">
        <v>132761.85999999999</v>
      </c>
      <c r="K592" s="416">
        <v>0</v>
      </c>
      <c r="L592" s="416">
        <v>132761.85999999999</v>
      </c>
      <c r="N592" s="302"/>
    </row>
    <row r="593" spans="3:14" ht="15" customHeight="1" x14ac:dyDescent="0.3">
      <c r="C593" s="413" t="s">
        <v>4884</v>
      </c>
      <c r="D593" s="414" t="s">
        <v>3624</v>
      </c>
      <c r="E593" s="421">
        <v>0</v>
      </c>
      <c r="F593" s="421">
        <v>13158.88</v>
      </c>
      <c r="G593" s="421">
        <v>0</v>
      </c>
      <c r="H593" s="421">
        <v>13158.88</v>
      </c>
      <c r="I593" s="415">
        <v>0</v>
      </c>
      <c r="J593" s="416">
        <v>13158.88</v>
      </c>
      <c r="K593" s="416">
        <v>0</v>
      </c>
      <c r="L593" s="416">
        <v>13158.88</v>
      </c>
      <c r="N593" s="302"/>
    </row>
    <row r="594" spans="3:14" ht="15" customHeight="1" x14ac:dyDescent="0.3">
      <c r="C594" s="413" t="s">
        <v>4885</v>
      </c>
      <c r="D594" s="414" t="s">
        <v>3625</v>
      </c>
      <c r="E594" s="421">
        <v>0</v>
      </c>
      <c r="F594" s="421">
        <v>2477</v>
      </c>
      <c r="G594" s="421">
        <v>0</v>
      </c>
      <c r="H594" s="421">
        <v>2477</v>
      </c>
      <c r="I594" s="415">
        <v>0</v>
      </c>
      <c r="J594" s="416">
        <v>2477</v>
      </c>
      <c r="K594" s="416">
        <v>0</v>
      </c>
      <c r="L594" s="416">
        <v>2477</v>
      </c>
      <c r="N594" s="302"/>
    </row>
    <row r="595" spans="3:14" ht="15" customHeight="1" x14ac:dyDescent="0.3">
      <c r="C595" s="413" t="s">
        <v>4886</v>
      </c>
      <c r="D595" s="414" t="s">
        <v>3626</v>
      </c>
      <c r="E595" s="421">
        <v>0</v>
      </c>
      <c r="F595" s="421">
        <v>1569916.4</v>
      </c>
      <c r="G595" s="421">
        <v>0</v>
      </c>
      <c r="H595" s="421">
        <v>1569916.4</v>
      </c>
      <c r="I595" s="415">
        <v>0</v>
      </c>
      <c r="J595" s="416">
        <v>1569916.4</v>
      </c>
      <c r="K595" s="416">
        <v>0</v>
      </c>
      <c r="L595" s="416">
        <v>1569916.4</v>
      </c>
      <c r="N595" s="302"/>
    </row>
    <row r="596" spans="3:14" ht="15" customHeight="1" x14ac:dyDescent="0.3">
      <c r="C596" s="413" t="s">
        <v>4887</v>
      </c>
      <c r="D596" s="414" t="s">
        <v>3627</v>
      </c>
      <c r="E596" s="421">
        <v>0</v>
      </c>
      <c r="F596" s="421">
        <v>362277.03</v>
      </c>
      <c r="G596" s="421">
        <v>0</v>
      </c>
      <c r="H596" s="421">
        <v>362277.03</v>
      </c>
      <c r="I596" s="415">
        <v>0</v>
      </c>
      <c r="J596" s="416">
        <v>362277.03</v>
      </c>
      <c r="K596" s="416">
        <v>0</v>
      </c>
      <c r="L596" s="416">
        <v>362277.03</v>
      </c>
      <c r="N596" s="302"/>
    </row>
    <row r="597" spans="3:14" ht="15" customHeight="1" x14ac:dyDescent="0.3">
      <c r="C597" s="310" t="s">
        <v>4888</v>
      </c>
      <c r="D597" s="311" t="s">
        <v>3628</v>
      </c>
      <c r="E597" s="421">
        <v>0</v>
      </c>
      <c r="F597" s="421">
        <v>343258.95</v>
      </c>
      <c r="G597" s="421">
        <v>0</v>
      </c>
      <c r="H597" s="421">
        <v>343258.95</v>
      </c>
      <c r="I597" s="312">
        <v>0</v>
      </c>
      <c r="J597" s="313">
        <v>343258.95</v>
      </c>
      <c r="K597" s="313">
        <v>0</v>
      </c>
      <c r="L597" s="313">
        <v>343258.95</v>
      </c>
      <c r="N597" s="302" t="s">
        <v>3629</v>
      </c>
    </row>
    <row r="598" spans="3:14" ht="15" customHeight="1" x14ac:dyDescent="0.3">
      <c r="C598" s="314" t="s">
        <v>4889</v>
      </c>
      <c r="D598" s="315" t="s">
        <v>1865</v>
      </c>
      <c r="E598" s="421">
        <v>0</v>
      </c>
      <c r="F598" s="421">
        <v>7716.97</v>
      </c>
      <c r="G598" s="421">
        <v>0</v>
      </c>
      <c r="H598" s="421">
        <v>7716.97</v>
      </c>
      <c r="I598" s="329">
        <v>0</v>
      </c>
      <c r="J598" s="317">
        <v>7716.97</v>
      </c>
      <c r="K598" s="317">
        <v>0</v>
      </c>
      <c r="L598" s="317">
        <v>7716.97</v>
      </c>
      <c r="N598" s="302"/>
    </row>
    <row r="599" spans="3:14" ht="15" customHeight="1" x14ac:dyDescent="0.3">
      <c r="C599" s="314" t="s">
        <v>4890</v>
      </c>
      <c r="D599" s="315" t="s">
        <v>1868</v>
      </c>
      <c r="E599" s="421">
        <v>0</v>
      </c>
      <c r="F599" s="421">
        <v>2548.66</v>
      </c>
      <c r="G599" s="421">
        <v>0</v>
      </c>
      <c r="H599" s="421">
        <v>2548.66</v>
      </c>
      <c r="I599" s="316">
        <v>0</v>
      </c>
      <c r="J599" s="317">
        <v>2548.66</v>
      </c>
      <c r="K599" s="317">
        <v>0</v>
      </c>
      <c r="L599" s="317">
        <v>2548.66</v>
      </c>
      <c r="N599" s="302"/>
    </row>
    <row r="600" spans="3:14" ht="15" customHeight="1" x14ac:dyDescent="0.3">
      <c r="C600" s="314" t="s">
        <v>4891</v>
      </c>
      <c r="D600" s="314" t="s">
        <v>1877</v>
      </c>
      <c r="E600" s="421">
        <v>0</v>
      </c>
      <c r="F600" s="421">
        <v>306001.65999999997</v>
      </c>
      <c r="G600" s="421">
        <v>0</v>
      </c>
      <c r="H600" s="421">
        <v>306001.65999999997</v>
      </c>
      <c r="I600" s="316">
        <v>0</v>
      </c>
      <c r="J600" s="317">
        <v>306001.65999999997</v>
      </c>
      <c r="K600" s="317">
        <v>0</v>
      </c>
      <c r="L600" s="317">
        <v>306001.65999999997</v>
      </c>
      <c r="N600" s="302"/>
    </row>
    <row r="601" spans="3:14" ht="15" customHeight="1" x14ac:dyDescent="0.3">
      <c r="C601" s="314" t="s">
        <v>4892</v>
      </c>
      <c r="D601" s="314" t="s">
        <v>1874</v>
      </c>
      <c r="E601" s="421"/>
      <c r="F601" s="421"/>
      <c r="G601" s="421"/>
      <c r="H601" s="421"/>
      <c r="J601" s="317"/>
      <c r="K601" s="317"/>
      <c r="L601" s="317"/>
      <c r="N601" s="302"/>
    </row>
    <row r="602" spans="3:14" ht="15" customHeight="1" x14ac:dyDescent="0.3">
      <c r="C602" s="314" t="s">
        <v>4893</v>
      </c>
      <c r="D602" s="314" t="s">
        <v>3630</v>
      </c>
      <c r="E602" s="421"/>
      <c r="F602" s="421"/>
      <c r="G602" s="421"/>
      <c r="H602" s="421"/>
      <c r="J602" s="317"/>
      <c r="K602" s="317"/>
      <c r="L602" s="317"/>
      <c r="N602" s="302"/>
    </row>
    <row r="603" spans="3:14" ht="15" customHeight="1" x14ac:dyDescent="0.3">
      <c r="C603" s="401" t="s">
        <v>4894</v>
      </c>
      <c r="D603" s="402" t="s">
        <v>3631</v>
      </c>
      <c r="E603" s="421">
        <v>0</v>
      </c>
      <c r="F603" s="421">
        <v>41646.160000000003</v>
      </c>
      <c r="G603" s="421">
        <v>0</v>
      </c>
      <c r="H603" s="421">
        <v>41646.160000000003</v>
      </c>
      <c r="I603" s="403">
        <v>0</v>
      </c>
      <c r="J603" s="400">
        <v>41646.160000000003</v>
      </c>
      <c r="K603" s="400">
        <v>0</v>
      </c>
      <c r="L603" s="400">
        <v>41646.160000000003</v>
      </c>
      <c r="N603" s="302">
        <v>24</v>
      </c>
    </row>
    <row r="604" spans="3:14" ht="15" customHeight="1" x14ac:dyDescent="0.3">
      <c r="C604" s="404" t="s">
        <v>4895</v>
      </c>
      <c r="D604" s="405" t="s">
        <v>3632</v>
      </c>
      <c r="E604" s="421">
        <v>0</v>
      </c>
      <c r="F604" s="421">
        <v>41100.800000000003</v>
      </c>
      <c r="G604" s="421">
        <v>0</v>
      </c>
      <c r="H604" s="421">
        <v>41100.800000000003</v>
      </c>
      <c r="I604" s="406">
        <v>0</v>
      </c>
      <c r="J604" s="407">
        <v>41100.800000000003</v>
      </c>
      <c r="K604" s="407">
        <v>0</v>
      </c>
      <c r="L604" s="407">
        <v>41100.800000000003</v>
      </c>
      <c r="N604" s="302"/>
    </row>
    <row r="605" spans="3:14" ht="15" customHeight="1" x14ac:dyDescent="0.3">
      <c r="C605" s="404" t="s">
        <v>4896</v>
      </c>
      <c r="D605" s="405" t="s">
        <v>3633</v>
      </c>
      <c r="E605" s="421">
        <v>0</v>
      </c>
      <c r="F605" s="421">
        <v>545.36</v>
      </c>
      <c r="G605" s="421">
        <v>0</v>
      </c>
      <c r="H605" s="421">
        <v>545.36</v>
      </c>
      <c r="I605" s="406">
        <v>0</v>
      </c>
      <c r="J605" s="407">
        <v>545.36</v>
      </c>
      <c r="K605" s="407">
        <v>0</v>
      </c>
      <c r="L605" s="407">
        <v>545.36</v>
      </c>
      <c r="N605" s="302"/>
    </row>
    <row r="606" spans="3:14" ht="15" customHeight="1" x14ac:dyDescent="0.3">
      <c r="C606" s="401" t="s">
        <v>4897</v>
      </c>
      <c r="D606" s="402" t="s">
        <v>1880</v>
      </c>
      <c r="E606" s="421">
        <v>0</v>
      </c>
      <c r="F606" s="421">
        <v>360139.07</v>
      </c>
      <c r="G606" s="421">
        <v>2588.6799999999998</v>
      </c>
      <c r="H606" s="421">
        <v>357550.39</v>
      </c>
      <c r="I606" s="403">
        <v>0</v>
      </c>
      <c r="J606" s="400">
        <v>360139.07</v>
      </c>
      <c r="K606" s="400">
        <v>2588.6799999999998</v>
      </c>
      <c r="L606" s="400">
        <v>357550.39</v>
      </c>
      <c r="N606" s="302">
        <v>24</v>
      </c>
    </row>
    <row r="607" spans="3:14" ht="15" customHeight="1" x14ac:dyDescent="0.3">
      <c r="C607" s="404" t="s">
        <v>4898</v>
      </c>
      <c r="D607" s="405" t="s">
        <v>3634</v>
      </c>
      <c r="E607" s="421"/>
      <c r="F607" s="421"/>
      <c r="G607" s="421"/>
      <c r="H607" s="421"/>
      <c r="I607" s="406"/>
      <c r="J607" s="407"/>
      <c r="K607" s="407"/>
      <c r="L607" s="407"/>
      <c r="N607" s="302"/>
    </row>
    <row r="608" spans="3:14" ht="15" customHeight="1" x14ac:dyDescent="0.3">
      <c r="C608" s="404" t="s">
        <v>4899</v>
      </c>
      <c r="D608" s="405" t="s">
        <v>3635</v>
      </c>
      <c r="E608" s="421"/>
      <c r="F608" s="421"/>
      <c r="G608" s="421"/>
      <c r="H608" s="421"/>
      <c r="I608" s="406"/>
      <c r="J608" s="407"/>
      <c r="K608" s="407"/>
      <c r="L608" s="407"/>
      <c r="N608" s="302"/>
    </row>
    <row r="609" spans="3:14" ht="15" customHeight="1" x14ac:dyDescent="0.3">
      <c r="C609" s="404" t="s">
        <v>4900</v>
      </c>
      <c r="D609" s="405" t="s">
        <v>3636</v>
      </c>
      <c r="E609" s="421">
        <v>0</v>
      </c>
      <c r="F609" s="421">
        <v>33184.6</v>
      </c>
      <c r="G609" s="421">
        <v>0</v>
      </c>
      <c r="H609" s="421">
        <v>33184.6</v>
      </c>
      <c r="I609" s="406">
        <v>0</v>
      </c>
      <c r="J609" s="407">
        <v>33184.6</v>
      </c>
      <c r="K609" s="407">
        <v>0</v>
      </c>
      <c r="L609" s="407">
        <v>33184.6</v>
      </c>
      <c r="N609" s="302"/>
    </row>
    <row r="610" spans="3:14" ht="15" customHeight="1" x14ac:dyDescent="0.3">
      <c r="C610" s="404" t="s">
        <v>4901</v>
      </c>
      <c r="D610" s="405" t="s">
        <v>3637</v>
      </c>
      <c r="E610" s="421"/>
      <c r="F610" s="421"/>
      <c r="G610" s="421"/>
      <c r="H610" s="421"/>
      <c r="I610" s="406"/>
      <c r="J610" s="407"/>
      <c r="K610" s="407"/>
      <c r="L610" s="407"/>
      <c r="N610" s="302"/>
    </row>
    <row r="611" spans="3:14" ht="15" customHeight="1" x14ac:dyDescent="0.3">
      <c r="C611" s="404" t="s">
        <v>4902</v>
      </c>
      <c r="D611" s="405" t="s">
        <v>3638</v>
      </c>
      <c r="E611" s="421">
        <v>0</v>
      </c>
      <c r="F611" s="421">
        <v>18591.38</v>
      </c>
      <c r="G611" s="421">
        <v>0</v>
      </c>
      <c r="H611" s="421">
        <v>18591.38</v>
      </c>
      <c r="I611" s="406">
        <v>0</v>
      </c>
      <c r="J611" s="407">
        <v>18591.38</v>
      </c>
      <c r="K611" s="407">
        <v>0</v>
      </c>
      <c r="L611" s="407">
        <v>18591.38</v>
      </c>
      <c r="N611" s="302"/>
    </row>
    <row r="612" spans="3:14" ht="15" customHeight="1" x14ac:dyDescent="0.3">
      <c r="C612" s="404" t="s">
        <v>4903</v>
      </c>
      <c r="D612" s="405" t="s">
        <v>3639</v>
      </c>
      <c r="E612" s="421">
        <v>0</v>
      </c>
      <c r="F612" s="421">
        <v>2588.6799999999998</v>
      </c>
      <c r="G612" s="421">
        <v>2588.6799999999998</v>
      </c>
      <c r="H612" s="421">
        <v>0</v>
      </c>
      <c r="I612" s="406">
        <v>0</v>
      </c>
      <c r="J612" s="407">
        <v>2588.6799999999998</v>
      </c>
      <c r="K612" s="407">
        <v>2588.6799999999998</v>
      </c>
      <c r="L612" s="407">
        <v>0</v>
      </c>
      <c r="N612" s="302"/>
    </row>
    <row r="613" spans="3:14" ht="15" customHeight="1" x14ac:dyDescent="0.3">
      <c r="C613" s="404" t="s">
        <v>4904</v>
      </c>
      <c r="D613" s="404" t="s">
        <v>3640</v>
      </c>
      <c r="E613" s="421">
        <v>0</v>
      </c>
      <c r="F613" s="421">
        <v>305774.40999999997</v>
      </c>
      <c r="G613" s="421">
        <v>0</v>
      </c>
      <c r="H613" s="421">
        <v>305774.40999999997</v>
      </c>
      <c r="I613" s="408">
        <v>0</v>
      </c>
      <c r="J613" s="407">
        <v>305774.40999999997</v>
      </c>
      <c r="K613" s="407">
        <v>0</v>
      </c>
      <c r="L613" s="407">
        <v>305774.40999999997</v>
      </c>
      <c r="N613" s="302"/>
    </row>
    <row r="614" spans="3:14" ht="15" customHeight="1" x14ac:dyDescent="0.3">
      <c r="C614" s="404" t="s">
        <v>4905</v>
      </c>
      <c r="D614" s="404" t="s">
        <v>3641</v>
      </c>
      <c r="E614" s="421"/>
      <c r="F614" s="421"/>
      <c r="G614" s="421"/>
      <c r="H614" s="421"/>
      <c r="I614" s="408"/>
      <c r="J614" s="407"/>
      <c r="K614" s="407"/>
      <c r="L614" s="407"/>
      <c r="N614" s="302"/>
    </row>
    <row r="615" spans="3:14" ht="15" customHeight="1" x14ac:dyDescent="0.3">
      <c r="C615" s="409" t="s">
        <v>4906</v>
      </c>
      <c r="D615" s="410" t="s">
        <v>3642</v>
      </c>
      <c r="E615" s="421">
        <v>0</v>
      </c>
      <c r="F615" s="421">
        <v>25256.48</v>
      </c>
      <c r="G615" s="421">
        <v>0</v>
      </c>
      <c r="H615" s="421">
        <v>25256.48</v>
      </c>
      <c r="I615" s="411">
        <v>0</v>
      </c>
      <c r="J615" s="412">
        <v>25256.48</v>
      </c>
      <c r="K615" s="412">
        <v>0</v>
      </c>
      <c r="L615" s="412">
        <v>25256.48</v>
      </c>
      <c r="N615" s="302"/>
    </row>
    <row r="616" spans="3:14" ht="15" customHeight="1" x14ac:dyDescent="0.3">
      <c r="C616" s="409" t="s">
        <v>4907</v>
      </c>
      <c r="D616" s="410" t="s">
        <v>3643</v>
      </c>
      <c r="E616" s="421">
        <v>0</v>
      </c>
      <c r="F616" s="421">
        <v>25256.48</v>
      </c>
      <c r="G616" s="421">
        <v>0</v>
      </c>
      <c r="H616" s="421">
        <v>25256.48</v>
      </c>
      <c r="I616" s="411">
        <v>0</v>
      </c>
      <c r="J616" s="412">
        <v>25256.48</v>
      </c>
      <c r="K616" s="412">
        <v>0</v>
      </c>
      <c r="L616" s="412">
        <v>25256.48</v>
      </c>
      <c r="N616" s="302"/>
    </row>
    <row r="617" spans="3:14" ht="15" customHeight="1" x14ac:dyDescent="0.3">
      <c r="C617" s="413" t="s">
        <v>4908</v>
      </c>
      <c r="D617" s="414" t="s">
        <v>3644</v>
      </c>
      <c r="E617" s="421">
        <v>0</v>
      </c>
      <c r="F617" s="421">
        <v>25256.48</v>
      </c>
      <c r="G617" s="421">
        <v>0</v>
      </c>
      <c r="H617" s="421">
        <v>25256.48</v>
      </c>
      <c r="I617" s="415">
        <v>0</v>
      </c>
      <c r="J617" s="416">
        <v>25256.48</v>
      </c>
      <c r="K617" s="416">
        <v>0</v>
      </c>
      <c r="L617" s="416">
        <v>25256.48</v>
      </c>
      <c r="N617" s="302">
        <v>23</v>
      </c>
    </row>
    <row r="618" spans="3:14" ht="15" customHeight="1" x14ac:dyDescent="0.3">
      <c r="C618" s="310">
        <v>4</v>
      </c>
      <c r="D618" s="311" t="s">
        <v>3645</v>
      </c>
      <c r="E618" s="421">
        <v>0</v>
      </c>
      <c r="F618" s="421">
        <v>9952443.5399999991</v>
      </c>
      <c r="G618" s="421">
        <v>46138192.020000003</v>
      </c>
      <c r="H618" s="421">
        <v>-36185748.479999997</v>
      </c>
      <c r="I618" s="312">
        <v>0</v>
      </c>
      <c r="J618" s="313">
        <v>9952443.5399999991</v>
      </c>
      <c r="K618" s="313">
        <v>46138192.020000003</v>
      </c>
      <c r="L618" s="313">
        <v>-36185748.479999997</v>
      </c>
      <c r="N618" s="302"/>
    </row>
    <row r="619" spans="3:14" ht="15" customHeight="1" x14ac:dyDescent="0.3">
      <c r="C619" s="365" t="s">
        <v>4909</v>
      </c>
      <c r="D619" s="366" t="s">
        <v>3646</v>
      </c>
      <c r="E619" s="421">
        <v>0</v>
      </c>
      <c r="F619" s="421">
        <v>51957.42</v>
      </c>
      <c r="G619" s="421">
        <v>5940222.3200000003</v>
      </c>
      <c r="H619" s="421">
        <v>-5888264.9000000004</v>
      </c>
      <c r="I619" s="367">
        <v>0</v>
      </c>
      <c r="J619" s="356">
        <v>51957.42</v>
      </c>
      <c r="K619" s="356">
        <v>5940222.3200000003</v>
      </c>
      <c r="L619" s="356">
        <v>-5888264.9000000004</v>
      </c>
      <c r="N619" s="330" t="s">
        <v>3647</v>
      </c>
    </row>
    <row r="620" spans="3:14" ht="15" customHeight="1" x14ac:dyDescent="0.3">
      <c r="C620" s="365" t="s">
        <v>4910</v>
      </c>
      <c r="D620" s="366" t="s">
        <v>3648</v>
      </c>
      <c r="E620" s="421">
        <v>0</v>
      </c>
      <c r="F620" s="421">
        <v>51957.42</v>
      </c>
      <c r="G620" s="421">
        <v>5940222.3200000003</v>
      </c>
      <c r="H620" s="421">
        <v>-5888264.9000000004</v>
      </c>
      <c r="I620" s="367">
        <v>0</v>
      </c>
      <c r="J620" s="356">
        <v>51957.42</v>
      </c>
      <c r="K620" s="356">
        <v>5940222.3200000003</v>
      </c>
      <c r="L620" s="356">
        <v>-5888264.9000000004</v>
      </c>
      <c r="N620" s="302"/>
    </row>
    <row r="621" spans="3:14" ht="15" customHeight="1" x14ac:dyDescent="0.3">
      <c r="C621" s="365" t="s">
        <v>4911</v>
      </c>
      <c r="D621" s="366" t="s">
        <v>1909</v>
      </c>
      <c r="E621" s="421">
        <v>0</v>
      </c>
      <c r="F621" s="421">
        <v>51957.42</v>
      </c>
      <c r="G621" s="421">
        <v>5940222.3200000003</v>
      </c>
      <c r="H621" s="421">
        <v>-5888264.9000000004</v>
      </c>
      <c r="I621" s="367">
        <v>0</v>
      </c>
      <c r="J621" s="356">
        <v>51957.42</v>
      </c>
      <c r="K621" s="356">
        <v>5940222.3200000003</v>
      </c>
      <c r="L621" s="356">
        <v>-5888264.9000000004</v>
      </c>
      <c r="N621" s="302"/>
    </row>
    <row r="622" spans="3:14" ht="15" customHeight="1" x14ac:dyDescent="0.3">
      <c r="C622" s="369" t="s">
        <v>4912</v>
      </c>
      <c r="D622" s="370" t="s">
        <v>3649</v>
      </c>
      <c r="E622" s="421">
        <v>0</v>
      </c>
      <c r="F622" s="421">
        <v>51957.42</v>
      </c>
      <c r="G622" s="421">
        <v>5940222.3200000003</v>
      </c>
      <c r="H622" s="421">
        <v>-5888264.9000000004</v>
      </c>
      <c r="I622" s="371">
        <v>0</v>
      </c>
      <c r="J622" s="357">
        <v>51957.42</v>
      </c>
      <c r="K622" s="357">
        <v>5940222.3200000003</v>
      </c>
      <c r="L622" s="357">
        <v>-5888264.9000000004</v>
      </c>
      <c r="N622" s="302"/>
    </row>
    <row r="623" spans="3:14" ht="15" customHeight="1" x14ac:dyDescent="0.3">
      <c r="C623" s="369" t="s">
        <v>4913</v>
      </c>
      <c r="D623" s="370" t="s">
        <v>3650</v>
      </c>
      <c r="E623" s="421"/>
      <c r="F623" s="421"/>
      <c r="G623" s="421"/>
      <c r="H623" s="421"/>
      <c r="I623" s="373"/>
      <c r="J623" s="357"/>
      <c r="K623" s="357"/>
      <c r="L623" s="357"/>
      <c r="N623" s="302"/>
    </row>
    <row r="624" spans="3:14" ht="15" customHeight="1" x14ac:dyDescent="0.3">
      <c r="C624" s="310" t="s">
        <v>4914</v>
      </c>
      <c r="D624" s="311" t="s">
        <v>3651</v>
      </c>
      <c r="E624" s="421">
        <v>0</v>
      </c>
      <c r="F624" s="421">
        <v>9900486.1199999992</v>
      </c>
      <c r="G624" s="421">
        <v>40197969.700000003</v>
      </c>
      <c r="H624" s="421">
        <v>-30297483.579999998</v>
      </c>
      <c r="I624" s="312">
        <v>0</v>
      </c>
      <c r="J624" s="313">
        <v>9900486.1199999992</v>
      </c>
      <c r="K624" s="313">
        <v>40197969.700000003</v>
      </c>
      <c r="L624" s="313">
        <v>-30297483.579999998</v>
      </c>
      <c r="N624" s="302"/>
    </row>
    <row r="625" spans="3:17" ht="15" customHeight="1" x14ac:dyDescent="0.3">
      <c r="C625" s="374" t="s">
        <v>4915</v>
      </c>
      <c r="D625" s="375" t="s">
        <v>3652</v>
      </c>
      <c r="E625" s="421">
        <v>0</v>
      </c>
      <c r="F625" s="421">
        <v>0</v>
      </c>
      <c r="G625" s="421">
        <v>30000</v>
      </c>
      <c r="H625" s="421">
        <v>-30000</v>
      </c>
      <c r="I625" s="376">
        <v>0</v>
      </c>
      <c r="J625" s="377">
        <v>0</v>
      </c>
      <c r="K625" s="377">
        <v>30000</v>
      </c>
      <c r="L625" s="377">
        <v>-30000</v>
      </c>
      <c r="N625" s="302"/>
    </row>
    <row r="626" spans="3:17" ht="15" customHeight="1" x14ac:dyDescent="0.3">
      <c r="C626" s="374" t="s">
        <v>4916</v>
      </c>
      <c r="D626" s="375" t="s">
        <v>3653</v>
      </c>
      <c r="E626" s="421">
        <v>0</v>
      </c>
      <c r="F626" s="421">
        <v>0</v>
      </c>
      <c r="G626" s="421">
        <v>30000</v>
      </c>
      <c r="H626" s="421">
        <v>-30000</v>
      </c>
      <c r="I626" s="376">
        <v>0</v>
      </c>
      <c r="J626" s="377">
        <v>0</v>
      </c>
      <c r="K626" s="377">
        <v>30000</v>
      </c>
      <c r="L626" s="377">
        <v>-30000</v>
      </c>
      <c r="N626" s="302"/>
    </row>
    <row r="627" spans="3:17" ht="15" customHeight="1" x14ac:dyDescent="0.3">
      <c r="C627" s="378" t="s">
        <v>4917</v>
      </c>
      <c r="D627" s="379" t="s">
        <v>3654</v>
      </c>
      <c r="E627" s="421">
        <v>0</v>
      </c>
      <c r="F627" s="421">
        <v>0</v>
      </c>
      <c r="G627" s="421">
        <v>30000</v>
      </c>
      <c r="H627" s="421">
        <v>-30000</v>
      </c>
      <c r="I627" s="380">
        <v>0</v>
      </c>
      <c r="J627" s="381">
        <v>0</v>
      </c>
      <c r="K627" s="381">
        <v>30000</v>
      </c>
      <c r="L627" s="381">
        <v>-30000</v>
      </c>
      <c r="N627" s="330" t="s">
        <v>3655</v>
      </c>
    </row>
    <row r="628" spans="3:17" ht="15" customHeight="1" x14ac:dyDescent="0.3">
      <c r="C628" s="310" t="s">
        <v>4914</v>
      </c>
      <c r="D628" s="311" t="s">
        <v>3656</v>
      </c>
      <c r="E628" s="421">
        <v>0</v>
      </c>
      <c r="F628" s="421">
        <v>9900486.1199999992</v>
      </c>
      <c r="G628" s="421">
        <v>40197969.700000003</v>
      </c>
      <c r="H628" s="421">
        <v>-30297483.579999998</v>
      </c>
      <c r="I628" s="306">
        <v>0</v>
      </c>
      <c r="J628" s="313">
        <v>9900486.1199999992</v>
      </c>
      <c r="K628" s="313">
        <v>40197969.700000003</v>
      </c>
      <c r="L628" s="313">
        <v>-30297483.579999998</v>
      </c>
      <c r="N628" s="330"/>
    </row>
    <row r="629" spans="3:17" s="286" customFormat="1" ht="15" customHeight="1" x14ac:dyDescent="0.3">
      <c r="C629" s="331" t="s">
        <v>4918</v>
      </c>
      <c r="D629" s="305" t="s">
        <v>3657</v>
      </c>
      <c r="E629" s="421"/>
      <c r="F629" s="421"/>
      <c r="G629" s="421"/>
      <c r="H629" s="421"/>
      <c r="I629" s="306"/>
      <c r="J629" s="313"/>
      <c r="K629" s="313"/>
      <c r="L629" s="313"/>
      <c r="N629" s="321" t="s">
        <v>3578</v>
      </c>
      <c r="P629" s="298"/>
      <c r="Q629" s="298"/>
    </row>
    <row r="630" spans="3:17" s="286" customFormat="1" ht="15" customHeight="1" x14ac:dyDescent="0.3">
      <c r="C630" s="331" t="s">
        <v>4919</v>
      </c>
      <c r="D630" s="305" t="s">
        <v>3658</v>
      </c>
      <c r="E630" s="421"/>
      <c r="F630" s="421"/>
      <c r="G630" s="421"/>
      <c r="H630" s="421"/>
      <c r="I630" s="306"/>
      <c r="J630" s="313"/>
      <c r="K630" s="313"/>
      <c r="L630" s="313"/>
      <c r="N630" s="330" t="s">
        <v>3655</v>
      </c>
      <c r="P630" s="298"/>
      <c r="Q630" s="298"/>
    </row>
    <row r="631" spans="3:17" s="286" customFormat="1" ht="15" customHeight="1" x14ac:dyDescent="0.3">
      <c r="C631" s="327" t="s">
        <v>4920</v>
      </c>
      <c r="D631" s="328" t="s">
        <v>3659</v>
      </c>
      <c r="E631" s="421"/>
      <c r="F631" s="421"/>
      <c r="G631" s="421"/>
      <c r="H631" s="421"/>
      <c r="I631" s="332"/>
      <c r="J631" s="317"/>
      <c r="K631" s="317"/>
      <c r="L631" s="317"/>
      <c r="N631" s="321" t="s">
        <v>3578</v>
      </c>
      <c r="P631" s="298"/>
      <c r="Q631" s="298"/>
    </row>
    <row r="632" spans="3:17" s="286" customFormat="1" ht="15" customHeight="1" x14ac:dyDescent="0.3">
      <c r="C632" s="331" t="s">
        <v>4921</v>
      </c>
      <c r="D632" s="305" t="s">
        <v>3660</v>
      </c>
      <c r="E632" s="421"/>
      <c r="F632" s="421"/>
      <c r="G632" s="421"/>
      <c r="H632" s="421"/>
      <c r="I632" s="306"/>
      <c r="J632" s="313"/>
      <c r="K632" s="313"/>
      <c r="L632" s="313"/>
      <c r="N632" s="330" t="s">
        <v>3655</v>
      </c>
      <c r="P632" s="298"/>
      <c r="Q632" s="298"/>
    </row>
    <row r="633" spans="3:17" s="286" customFormat="1" ht="15" customHeight="1" x14ac:dyDescent="0.3">
      <c r="C633" s="331" t="s">
        <v>4922</v>
      </c>
      <c r="D633" s="305" t="s">
        <v>3661</v>
      </c>
      <c r="E633" s="421"/>
      <c r="F633" s="421"/>
      <c r="G633" s="421"/>
      <c r="H633" s="421"/>
      <c r="I633" s="306"/>
      <c r="J633" s="313"/>
      <c r="K633" s="313"/>
      <c r="L633" s="313"/>
      <c r="N633" s="321" t="s">
        <v>3578</v>
      </c>
      <c r="P633" s="298"/>
      <c r="Q633" s="298"/>
    </row>
    <row r="634" spans="3:17" s="286" customFormat="1" ht="15" customHeight="1" x14ac:dyDescent="0.3">
      <c r="C634" s="327" t="s">
        <v>4923</v>
      </c>
      <c r="D634" s="328" t="s">
        <v>1940</v>
      </c>
      <c r="E634" s="421"/>
      <c r="F634" s="421"/>
      <c r="G634" s="421"/>
      <c r="H634" s="421"/>
      <c r="I634" s="332"/>
      <c r="J634" s="317"/>
      <c r="K634" s="317"/>
      <c r="L634" s="317"/>
      <c r="N634" s="321" t="s">
        <v>3578</v>
      </c>
      <c r="P634" s="298"/>
      <c r="Q634" s="298"/>
    </row>
    <row r="635" spans="3:17" ht="15" customHeight="1" x14ac:dyDescent="0.3">
      <c r="C635" s="374" t="s">
        <v>4924</v>
      </c>
      <c r="D635" s="375" t="s">
        <v>3662</v>
      </c>
      <c r="E635" s="421">
        <v>0</v>
      </c>
      <c r="F635" s="421">
        <v>9893471.7200000007</v>
      </c>
      <c r="G635" s="421">
        <v>39102889</v>
      </c>
      <c r="H635" s="421">
        <v>-29209417.280000001</v>
      </c>
      <c r="I635" s="376">
        <v>0</v>
      </c>
      <c r="J635" s="377">
        <v>9893471.7200000007</v>
      </c>
      <c r="K635" s="377">
        <v>39102889</v>
      </c>
      <c r="L635" s="377">
        <v>-29209417.280000001</v>
      </c>
      <c r="N635" s="302"/>
    </row>
    <row r="636" spans="3:17" ht="15" customHeight="1" x14ac:dyDescent="0.3">
      <c r="C636" s="374" t="s">
        <v>4925</v>
      </c>
      <c r="D636" s="375" t="s">
        <v>3663</v>
      </c>
      <c r="E636" s="421">
        <v>0</v>
      </c>
      <c r="F636" s="421">
        <v>0</v>
      </c>
      <c r="G636" s="421">
        <v>464.15</v>
      </c>
      <c r="H636" s="421">
        <v>-464.15</v>
      </c>
      <c r="I636" s="376">
        <v>0</v>
      </c>
      <c r="J636" s="377">
        <v>0</v>
      </c>
      <c r="K636" s="377">
        <v>464.15</v>
      </c>
      <c r="L636" s="377">
        <v>-464.15</v>
      </c>
      <c r="N636" s="330" t="s">
        <v>3655</v>
      </c>
    </row>
    <row r="637" spans="3:17" ht="15" customHeight="1" x14ac:dyDescent="0.3">
      <c r="C637" s="378" t="s">
        <v>4926</v>
      </c>
      <c r="D637" s="379" t="s">
        <v>3664</v>
      </c>
      <c r="E637" s="421">
        <v>0</v>
      </c>
      <c r="F637" s="421">
        <v>0</v>
      </c>
      <c r="G637" s="421">
        <v>195.08</v>
      </c>
      <c r="H637" s="421">
        <v>-195.08</v>
      </c>
      <c r="I637" s="380">
        <v>0</v>
      </c>
      <c r="J637" s="381">
        <v>0</v>
      </c>
      <c r="K637" s="381">
        <v>195.08</v>
      </c>
      <c r="L637" s="381">
        <v>-195.08</v>
      </c>
      <c r="N637" s="302"/>
      <c r="P637" s="286"/>
      <c r="Q637" s="286"/>
    </row>
    <row r="638" spans="3:17" ht="15" customHeight="1" x14ac:dyDescent="0.3">
      <c r="C638" s="378" t="s">
        <v>4927</v>
      </c>
      <c r="D638" s="379" t="s">
        <v>3665</v>
      </c>
      <c r="E638" s="421">
        <v>0</v>
      </c>
      <c r="F638" s="421">
        <v>0</v>
      </c>
      <c r="G638" s="421">
        <v>269.07</v>
      </c>
      <c r="H638" s="421">
        <v>-269.07</v>
      </c>
      <c r="I638" s="380">
        <v>0</v>
      </c>
      <c r="J638" s="381">
        <v>0</v>
      </c>
      <c r="K638" s="381">
        <v>269.07</v>
      </c>
      <c r="L638" s="381">
        <v>-269.07</v>
      </c>
      <c r="N638" s="302"/>
      <c r="P638" s="286"/>
      <c r="Q638" s="286"/>
    </row>
    <row r="639" spans="3:17" ht="15" customHeight="1" x14ac:dyDescent="0.3">
      <c r="C639" s="374" t="s">
        <v>4928</v>
      </c>
      <c r="D639" s="375" t="s">
        <v>3666</v>
      </c>
      <c r="E639" s="421">
        <v>0</v>
      </c>
      <c r="F639" s="421">
        <v>9893471.7200000007</v>
      </c>
      <c r="G639" s="421">
        <v>39102424.850000001</v>
      </c>
      <c r="H639" s="421">
        <v>-29208953.129999999</v>
      </c>
      <c r="I639" s="376">
        <v>0</v>
      </c>
      <c r="J639" s="377">
        <v>9893471.7200000007</v>
      </c>
      <c r="K639" s="377">
        <v>39102424.850000001</v>
      </c>
      <c r="L639" s="377">
        <v>-29208953.129999999</v>
      </c>
      <c r="N639" s="330" t="s">
        <v>3655</v>
      </c>
      <c r="P639" s="286"/>
      <c r="Q639" s="286"/>
    </row>
    <row r="640" spans="3:17" ht="15" customHeight="1" x14ac:dyDescent="0.3">
      <c r="C640" s="378" t="s">
        <v>4929</v>
      </c>
      <c r="D640" s="379" t="s">
        <v>1953</v>
      </c>
      <c r="E640" s="421">
        <v>0</v>
      </c>
      <c r="F640" s="421">
        <v>9893471.7200000007</v>
      </c>
      <c r="G640" s="421">
        <v>39102424.850000001</v>
      </c>
      <c r="H640" s="421">
        <v>-29208953.129999999</v>
      </c>
      <c r="I640" s="380">
        <v>0</v>
      </c>
      <c r="J640" s="381">
        <v>9893471.7200000007</v>
      </c>
      <c r="K640" s="381">
        <v>39102424.850000001</v>
      </c>
      <c r="L640" s="381">
        <v>-29208953.129999999</v>
      </c>
      <c r="N640" s="302"/>
      <c r="P640" s="286"/>
      <c r="Q640" s="286"/>
    </row>
    <row r="641" spans="3:17" ht="15" customHeight="1" x14ac:dyDescent="0.3">
      <c r="C641" s="384" t="s">
        <v>4930</v>
      </c>
      <c r="D641" s="385" t="s">
        <v>3667</v>
      </c>
      <c r="E641" s="421">
        <v>0</v>
      </c>
      <c r="F641" s="421">
        <v>7014.4</v>
      </c>
      <c r="G641" s="421">
        <v>736031.69</v>
      </c>
      <c r="H641" s="421">
        <v>-729017.29</v>
      </c>
      <c r="I641" s="386">
        <v>0</v>
      </c>
      <c r="J641" s="387">
        <v>7014.4</v>
      </c>
      <c r="K641" s="387">
        <v>736031.69</v>
      </c>
      <c r="L641" s="387">
        <v>-729017.29</v>
      </c>
      <c r="N641" s="302" t="s">
        <v>3668</v>
      </c>
      <c r="P641" s="286"/>
      <c r="Q641" s="286"/>
    </row>
    <row r="642" spans="3:17" ht="15" customHeight="1" x14ac:dyDescent="0.3">
      <c r="C642" s="384" t="s">
        <v>4931</v>
      </c>
      <c r="D642" s="385" t="s">
        <v>3669</v>
      </c>
      <c r="E642" s="421">
        <v>0</v>
      </c>
      <c r="F642" s="421">
        <v>0</v>
      </c>
      <c r="G642" s="421">
        <v>383.33</v>
      </c>
      <c r="H642" s="421">
        <v>-383.33</v>
      </c>
      <c r="I642" s="386">
        <v>0</v>
      </c>
      <c r="J642" s="387">
        <v>0</v>
      </c>
      <c r="K642" s="387">
        <v>383.33</v>
      </c>
      <c r="L642" s="387">
        <v>-383.33</v>
      </c>
      <c r="N642" s="302"/>
      <c r="P642" s="286"/>
      <c r="Q642" s="286"/>
    </row>
    <row r="643" spans="3:17" ht="15" customHeight="1" x14ac:dyDescent="0.3">
      <c r="C643" s="323" t="s">
        <v>4932</v>
      </c>
      <c r="D643" s="324" t="s">
        <v>1961</v>
      </c>
      <c r="E643" s="421">
        <v>0</v>
      </c>
      <c r="F643" s="421">
        <v>0</v>
      </c>
      <c r="G643" s="421">
        <v>383.33</v>
      </c>
      <c r="H643" s="421">
        <v>-383.33</v>
      </c>
      <c r="I643" s="325">
        <v>0</v>
      </c>
      <c r="J643" s="326">
        <v>0</v>
      </c>
      <c r="K643" s="326">
        <v>383.33</v>
      </c>
      <c r="L643" s="326">
        <v>-383.33</v>
      </c>
      <c r="N643" s="302"/>
    </row>
    <row r="644" spans="3:17" ht="15" customHeight="1" x14ac:dyDescent="0.3">
      <c r="C644" s="384" t="s">
        <v>4933</v>
      </c>
      <c r="D644" s="385" t="s">
        <v>3670</v>
      </c>
      <c r="E644" s="421">
        <v>0</v>
      </c>
      <c r="F644" s="421">
        <v>7014.4</v>
      </c>
      <c r="G644" s="421">
        <v>735648.36</v>
      </c>
      <c r="H644" s="421">
        <v>-728633.96</v>
      </c>
      <c r="I644" s="386">
        <v>0</v>
      </c>
      <c r="J644" s="387">
        <v>7014.4</v>
      </c>
      <c r="K644" s="387">
        <v>735648.36</v>
      </c>
      <c r="L644" s="387">
        <v>-728633.96</v>
      </c>
      <c r="N644" s="302"/>
    </row>
    <row r="645" spans="3:17" ht="15" customHeight="1" x14ac:dyDescent="0.3">
      <c r="C645" s="323" t="s">
        <v>4934</v>
      </c>
      <c r="D645" s="324" t="s">
        <v>3671</v>
      </c>
      <c r="E645" s="421">
        <v>0</v>
      </c>
      <c r="F645" s="421">
        <v>0</v>
      </c>
      <c r="G645" s="421">
        <v>68.14</v>
      </c>
      <c r="H645" s="421">
        <v>-68.14</v>
      </c>
      <c r="I645" s="325">
        <v>0</v>
      </c>
      <c r="J645" s="326">
        <v>0</v>
      </c>
      <c r="K645" s="326">
        <v>68.14</v>
      </c>
      <c r="L645" s="326">
        <v>-68.14</v>
      </c>
      <c r="N645" s="302"/>
    </row>
    <row r="646" spans="3:17" ht="15" customHeight="1" x14ac:dyDescent="0.3">
      <c r="C646" s="323" t="s">
        <v>4935</v>
      </c>
      <c r="D646" s="324" t="s">
        <v>1967</v>
      </c>
      <c r="E646" s="421">
        <v>0</v>
      </c>
      <c r="F646" s="421">
        <v>0</v>
      </c>
      <c r="G646" s="421">
        <v>583766.35</v>
      </c>
      <c r="H646" s="421">
        <v>-583766.35</v>
      </c>
      <c r="I646" s="325">
        <v>0</v>
      </c>
      <c r="J646" s="326">
        <v>0</v>
      </c>
      <c r="K646" s="326">
        <v>583766.35</v>
      </c>
      <c r="L646" s="326">
        <v>-583766.35</v>
      </c>
      <c r="N646" s="302"/>
    </row>
    <row r="647" spans="3:17" ht="15" customHeight="1" x14ac:dyDescent="0.3">
      <c r="C647" s="323" t="s">
        <v>4936</v>
      </c>
      <c r="D647" s="324" t="s">
        <v>1971</v>
      </c>
      <c r="E647" s="421">
        <v>0</v>
      </c>
      <c r="F647" s="421">
        <v>0</v>
      </c>
      <c r="G647" s="421">
        <v>128103.77</v>
      </c>
      <c r="H647" s="421">
        <v>-128103.77</v>
      </c>
      <c r="I647" s="325">
        <v>0</v>
      </c>
      <c r="J647" s="326">
        <v>0</v>
      </c>
      <c r="K647" s="326">
        <v>128103.77</v>
      </c>
      <c r="L647" s="326">
        <v>-128103.77</v>
      </c>
      <c r="N647" s="302"/>
    </row>
    <row r="648" spans="3:17" ht="15" customHeight="1" x14ac:dyDescent="0.3">
      <c r="C648" s="323" t="s">
        <v>4937</v>
      </c>
      <c r="D648" s="324" t="s">
        <v>1974</v>
      </c>
      <c r="E648" s="421">
        <v>0</v>
      </c>
      <c r="F648" s="421">
        <v>0</v>
      </c>
      <c r="G648" s="421">
        <v>328.54</v>
      </c>
      <c r="H648" s="421">
        <v>-328.54</v>
      </c>
      <c r="I648" s="325">
        <v>0</v>
      </c>
      <c r="J648" s="326">
        <v>0</v>
      </c>
      <c r="K648" s="326">
        <v>328.54</v>
      </c>
      <c r="L648" s="326">
        <v>-328.54</v>
      </c>
      <c r="N648" s="302"/>
    </row>
    <row r="649" spans="3:17" ht="15" customHeight="1" x14ac:dyDescent="0.3">
      <c r="C649" s="323" t="s">
        <v>4938</v>
      </c>
      <c r="D649" s="324" t="s">
        <v>3672</v>
      </c>
      <c r="E649" s="421"/>
      <c r="F649" s="421"/>
      <c r="G649" s="421"/>
      <c r="H649" s="421"/>
      <c r="I649" s="325"/>
      <c r="J649" s="326"/>
      <c r="K649" s="326"/>
      <c r="L649" s="326"/>
      <c r="N649" s="302"/>
    </row>
    <row r="650" spans="3:17" ht="15" customHeight="1" x14ac:dyDescent="0.3">
      <c r="C650" s="323" t="s">
        <v>4939</v>
      </c>
      <c r="D650" s="323" t="s">
        <v>3673</v>
      </c>
      <c r="E650" s="421">
        <v>0</v>
      </c>
      <c r="F650" s="421">
        <v>7014.4</v>
      </c>
      <c r="G650" s="421">
        <v>23381.56</v>
      </c>
      <c r="H650" s="421">
        <v>-16367.16</v>
      </c>
      <c r="I650" s="388">
        <v>0</v>
      </c>
      <c r="J650" s="326">
        <v>7014.4</v>
      </c>
      <c r="K650" s="326">
        <v>23381.56</v>
      </c>
      <c r="L650" s="326">
        <v>-16367.16</v>
      </c>
      <c r="N650" s="302"/>
    </row>
    <row r="651" spans="3:17" ht="15" customHeight="1" x14ac:dyDescent="0.3">
      <c r="C651" s="374" t="s">
        <v>4940</v>
      </c>
      <c r="D651" s="374" t="s">
        <v>3674</v>
      </c>
      <c r="E651" s="421">
        <v>0</v>
      </c>
      <c r="F651" s="421">
        <v>0</v>
      </c>
      <c r="G651" s="421">
        <v>329049.01</v>
      </c>
      <c r="H651" s="421">
        <v>-329049.01</v>
      </c>
      <c r="I651" s="376">
        <v>0</v>
      </c>
      <c r="J651" s="382">
        <v>0</v>
      </c>
      <c r="K651" s="377">
        <v>329049.01</v>
      </c>
      <c r="L651" s="377">
        <v>-329049.01</v>
      </c>
      <c r="N651" s="302"/>
    </row>
    <row r="652" spans="3:17" ht="15" customHeight="1" x14ac:dyDescent="0.3">
      <c r="C652" s="374" t="s">
        <v>4941</v>
      </c>
      <c r="D652" s="374" t="s">
        <v>3675</v>
      </c>
      <c r="E652" s="421">
        <v>0</v>
      </c>
      <c r="F652" s="421">
        <v>0</v>
      </c>
      <c r="G652" s="421">
        <v>329049.01</v>
      </c>
      <c r="H652" s="421">
        <v>-329049.01</v>
      </c>
      <c r="I652" s="376">
        <v>0</v>
      </c>
      <c r="J652" s="382">
        <v>0</v>
      </c>
      <c r="K652" s="377">
        <v>329049.01</v>
      </c>
      <c r="L652" s="377">
        <v>-329049.01</v>
      </c>
      <c r="N652" s="330" t="s">
        <v>3655</v>
      </c>
    </row>
    <row r="653" spans="3:17" ht="15" customHeight="1" x14ac:dyDescent="0.3">
      <c r="C653" s="378" t="s">
        <v>4942</v>
      </c>
      <c r="D653" s="378" t="s">
        <v>3676</v>
      </c>
      <c r="E653" s="421">
        <v>0</v>
      </c>
      <c r="F653" s="421">
        <v>0</v>
      </c>
      <c r="G653" s="421">
        <v>329049.01</v>
      </c>
      <c r="H653" s="421">
        <v>-329049.01</v>
      </c>
      <c r="I653" s="380">
        <v>0</v>
      </c>
      <c r="J653" s="383">
        <v>0</v>
      </c>
      <c r="K653" s="381">
        <v>329049.01</v>
      </c>
      <c r="L653" s="381">
        <v>-329049.01</v>
      </c>
      <c r="N653" s="302"/>
    </row>
    <row r="654" spans="3:17" s="286" customFormat="1" ht="14.4" x14ac:dyDescent="0.3">
      <c r="C654" s="331" t="s">
        <v>4943</v>
      </c>
      <c r="D654" s="305" t="s">
        <v>3677</v>
      </c>
      <c r="E654" s="421"/>
      <c r="F654" s="421"/>
      <c r="G654" s="421"/>
      <c r="H654" s="421"/>
      <c r="I654" s="306"/>
      <c r="J654" s="313"/>
      <c r="K654" s="313"/>
      <c r="L654" s="313"/>
      <c r="N654" s="321" t="s">
        <v>3678</v>
      </c>
      <c r="P654" s="298"/>
      <c r="Q654" s="298"/>
    </row>
    <row r="655" spans="3:17" s="286" customFormat="1" ht="14.4" x14ac:dyDescent="0.3">
      <c r="C655" s="331" t="s">
        <v>4944</v>
      </c>
      <c r="D655" s="305" t="s">
        <v>3679</v>
      </c>
      <c r="E655" s="421"/>
      <c r="F655" s="421"/>
      <c r="G655" s="421"/>
      <c r="H655" s="421"/>
      <c r="I655" s="306"/>
      <c r="J655" s="313"/>
      <c r="K655" s="313"/>
      <c r="L655" s="313"/>
      <c r="N655" s="321" t="s">
        <v>3578</v>
      </c>
      <c r="P655" s="298"/>
      <c r="Q655" s="298"/>
    </row>
    <row r="656" spans="3:17" s="286" customFormat="1" ht="14.4" x14ac:dyDescent="0.3">
      <c r="C656" s="331" t="s">
        <v>4945</v>
      </c>
      <c r="D656" s="305" t="s">
        <v>3680</v>
      </c>
      <c r="E656" s="421"/>
      <c r="F656" s="421"/>
      <c r="G656" s="421"/>
      <c r="H656" s="421"/>
      <c r="I656" s="306"/>
      <c r="J656" s="313"/>
      <c r="K656" s="313"/>
      <c r="L656" s="313"/>
      <c r="N656" s="321" t="s">
        <v>3578</v>
      </c>
      <c r="P656" s="298"/>
      <c r="Q656" s="298"/>
    </row>
    <row r="657" spans="3:17" s="286" customFormat="1" ht="14.4" x14ac:dyDescent="0.3">
      <c r="C657" s="327" t="s">
        <v>4946</v>
      </c>
      <c r="D657" s="328" t="s">
        <v>3681</v>
      </c>
      <c r="E657" s="421"/>
      <c r="F657" s="421"/>
      <c r="G657" s="421"/>
      <c r="H657" s="421"/>
      <c r="I657" s="332"/>
      <c r="J657" s="317"/>
      <c r="K657" s="317"/>
      <c r="L657" s="317"/>
      <c r="N657" s="321" t="s">
        <v>3578</v>
      </c>
      <c r="P657" s="298"/>
      <c r="Q657" s="298"/>
    </row>
    <row r="658" spans="3:17" s="286" customFormat="1" ht="14.4" x14ac:dyDescent="0.3">
      <c r="C658" s="331" t="s">
        <v>4947</v>
      </c>
      <c r="D658" s="305" t="s">
        <v>1992</v>
      </c>
      <c r="E658" s="421"/>
      <c r="F658" s="421"/>
      <c r="G658" s="421"/>
      <c r="H658" s="421"/>
      <c r="I658" s="306"/>
      <c r="J658" s="313"/>
      <c r="K658" s="313"/>
      <c r="L658" s="313"/>
      <c r="N658" s="321" t="s">
        <v>3578</v>
      </c>
      <c r="P658" s="298"/>
      <c r="Q658" s="298"/>
    </row>
    <row r="659" spans="3:17" s="286" customFormat="1" ht="14.4" x14ac:dyDescent="0.3">
      <c r="C659" s="327" t="s">
        <v>4948</v>
      </c>
      <c r="D659" s="328" t="s">
        <v>1995</v>
      </c>
      <c r="E659" s="421"/>
      <c r="F659" s="421"/>
      <c r="G659" s="421"/>
      <c r="H659" s="421"/>
      <c r="I659" s="332"/>
      <c r="J659" s="317"/>
      <c r="K659" s="317"/>
      <c r="L659" s="317"/>
      <c r="N659" s="321" t="s">
        <v>3578</v>
      </c>
      <c r="P659" s="298"/>
      <c r="Q659" s="298"/>
    </row>
    <row r="660" spans="3:17" s="286" customFormat="1" ht="14.4" x14ac:dyDescent="0.3">
      <c r="C660" s="327" t="s">
        <v>4949</v>
      </c>
      <c r="D660" s="328" t="s">
        <v>1998</v>
      </c>
      <c r="E660" s="421"/>
      <c r="F660" s="421"/>
      <c r="G660" s="421"/>
      <c r="H660" s="421"/>
      <c r="I660" s="332"/>
      <c r="J660" s="317"/>
      <c r="K660" s="317"/>
      <c r="L660" s="317"/>
      <c r="N660" s="321" t="s">
        <v>3578</v>
      </c>
      <c r="P660" s="298"/>
      <c r="Q660" s="298"/>
    </row>
    <row r="661" spans="3:17" ht="15" customHeight="1" x14ac:dyDescent="0.3">
      <c r="C661" s="314" t="s">
        <v>2124</v>
      </c>
      <c r="D661" s="314" t="s">
        <v>2124</v>
      </c>
      <c r="E661" s="421">
        <v>0</v>
      </c>
      <c r="F661" s="421">
        <v>0</v>
      </c>
      <c r="G661" s="421">
        <v>0</v>
      </c>
      <c r="H661" s="421">
        <v>0</v>
      </c>
      <c r="N661" s="302"/>
    </row>
    <row r="662" spans="3:17" ht="15" customHeight="1" x14ac:dyDescent="0.3">
      <c r="P662" s="286"/>
      <c r="Q662" s="286"/>
    </row>
    <row r="663" spans="3:17" ht="15" customHeight="1" x14ac:dyDescent="0.3">
      <c r="P663" s="286"/>
      <c r="Q663" s="286"/>
    </row>
    <row r="664" spans="3:17" ht="15" customHeight="1" x14ac:dyDescent="0.3">
      <c r="P664" s="286"/>
      <c r="Q664" s="286"/>
    </row>
    <row r="665" spans="3:17" ht="15" customHeight="1" x14ac:dyDescent="0.3">
      <c r="P665" s="286"/>
      <c r="Q665" s="286"/>
    </row>
    <row r="666" spans="3:17" ht="15" customHeight="1" x14ac:dyDescent="0.3">
      <c r="P666" s="286"/>
      <c r="Q666" s="286"/>
    </row>
    <row r="667" spans="3:17" ht="15" customHeight="1" x14ac:dyDescent="0.3">
      <c r="P667" s="286"/>
      <c r="Q667" s="286"/>
    </row>
    <row r="668" spans="3:17" ht="15" customHeight="1" x14ac:dyDescent="0.3">
      <c r="P668" s="286"/>
      <c r="Q668" s="286"/>
    </row>
  </sheetData>
  <autoFilter ref="C11:N661" xr:uid="{85D438B0-6D37-4175-95BD-1D76DDF6A2A0}"/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46D87-DD4E-47FD-905B-77414C8BAE63}">
  <sheetPr>
    <tabColor rgb="FF00B050"/>
  </sheetPr>
  <dimension ref="B2:L692"/>
  <sheetViews>
    <sheetView topLeftCell="C526" workbookViewId="0">
      <selection activeCell="J543" sqref="J543:J548"/>
    </sheetView>
  </sheetViews>
  <sheetFormatPr defaultColWidth="6.88671875" defaultRowHeight="18" x14ac:dyDescent="0.3"/>
  <cols>
    <col min="1" max="1" width="9.109375" style="453" customWidth="1"/>
    <col min="2" max="2" width="17.33203125" style="453" customWidth="1"/>
    <col min="3" max="3" width="67.88671875" style="453" customWidth="1"/>
    <col min="4" max="4" width="18" style="463" customWidth="1"/>
    <col min="5" max="5" width="13.33203125" style="463" customWidth="1"/>
    <col min="6" max="6" width="15.44140625" style="463" customWidth="1"/>
    <col min="7" max="7" width="19.44140625" style="463" customWidth="1"/>
    <col min="8" max="8" width="16" style="458" bestFit="1" customWidth="1"/>
    <col min="9" max="9" width="9.88671875" style="458" customWidth="1"/>
    <col min="10" max="10" width="14" style="745" bestFit="1" customWidth="1"/>
    <col min="11" max="11" width="26" style="453" customWidth="1"/>
    <col min="12" max="12" width="15.88671875" style="453" customWidth="1"/>
    <col min="13" max="13" width="11.44140625" style="453" customWidth="1"/>
    <col min="14" max="256" width="6.88671875" style="453"/>
    <col min="257" max="257" width="9.109375" style="453" customWidth="1"/>
    <col min="258" max="258" width="17.33203125" style="453" customWidth="1"/>
    <col min="259" max="259" width="57.44140625" style="453" customWidth="1"/>
    <col min="260" max="260" width="18" style="453" customWidth="1"/>
    <col min="261" max="261" width="17.5546875" style="453" customWidth="1"/>
    <col min="262" max="262" width="19.109375" style="453" customWidth="1"/>
    <col min="263" max="263" width="19.44140625" style="453" customWidth="1"/>
    <col min="264" max="512" width="6.88671875" style="453"/>
    <col min="513" max="513" width="9.109375" style="453" customWidth="1"/>
    <col min="514" max="514" width="17.33203125" style="453" customWidth="1"/>
    <col min="515" max="515" width="57.44140625" style="453" customWidth="1"/>
    <col min="516" max="516" width="18" style="453" customWidth="1"/>
    <col min="517" max="517" width="17.5546875" style="453" customWidth="1"/>
    <col min="518" max="518" width="19.109375" style="453" customWidth="1"/>
    <col min="519" max="519" width="19.44140625" style="453" customWidth="1"/>
    <col min="520" max="768" width="6.88671875" style="453"/>
    <col min="769" max="769" width="9.109375" style="453" customWidth="1"/>
    <col min="770" max="770" width="17.33203125" style="453" customWidth="1"/>
    <col min="771" max="771" width="57.44140625" style="453" customWidth="1"/>
    <col min="772" max="772" width="18" style="453" customWidth="1"/>
    <col min="773" max="773" width="17.5546875" style="453" customWidth="1"/>
    <col min="774" max="774" width="19.109375" style="453" customWidth="1"/>
    <col min="775" max="775" width="19.44140625" style="453" customWidth="1"/>
    <col min="776" max="1024" width="6.88671875" style="453"/>
    <col min="1025" max="1025" width="9.109375" style="453" customWidth="1"/>
    <col min="1026" max="1026" width="17.33203125" style="453" customWidth="1"/>
    <col min="1027" max="1027" width="57.44140625" style="453" customWidth="1"/>
    <col min="1028" max="1028" width="18" style="453" customWidth="1"/>
    <col min="1029" max="1029" width="17.5546875" style="453" customWidth="1"/>
    <col min="1030" max="1030" width="19.109375" style="453" customWidth="1"/>
    <col min="1031" max="1031" width="19.44140625" style="453" customWidth="1"/>
    <col min="1032" max="1280" width="6.88671875" style="453"/>
    <col min="1281" max="1281" width="9.109375" style="453" customWidth="1"/>
    <col min="1282" max="1282" width="17.33203125" style="453" customWidth="1"/>
    <col min="1283" max="1283" width="57.44140625" style="453" customWidth="1"/>
    <col min="1284" max="1284" width="18" style="453" customWidth="1"/>
    <col min="1285" max="1285" width="17.5546875" style="453" customWidth="1"/>
    <col min="1286" max="1286" width="19.109375" style="453" customWidth="1"/>
    <col min="1287" max="1287" width="19.44140625" style="453" customWidth="1"/>
    <col min="1288" max="1536" width="6.88671875" style="453"/>
    <col min="1537" max="1537" width="9.109375" style="453" customWidth="1"/>
    <col min="1538" max="1538" width="17.33203125" style="453" customWidth="1"/>
    <col min="1539" max="1539" width="57.44140625" style="453" customWidth="1"/>
    <col min="1540" max="1540" width="18" style="453" customWidth="1"/>
    <col min="1541" max="1541" width="17.5546875" style="453" customWidth="1"/>
    <col min="1542" max="1542" width="19.109375" style="453" customWidth="1"/>
    <col min="1543" max="1543" width="19.44140625" style="453" customWidth="1"/>
    <col min="1544" max="1792" width="6.88671875" style="453"/>
    <col min="1793" max="1793" width="9.109375" style="453" customWidth="1"/>
    <col min="1794" max="1794" width="17.33203125" style="453" customWidth="1"/>
    <col min="1795" max="1795" width="57.44140625" style="453" customWidth="1"/>
    <col min="1796" max="1796" width="18" style="453" customWidth="1"/>
    <col min="1797" max="1797" width="17.5546875" style="453" customWidth="1"/>
    <col min="1798" max="1798" width="19.109375" style="453" customWidth="1"/>
    <col min="1799" max="1799" width="19.44140625" style="453" customWidth="1"/>
    <col min="1800" max="2048" width="6.88671875" style="453"/>
    <col min="2049" max="2049" width="9.109375" style="453" customWidth="1"/>
    <col min="2050" max="2050" width="17.33203125" style="453" customWidth="1"/>
    <col min="2051" max="2051" width="57.44140625" style="453" customWidth="1"/>
    <col min="2052" max="2052" width="18" style="453" customWidth="1"/>
    <col min="2053" max="2053" width="17.5546875" style="453" customWidth="1"/>
    <col min="2054" max="2054" width="19.109375" style="453" customWidth="1"/>
    <col min="2055" max="2055" width="19.44140625" style="453" customWidth="1"/>
    <col min="2056" max="2304" width="6.88671875" style="453"/>
    <col min="2305" max="2305" width="9.109375" style="453" customWidth="1"/>
    <col min="2306" max="2306" width="17.33203125" style="453" customWidth="1"/>
    <col min="2307" max="2307" width="57.44140625" style="453" customWidth="1"/>
    <col min="2308" max="2308" width="18" style="453" customWidth="1"/>
    <col min="2309" max="2309" width="17.5546875" style="453" customWidth="1"/>
    <col min="2310" max="2310" width="19.109375" style="453" customWidth="1"/>
    <col min="2311" max="2311" width="19.44140625" style="453" customWidth="1"/>
    <col min="2312" max="2560" width="6.88671875" style="453"/>
    <col min="2561" max="2561" width="9.109375" style="453" customWidth="1"/>
    <col min="2562" max="2562" width="17.33203125" style="453" customWidth="1"/>
    <col min="2563" max="2563" width="57.44140625" style="453" customWidth="1"/>
    <col min="2564" max="2564" width="18" style="453" customWidth="1"/>
    <col min="2565" max="2565" width="17.5546875" style="453" customWidth="1"/>
    <col min="2566" max="2566" width="19.109375" style="453" customWidth="1"/>
    <col min="2567" max="2567" width="19.44140625" style="453" customWidth="1"/>
    <col min="2568" max="2816" width="6.88671875" style="453"/>
    <col min="2817" max="2817" width="9.109375" style="453" customWidth="1"/>
    <col min="2818" max="2818" width="17.33203125" style="453" customWidth="1"/>
    <col min="2819" max="2819" width="57.44140625" style="453" customWidth="1"/>
    <col min="2820" max="2820" width="18" style="453" customWidth="1"/>
    <col min="2821" max="2821" width="17.5546875" style="453" customWidth="1"/>
    <col min="2822" max="2822" width="19.109375" style="453" customWidth="1"/>
    <col min="2823" max="2823" width="19.44140625" style="453" customWidth="1"/>
    <col min="2824" max="3072" width="6.88671875" style="453"/>
    <col min="3073" max="3073" width="9.109375" style="453" customWidth="1"/>
    <col min="3074" max="3074" width="17.33203125" style="453" customWidth="1"/>
    <col min="3075" max="3075" width="57.44140625" style="453" customWidth="1"/>
    <col min="3076" max="3076" width="18" style="453" customWidth="1"/>
    <col min="3077" max="3077" width="17.5546875" style="453" customWidth="1"/>
    <col min="3078" max="3078" width="19.109375" style="453" customWidth="1"/>
    <col min="3079" max="3079" width="19.44140625" style="453" customWidth="1"/>
    <col min="3080" max="3328" width="6.88671875" style="453"/>
    <col min="3329" max="3329" width="9.109375" style="453" customWidth="1"/>
    <col min="3330" max="3330" width="17.33203125" style="453" customWidth="1"/>
    <col min="3331" max="3331" width="57.44140625" style="453" customWidth="1"/>
    <col min="3332" max="3332" width="18" style="453" customWidth="1"/>
    <col min="3333" max="3333" width="17.5546875" style="453" customWidth="1"/>
    <col min="3334" max="3334" width="19.109375" style="453" customWidth="1"/>
    <col min="3335" max="3335" width="19.44140625" style="453" customWidth="1"/>
    <col min="3336" max="3584" width="6.88671875" style="453"/>
    <col min="3585" max="3585" width="9.109375" style="453" customWidth="1"/>
    <col min="3586" max="3586" width="17.33203125" style="453" customWidth="1"/>
    <col min="3587" max="3587" width="57.44140625" style="453" customWidth="1"/>
    <col min="3588" max="3588" width="18" style="453" customWidth="1"/>
    <col min="3589" max="3589" width="17.5546875" style="453" customWidth="1"/>
    <col min="3590" max="3590" width="19.109375" style="453" customWidth="1"/>
    <col min="3591" max="3591" width="19.44140625" style="453" customWidth="1"/>
    <col min="3592" max="3840" width="6.88671875" style="453"/>
    <col min="3841" max="3841" width="9.109375" style="453" customWidth="1"/>
    <col min="3842" max="3842" width="17.33203125" style="453" customWidth="1"/>
    <col min="3843" max="3843" width="57.44140625" style="453" customWidth="1"/>
    <col min="3844" max="3844" width="18" style="453" customWidth="1"/>
    <col min="3845" max="3845" width="17.5546875" style="453" customWidth="1"/>
    <col min="3846" max="3846" width="19.109375" style="453" customWidth="1"/>
    <col min="3847" max="3847" width="19.44140625" style="453" customWidth="1"/>
    <col min="3848" max="4096" width="6.88671875" style="453"/>
    <col min="4097" max="4097" width="9.109375" style="453" customWidth="1"/>
    <col min="4098" max="4098" width="17.33203125" style="453" customWidth="1"/>
    <col min="4099" max="4099" width="57.44140625" style="453" customWidth="1"/>
    <col min="4100" max="4100" width="18" style="453" customWidth="1"/>
    <col min="4101" max="4101" width="17.5546875" style="453" customWidth="1"/>
    <col min="4102" max="4102" width="19.109375" style="453" customWidth="1"/>
    <col min="4103" max="4103" width="19.44140625" style="453" customWidth="1"/>
    <col min="4104" max="4352" width="6.88671875" style="453"/>
    <col min="4353" max="4353" width="9.109375" style="453" customWidth="1"/>
    <col min="4354" max="4354" width="17.33203125" style="453" customWidth="1"/>
    <col min="4355" max="4355" width="57.44140625" style="453" customWidth="1"/>
    <col min="4356" max="4356" width="18" style="453" customWidth="1"/>
    <col min="4357" max="4357" width="17.5546875" style="453" customWidth="1"/>
    <col min="4358" max="4358" width="19.109375" style="453" customWidth="1"/>
    <col min="4359" max="4359" width="19.44140625" style="453" customWidth="1"/>
    <col min="4360" max="4608" width="6.88671875" style="453"/>
    <col min="4609" max="4609" width="9.109375" style="453" customWidth="1"/>
    <col min="4610" max="4610" width="17.33203125" style="453" customWidth="1"/>
    <col min="4611" max="4611" width="57.44140625" style="453" customWidth="1"/>
    <col min="4612" max="4612" width="18" style="453" customWidth="1"/>
    <col min="4613" max="4613" width="17.5546875" style="453" customWidth="1"/>
    <col min="4614" max="4614" width="19.109375" style="453" customWidth="1"/>
    <col min="4615" max="4615" width="19.44140625" style="453" customWidth="1"/>
    <col min="4616" max="4864" width="6.88671875" style="453"/>
    <col min="4865" max="4865" width="9.109375" style="453" customWidth="1"/>
    <col min="4866" max="4866" width="17.33203125" style="453" customWidth="1"/>
    <col min="4867" max="4867" width="57.44140625" style="453" customWidth="1"/>
    <col min="4868" max="4868" width="18" style="453" customWidth="1"/>
    <col min="4869" max="4869" width="17.5546875" style="453" customWidth="1"/>
    <col min="4870" max="4870" width="19.109375" style="453" customWidth="1"/>
    <col min="4871" max="4871" width="19.44140625" style="453" customWidth="1"/>
    <col min="4872" max="5120" width="6.88671875" style="453"/>
    <col min="5121" max="5121" width="9.109375" style="453" customWidth="1"/>
    <col min="5122" max="5122" width="17.33203125" style="453" customWidth="1"/>
    <col min="5123" max="5123" width="57.44140625" style="453" customWidth="1"/>
    <col min="5124" max="5124" width="18" style="453" customWidth="1"/>
    <col min="5125" max="5125" width="17.5546875" style="453" customWidth="1"/>
    <col min="5126" max="5126" width="19.109375" style="453" customWidth="1"/>
    <col min="5127" max="5127" width="19.44140625" style="453" customWidth="1"/>
    <col min="5128" max="5376" width="6.88671875" style="453"/>
    <col min="5377" max="5377" width="9.109375" style="453" customWidth="1"/>
    <col min="5378" max="5378" width="17.33203125" style="453" customWidth="1"/>
    <col min="5379" max="5379" width="57.44140625" style="453" customWidth="1"/>
    <col min="5380" max="5380" width="18" style="453" customWidth="1"/>
    <col min="5381" max="5381" width="17.5546875" style="453" customWidth="1"/>
    <col min="5382" max="5382" width="19.109375" style="453" customWidth="1"/>
    <col min="5383" max="5383" width="19.44140625" style="453" customWidth="1"/>
    <col min="5384" max="5632" width="6.88671875" style="453"/>
    <col min="5633" max="5633" width="9.109375" style="453" customWidth="1"/>
    <col min="5634" max="5634" width="17.33203125" style="453" customWidth="1"/>
    <col min="5635" max="5635" width="57.44140625" style="453" customWidth="1"/>
    <col min="5636" max="5636" width="18" style="453" customWidth="1"/>
    <col min="5637" max="5637" width="17.5546875" style="453" customWidth="1"/>
    <col min="5638" max="5638" width="19.109375" style="453" customWidth="1"/>
    <col min="5639" max="5639" width="19.44140625" style="453" customWidth="1"/>
    <col min="5640" max="5888" width="6.88671875" style="453"/>
    <col min="5889" max="5889" width="9.109375" style="453" customWidth="1"/>
    <col min="5890" max="5890" width="17.33203125" style="453" customWidth="1"/>
    <col min="5891" max="5891" width="57.44140625" style="453" customWidth="1"/>
    <col min="5892" max="5892" width="18" style="453" customWidth="1"/>
    <col min="5893" max="5893" width="17.5546875" style="453" customWidth="1"/>
    <col min="5894" max="5894" width="19.109375" style="453" customWidth="1"/>
    <col min="5895" max="5895" width="19.44140625" style="453" customWidth="1"/>
    <col min="5896" max="6144" width="6.88671875" style="453"/>
    <col min="6145" max="6145" width="9.109375" style="453" customWidth="1"/>
    <col min="6146" max="6146" width="17.33203125" style="453" customWidth="1"/>
    <col min="6147" max="6147" width="57.44140625" style="453" customWidth="1"/>
    <col min="6148" max="6148" width="18" style="453" customWidth="1"/>
    <col min="6149" max="6149" width="17.5546875" style="453" customWidth="1"/>
    <col min="6150" max="6150" width="19.109375" style="453" customWidth="1"/>
    <col min="6151" max="6151" width="19.44140625" style="453" customWidth="1"/>
    <col min="6152" max="6400" width="6.88671875" style="453"/>
    <col min="6401" max="6401" width="9.109375" style="453" customWidth="1"/>
    <col min="6402" max="6402" width="17.33203125" style="453" customWidth="1"/>
    <col min="6403" max="6403" width="57.44140625" style="453" customWidth="1"/>
    <col min="6404" max="6404" width="18" style="453" customWidth="1"/>
    <col min="6405" max="6405" width="17.5546875" style="453" customWidth="1"/>
    <col min="6406" max="6406" width="19.109375" style="453" customWidth="1"/>
    <col min="6407" max="6407" width="19.44140625" style="453" customWidth="1"/>
    <col min="6408" max="6656" width="6.88671875" style="453"/>
    <col min="6657" max="6657" width="9.109375" style="453" customWidth="1"/>
    <col min="6658" max="6658" width="17.33203125" style="453" customWidth="1"/>
    <col min="6659" max="6659" width="57.44140625" style="453" customWidth="1"/>
    <col min="6660" max="6660" width="18" style="453" customWidth="1"/>
    <col min="6661" max="6661" width="17.5546875" style="453" customWidth="1"/>
    <col min="6662" max="6662" width="19.109375" style="453" customWidth="1"/>
    <col min="6663" max="6663" width="19.44140625" style="453" customWidth="1"/>
    <col min="6664" max="6912" width="6.88671875" style="453"/>
    <col min="6913" max="6913" width="9.109375" style="453" customWidth="1"/>
    <col min="6914" max="6914" width="17.33203125" style="453" customWidth="1"/>
    <col min="6915" max="6915" width="57.44140625" style="453" customWidth="1"/>
    <col min="6916" max="6916" width="18" style="453" customWidth="1"/>
    <col min="6917" max="6917" width="17.5546875" style="453" customWidth="1"/>
    <col min="6918" max="6918" width="19.109375" style="453" customWidth="1"/>
    <col min="6919" max="6919" width="19.44140625" style="453" customWidth="1"/>
    <col min="6920" max="7168" width="6.88671875" style="453"/>
    <col min="7169" max="7169" width="9.109375" style="453" customWidth="1"/>
    <col min="7170" max="7170" width="17.33203125" style="453" customWidth="1"/>
    <col min="7171" max="7171" width="57.44140625" style="453" customWidth="1"/>
    <col min="7172" max="7172" width="18" style="453" customWidth="1"/>
    <col min="7173" max="7173" width="17.5546875" style="453" customWidth="1"/>
    <col min="7174" max="7174" width="19.109375" style="453" customWidth="1"/>
    <col min="7175" max="7175" width="19.44140625" style="453" customWidth="1"/>
    <col min="7176" max="7424" width="6.88671875" style="453"/>
    <col min="7425" max="7425" width="9.109375" style="453" customWidth="1"/>
    <col min="7426" max="7426" width="17.33203125" style="453" customWidth="1"/>
    <col min="7427" max="7427" width="57.44140625" style="453" customWidth="1"/>
    <col min="7428" max="7428" width="18" style="453" customWidth="1"/>
    <col min="7429" max="7429" width="17.5546875" style="453" customWidth="1"/>
    <col min="7430" max="7430" width="19.109375" style="453" customWidth="1"/>
    <col min="7431" max="7431" width="19.44140625" style="453" customWidth="1"/>
    <col min="7432" max="7680" width="6.88671875" style="453"/>
    <col min="7681" max="7681" width="9.109375" style="453" customWidth="1"/>
    <col min="7682" max="7682" width="17.33203125" style="453" customWidth="1"/>
    <col min="7683" max="7683" width="57.44140625" style="453" customWidth="1"/>
    <col min="7684" max="7684" width="18" style="453" customWidth="1"/>
    <col min="7685" max="7685" width="17.5546875" style="453" customWidth="1"/>
    <col min="7686" max="7686" width="19.109375" style="453" customWidth="1"/>
    <col min="7687" max="7687" width="19.44140625" style="453" customWidth="1"/>
    <col min="7688" max="7936" width="6.88671875" style="453"/>
    <col min="7937" max="7937" width="9.109375" style="453" customWidth="1"/>
    <col min="7938" max="7938" width="17.33203125" style="453" customWidth="1"/>
    <col min="7939" max="7939" width="57.44140625" style="453" customWidth="1"/>
    <col min="7940" max="7940" width="18" style="453" customWidth="1"/>
    <col min="7941" max="7941" width="17.5546875" style="453" customWidth="1"/>
    <col min="7942" max="7942" width="19.109375" style="453" customWidth="1"/>
    <col min="7943" max="7943" width="19.44140625" style="453" customWidth="1"/>
    <col min="7944" max="8192" width="6.88671875" style="453"/>
    <col min="8193" max="8193" width="9.109375" style="453" customWidth="1"/>
    <col min="8194" max="8194" width="17.33203125" style="453" customWidth="1"/>
    <col min="8195" max="8195" width="57.44140625" style="453" customWidth="1"/>
    <col min="8196" max="8196" width="18" style="453" customWidth="1"/>
    <col min="8197" max="8197" width="17.5546875" style="453" customWidth="1"/>
    <col min="8198" max="8198" width="19.109375" style="453" customWidth="1"/>
    <col min="8199" max="8199" width="19.44140625" style="453" customWidth="1"/>
    <col min="8200" max="8448" width="6.88671875" style="453"/>
    <col min="8449" max="8449" width="9.109375" style="453" customWidth="1"/>
    <col min="8450" max="8450" width="17.33203125" style="453" customWidth="1"/>
    <col min="8451" max="8451" width="57.44140625" style="453" customWidth="1"/>
    <col min="8452" max="8452" width="18" style="453" customWidth="1"/>
    <col min="8453" max="8453" width="17.5546875" style="453" customWidth="1"/>
    <col min="8454" max="8454" width="19.109375" style="453" customWidth="1"/>
    <col min="8455" max="8455" width="19.44140625" style="453" customWidth="1"/>
    <col min="8456" max="8704" width="6.88671875" style="453"/>
    <col min="8705" max="8705" width="9.109375" style="453" customWidth="1"/>
    <col min="8706" max="8706" width="17.33203125" style="453" customWidth="1"/>
    <col min="8707" max="8707" width="57.44140625" style="453" customWidth="1"/>
    <col min="8708" max="8708" width="18" style="453" customWidth="1"/>
    <col min="8709" max="8709" width="17.5546875" style="453" customWidth="1"/>
    <col min="8710" max="8710" width="19.109375" style="453" customWidth="1"/>
    <col min="8711" max="8711" width="19.44140625" style="453" customWidth="1"/>
    <col min="8712" max="8960" width="6.88671875" style="453"/>
    <col min="8961" max="8961" width="9.109375" style="453" customWidth="1"/>
    <col min="8962" max="8962" width="17.33203125" style="453" customWidth="1"/>
    <col min="8963" max="8963" width="57.44140625" style="453" customWidth="1"/>
    <col min="8964" max="8964" width="18" style="453" customWidth="1"/>
    <col min="8965" max="8965" width="17.5546875" style="453" customWidth="1"/>
    <col min="8966" max="8966" width="19.109375" style="453" customWidth="1"/>
    <col min="8967" max="8967" width="19.44140625" style="453" customWidth="1"/>
    <col min="8968" max="9216" width="6.88671875" style="453"/>
    <col min="9217" max="9217" width="9.109375" style="453" customWidth="1"/>
    <col min="9218" max="9218" width="17.33203125" style="453" customWidth="1"/>
    <col min="9219" max="9219" width="57.44140625" style="453" customWidth="1"/>
    <col min="9220" max="9220" width="18" style="453" customWidth="1"/>
    <col min="9221" max="9221" width="17.5546875" style="453" customWidth="1"/>
    <col min="9222" max="9222" width="19.109375" style="453" customWidth="1"/>
    <col min="9223" max="9223" width="19.44140625" style="453" customWidth="1"/>
    <col min="9224" max="9472" width="6.88671875" style="453"/>
    <col min="9473" max="9473" width="9.109375" style="453" customWidth="1"/>
    <col min="9474" max="9474" width="17.33203125" style="453" customWidth="1"/>
    <col min="9475" max="9475" width="57.44140625" style="453" customWidth="1"/>
    <col min="9476" max="9476" width="18" style="453" customWidth="1"/>
    <col min="9477" max="9477" width="17.5546875" style="453" customWidth="1"/>
    <col min="9478" max="9478" width="19.109375" style="453" customWidth="1"/>
    <col min="9479" max="9479" width="19.44140625" style="453" customWidth="1"/>
    <col min="9480" max="9728" width="6.88671875" style="453"/>
    <col min="9729" max="9729" width="9.109375" style="453" customWidth="1"/>
    <col min="9730" max="9730" width="17.33203125" style="453" customWidth="1"/>
    <col min="9731" max="9731" width="57.44140625" style="453" customWidth="1"/>
    <col min="9732" max="9732" width="18" style="453" customWidth="1"/>
    <col min="9733" max="9733" width="17.5546875" style="453" customWidth="1"/>
    <col min="9734" max="9734" width="19.109375" style="453" customWidth="1"/>
    <col min="9735" max="9735" width="19.44140625" style="453" customWidth="1"/>
    <col min="9736" max="9984" width="6.88671875" style="453"/>
    <col min="9985" max="9985" width="9.109375" style="453" customWidth="1"/>
    <col min="9986" max="9986" width="17.33203125" style="453" customWidth="1"/>
    <col min="9987" max="9987" width="57.44140625" style="453" customWidth="1"/>
    <col min="9988" max="9988" width="18" style="453" customWidth="1"/>
    <col min="9989" max="9989" width="17.5546875" style="453" customWidth="1"/>
    <col min="9990" max="9990" width="19.109375" style="453" customWidth="1"/>
    <col min="9991" max="9991" width="19.44140625" style="453" customWidth="1"/>
    <col min="9992" max="10240" width="6.88671875" style="453"/>
    <col min="10241" max="10241" width="9.109375" style="453" customWidth="1"/>
    <col min="10242" max="10242" width="17.33203125" style="453" customWidth="1"/>
    <col min="10243" max="10243" width="57.44140625" style="453" customWidth="1"/>
    <col min="10244" max="10244" width="18" style="453" customWidth="1"/>
    <col min="10245" max="10245" width="17.5546875" style="453" customWidth="1"/>
    <col min="10246" max="10246" width="19.109375" style="453" customWidth="1"/>
    <col min="10247" max="10247" width="19.44140625" style="453" customWidth="1"/>
    <col min="10248" max="10496" width="6.88671875" style="453"/>
    <col min="10497" max="10497" width="9.109375" style="453" customWidth="1"/>
    <col min="10498" max="10498" width="17.33203125" style="453" customWidth="1"/>
    <col min="10499" max="10499" width="57.44140625" style="453" customWidth="1"/>
    <col min="10500" max="10500" width="18" style="453" customWidth="1"/>
    <col min="10501" max="10501" width="17.5546875" style="453" customWidth="1"/>
    <col min="10502" max="10502" width="19.109375" style="453" customWidth="1"/>
    <col min="10503" max="10503" width="19.44140625" style="453" customWidth="1"/>
    <col min="10504" max="10752" width="6.88671875" style="453"/>
    <col min="10753" max="10753" width="9.109375" style="453" customWidth="1"/>
    <col min="10754" max="10754" width="17.33203125" style="453" customWidth="1"/>
    <col min="10755" max="10755" width="57.44140625" style="453" customWidth="1"/>
    <col min="10756" max="10756" width="18" style="453" customWidth="1"/>
    <col min="10757" max="10757" width="17.5546875" style="453" customWidth="1"/>
    <col min="10758" max="10758" width="19.109375" style="453" customWidth="1"/>
    <col min="10759" max="10759" width="19.44140625" style="453" customWidth="1"/>
    <col min="10760" max="11008" width="6.88671875" style="453"/>
    <col min="11009" max="11009" width="9.109375" style="453" customWidth="1"/>
    <col min="11010" max="11010" width="17.33203125" style="453" customWidth="1"/>
    <col min="11011" max="11011" width="57.44140625" style="453" customWidth="1"/>
    <col min="11012" max="11012" width="18" style="453" customWidth="1"/>
    <col min="11013" max="11013" width="17.5546875" style="453" customWidth="1"/>
    <col min="11014" max="11014" width="19.109375" style="453" customWidth="1"/>
    <col min="11015" max="11015" width="19.44140625" style="453" customWidth="1"/>
    <col min="11016" max="11264" width="6.88671875" style="453"/>
    <col min="11265" max="11265" width="9.109375" style="453" customWidth="1"/>
    <col min="11266" max="11266" width="17.33203125" style="453" customWidth="1"/>
    <col min="11267" max="11267" width="57.44140625" style="453" customWidth="1"/>
    <col min="11268" max="11268" width="18" style="453" customWidth="1"/>
    <col min="11269" max="11269" width="17.5546875" style="453" customWidth="1"/>
    <col min="11270" max="11270" width="19.109375" style="453" customWidth="1"/>
    <col min="11271" max="11271" width="19.44140625" style="453" customWidth="1"/>
    <col min="11272" max="11520" width="6.88671875" style="453"/>
    <col min="11521" max="11521" width="9.109375" style="453" customWidth="1"/>
    <col min="11522" max="11522" width="17.33203125" style="453" customWidth="1"/>
    <col min="11523" max="11523" width="57.44140625" style="453" customWidth="1"/>
    <col min="11524" max="11524" width="18" style="453" customWidth="1"/>
    <col min="11525" max="11525" width="17.5546875" style="453" customWidth="1"/>
    <col min="11526" max="11526" width="19.109375" style="453" customWidth="1"/>
    <col min="11527" max="11527" width="19.44140625" style="453" customWidth="1"/>
    <col min="11528" max="11776" width="6.88671875" style="453"/>
    <col min="11777" max="11777" width="9.109375" style="453" customWidth="1"/>
    <col min="11778" max="11778" width="17.33203125" style="453" customWidth="1"/>
    <col min="11779" max="11779" width="57.44140625" style="453" customWidth="1"/>
    <col min="11780" max="11780" width="18" style="453" customWidth="1"/>
    <col min="11781" max="11781" width="17.5546875" style="453" customWidth="1"/>
    <col min="11782" max="11782" width="19.109375" style="453" customWidth="1"/>
    <col min="11783" max="11783" width="19.44140625" style="453" customWidth="1"/>
    <col min="11784" max="12032" width="6.88671875" style="453"/>
    <col min="12033" max="12033" width="9.109375" style="453" customWidth="1"/>
    <col min="12034" max="12034" width="17.33203125" style="453" customWidth="1"/>
    <col min="12035" max="12035" width="57.44140625" style="453" customWidth="1"/>
    <col min="12036" max="12036" width="18" style="453" customWidth="1"/>
    <col min="12037" max="12037" width="17.5546875" style="453" customWidth="1"/>
    <col min="12038" max="12038" width="19.109375" style="453" customWidth="1"/>
    <col min="12039" max="12039" width="19.44140625" style="453" customWidth="1"/>
    <col min="12040" max="12288" width="6.88671875" style="453"/>
    <col min="12289" max="12289" width="9.109375" style="453" customWidth="1"/>
    <col min="12290" max="12290" width="17.33203125" style="453" customWidth="1"/>
    <col min="12291" max="12291" width="57.44140625" style="453" customWidth="1"/>
    <col min="12292" max="12292" width="18" style="453" customWidth="1"/>
    <col min="12293" max="12293" width="17.5546875" style="453" customWidth="1"/>
    <col min="12294" max="12294" width="19.109375" style="453" customWidth="1"/>
    <col min="12295" max="12295" width="19.44140625" style="453" customWidth="1"/>
    <col min="12296" max="12544" width="6.88671875" style="453"/>
    <col min="12545" max="12545" width="9.109375" style="453" customWidth="1"/>
    <col min="12546" max="12546" width="17.33203125" style="453" customWidth="1"/>
    <col min="12547" max="12547" width="57.44140625" style="453" customWidth="1"/>
    <col min="12548" max="12548" width="18" style="453" customWidth="1"/>
    <col min="12549" max="12549" width="17.5546875" style="453" customWidth="1"/>
    <col min="12550" max="12550" width="19.109375" style="453" customWidth="1"/>
    <col min="12551" max="12551" width="19.44140625" style="453" customWidth="1"/>
    <col min="12552" max="12800" width="6.88671875" style="453"/>
    <col min="12801" max="12801" width="9.109375" style="453" customWidth="1"/>
    <col min="12802" max="12802" width="17.33203125" style="453" customWidth="1"/>
    <col min="12803" max="12803" width="57.44140625" style="453" customWidth="1"/>
    <col min="12804" max="12804" width="18" style="453" customWidth="1"/>
    <col min="12805" max="12805" width="17.5546875" style="453" customWidth="1"/>
    <col min="12806" max="12806" width="19.109375" style="453" customWidth="1"/>
    <col min="12807" max="12807" width="19.44140625" style="453" customWidth="1"/>
    <col min="12808" max="13056" width="6.88671875" style="453"/>
    <col min="13057" max="13057" width="9.109375" style="453" customWidth="1"/>
    <col min="13058" max="13058" width="17.33203125" style="453" customWidth="1"/>
    <col min="13059" max="13059" width="57.44140625" style="453" customWidth="1"/>
    <col min="13060" max="13060" width="18" style="453" customWidth="1"/>
    <col min="13061" max="13061" width="17.5546875" style="453" customWidth="1"/>
    <col min="13062" max="13062" width="19.109375" style="453" customWidth="1"/>
    <col min="13063" max="13063" width="19.44140625" style="453" customWidth="1"/>
    <col min="13064" max="13312" width="6.88671875" style="453"/>
    <col min="13313" max="13313" width="9.109375" style="453" customWidth="1"/>
    <col min="13314" max="13314" width="17.33203125" style="453" customWidth="1"/>
    <col min="13315" max="13315" width="57.44140625" style="453" customWidth="1"/>
    <col min="13316" max="13316" width="18" style="453" customWidth="1"/>
    <col min="13317" max="13317" width="17.5546875" style="453" customWidth="1"/>
    <col min="13318" max="13318" width="19.109375" style="453" customWidth="1"/>
    <col min="13319" max="13319" width="19.44140625" style="453" customWidth="1"/>
    <col min="13320" max="13568" width="6.88671875" style="453"/>
    <col min="13569" max="13569" width="9.109375" style="453" customWidth="1"/>
    <col min="13570" max="13570" width="17.33203125" style="453" customWidth="1"/>
    <col min="13571" max="13571" width="57.44140625" style="453" customWidth="1"/>
    <col min="13572" max="13572" width="18" style="453" customWidth="1"/>
    <col min="13573" max="13573" width="17.5546875" style="453" customWidth="1"/>
    <col min="13574" max="13574" width="19.109375" style="453" customWidth="1"/>
    <col min="13575" max="13575" width="19.44140625" style="453" customWidth="1"/>
    <col min="13576" max="13824" width="6.88671875" style="453"/>
    <col min="13825" max="13825" width="9.109375" style="453" customWidth="1"/>
    <col min="13826" max="13826" width="17.33203125" style="453" customWidth="1"/>
    <col min="13827" max="13827" width="57.44140625" style="453" customWidth="1"/>
    <col min="13828" max="13828" width="18" style="453" customWidth="1"/>
    <col min="13829" max="13829" width="17.5546875" style="453" customWidth="1"/>
    <col min="13830" max="13830" width="19.109375" style="453" customWidth="1"/>
    <col min="13831" max="13831" width="19.44140625" style="453" customWidth="1"/>
    <col min="13832" max="14080" width="6.88671875" style="453"/>
    <col min="14081" max="14081" width="9.109375" style="453" customWidth="1"/>
    <col min="14082" max="14082" width="17.33203125" style="453" customWidth="1"/>
    <col min="14083" max="14083" width="57.44140625" style="453" customWidth="1"/>
    <col min="14084" max="14084" width="18" style="453" customWidth="1"/>
    <col min="14085" max="14085" width="17.5546875" style="453" customWidth="1"/>
    <col min="14086" max="14086" width="19.109375" style="453" customWidth="1"/>
    <col min="14087" max="14087" width="19.44140625" style="453" customWidth="1"/>
    <col min="14088" max="14336" width="6.88671875" style="453"/>
    <col min="14337" max="14337" width="9.109375" style="453" customWidth="1"/>
    <col min="14338" max="14338" width="17.33203125" style="453" customWidth="1"/>
    <col min="14339" max="14339" width="57.44140625" style="453" customWidth="1"/>
    <col min="14340" max="14340" width="18" style="453" customWidth="1"/>
    <col min="14341" max="14341" width="17.5546875" style="453" customWidth="1"/>
    <col min="14342" max="14342" width="19.109375" style="453" customWidth="1"/>
    <col min="14343" max="14343" width="19.44140625" style="453" customWidth="1"/>
    <col min="14344" max="14592" width="6.88671875" style="453"/>
    <col min="14593" max="14593" width="9.109375" style="453" customWidth="1"/>
    <col min="14594" max="14594" width="17.33203125" style="453" customWidth="1"/>
    <col min="14595" max="14595" width="57.44140625" style="453" customWidth="1"/>
    <col min="14596" max="14596" width="18" style="453" customWidth="1"/>
    <col min="14597" max="14597" width="17.5546875" style="453" customWidth="1"/>
    <col min="14598" max="14598" width="19.109375" style="453" customWidth="1"/>
    <col min="14599" max="14599" width="19.44140625" style="453" customWidth="1"/>
    <col min="14600" max="14848" width="6.88671875" style="453"/>
    <col min="14849" max="14849" width="9.109375" style="453" customWidth="1"/>
    <col min="14850" max="14850" width="17.33203125" style="453" customWidth="1"/>
    <col min="14851" max="14851" width="57.44140625" style="453" customWidth="1"/>
    <col min="14852" max="14852" width="18" style="453" customWidth="1"/>
    <col min="14853" max="14853" width="17.5546875" style="453" customWidth="1"/>
    <col min="14854" max="14854" width="19.109375" style="453" customWidth="1"/>
    <col min="14855" max="14855" width="19.44140625" style="453" customWidth="1"/>
    <col min="14856" max="15104" width="6.88671875" style="453"/>
    <col min="15105" max="15105" width="9.109375" style="453" customWidth="1"/>
    <col min="15106" max="15106" width="17.33203125" style="453" customWidth="1"/>
    <col min="15107" max="15107" width="57.44140625" style="453" customWidth="1"/>
    <col min="15108" max="15108" width="18" style="453" customWidth="1"/>
    <col min="15109" max="15109" width="17.5546875" style="453" customWidth="1"/>
    <col min="15110" max="15110" width="19.109375" style="453" customWidth="1"/>
    <col min="15111" max="15111" width="19.44140625" style="453" customWidth="1"/>
    <col min="15112" max="15360" width="6.88671875" style="453"/>
    <col min="15361" max="15361" width="9.109375" style="453" customWidth="1"/>
    <col min="15362" max="15362" width="17.33203125" style="453" customWidth="1"/>
    <col min="15363" max="15363" width="57.44140625" style="453" customWidth="1"/>
    <col min="15364" max="15364" width="18" style="453" customWidth="1"/>
    <col min="15365" max="15365" width="17.5546875" style="453" customWidth="1"/>
    <col min="15366" max="15366" width="19.109375" style="453" customWidth="1"/>
    <col min="15367" max="15367" width="19.44140625" style="453" customWidth="1"/>
    <col min="15368" max="15616" width="6.88671875" style="453"/>
    <col min="15617" max="15617" width="9.109375" style="453" customWidth="1"/>
    <col min="15618" max="15618" width="17.33203125" style="453" customWidth="1"/>
    <col min="15619" max="15619" width="57.44140625" style="453" customWidth="1"/>
    <col min="15620" max="15620" width="18" style="453" customWidth="1"/>
    <col min="15621" max="15621" width="17.5546875" style="453" customWidth="1"/>
    <col min="15622" max="15622" width="19.109375" style="453" customWidth="1"/>
    <col min="15623" max="15623" width="19.44140625" style="453" customWidth="1"/>
    <col min="15624" max="15872" width="6.88671875" style="453"/>
    <col min="15873" max="15873" width="9.109375" style="453" customWidth="1"/>
    <col min="15874" max="15874" width="17.33203125" style="453" customWidth="1"/>
    <col min="15875" max="15875" width="57.44140625" style="453" customWidth="1"/>
    <col min="15876" max="15876" width="18" style="453" customWidth="1"/>
    <col min="15877" max="15877" width="17.5546875" style="453" customWidth="1"/>
    <col min="15878" max="15878" width="19.109375" style="453" customWidth="1"/>
    <col min="15879" max="15879" width="19.44140625" style="453" customWidth="1"/>
    <col min="15880" max="16128" width="6.88671875" style="453"/>
    <col min="16129" max="16129" width="9.109375" style="453" customWidth="1"/>
    <col min="16130" max="16130" width="17.33203125" style="453" customWidth="1"/>
    <col min="16131" max="16131" width="57.44140625" style="453" customWidth="1"/>
    <col min="16132" max="16132" width="18" style="453" customWidth="1"/>
    <col min="16133" max="16133" width="17.5546875" style="453" customWidth="1"/>
    <col min="16134" max="16134" width="19.109375" style="453" customWidth="1"/>
    <col min="16135" max="16135" width="19.44140625" style="453" customWidth="1"/>
    <col min="16136" max="16384" width="6.88671875" style="453"/>
  </cols>
  <sheetData>
    <row r="2" spans="2:12" ht="23.25" customHeight="1" x14ac:dyDescent="0.3">
      <c r="B2" s="721" t="s">
        <v>4972</v>
      </c>
      <c r="C2" s="722"/>
      <c r="D2" s="722"/>
      <c r="E2" s="722"/>
      <c r="F2" s="722"/>
      <c r="G2" s="723"/>
      <c r="H2" s="464"/>
      <c r="I2" s="464"/>
    </row>
    <row r="3" spans="2:12" ht="22.5" customHeight="1" x14ac:dyDescent="0.3">
      <c r="B3" s="454" t="s">
        <v>4973</v>
      </c>
      <c r="C3" s="454" t="s">
        <v>4974</v>
      </c>
      <c r="D3" s="454" t="s">
        <v>4975</v>
      </c>
      <c r="E3" s="454" t="s">
        <v>4976</v>
      </c>
      <c r="F3" s="454" t="s">
        <v>4977</v>
      </c>
      <c r="G3" s="454" t="s">
        <v>4978</v>
      </c>
      <c r="H3" s="458" t="s">
        <v>2406</v>
      </c>
      <c r="I3" s="458" t="s">
        <v>3694</v>
      </c>
      <c r="J3" s="746" t="s">
        <v>5902</v>
      </c>
      <c r="K3" s="499" t="s">
        <v>5901</v>
      </c>
    </row>
    <row r="4" spans="2:12" ht="15" customHeight="1" x14ac:dyDescent="0.3">
      <c r="B4" s="455" t="s">
        <v>4979</v>
      </c>
      <c r="C4" s="456" t="s">
        <v>11</v>
      </c>
      <c r="D4" s="457">
        <v>55707116.549999997</v>
      </c>
      <c r="E4" s="457">
        <v>118024608.92</v>
      </c>
      <c r="F4" s="457">
        <v>119908335.48</v>
      </c>
      <c r="G4" s="457">
        <v>53823389.990000002</v>
      </c>
      <c r="J4" s="747">
        <v>1504</v>
      </c>
      <c r="K4" s="501">
        <v>13030</v>
      </c>
      <c r="L4" s="453" t="s">
        <v>5915</v>
      </c>
    </row>
    <row r="5" spans="2:12" ht="15" customHeight="1" x14ac:dyDescent="0.3">
      <c r="B5" s="455" t="s">
        <v>4980</v>
      </c>
      <c r="C5" s="456" t="s">
        <v>3361</v>
      </c>
      <c r="D5" s="457">
        <v>19238332.010000002</v>
      </c>
      <c r="E5" s="457">
        <v>110387951.45</v>
      </c>
      <c r="F5" s="457">
        <v>109901991.12</v>
      </c>
      <c r="G5" s="457">
        <v>19724292.34</v>
      </c>
      <c r="J5" s="747">
        <v>3012</v>
      </c>
      <c r="K5" s="501">
        <v>55268.800000000003</v>
      </c>
      <c r="L5" s="453" t="s">
        <v>5916</v>
      </c>
    </row>
    <row r="6" spans="2:12" ht="15" customHeight="1" x14ac:dyDescent="0.35">
      <c r="B6" s="455" t="s">
        <v>4981</v>
      </c>
      <c r="C6" s="456" t="s">
        <v>3362</v>
      </c>
      <c r="D6" s="457">
        <v>3109267.35</v>
      </c>
      <c r="E6" s="457">
        <v>93578273.769999996</v>
      </c>
      <c r="F6" s="457">
        <v>87048186.519999996</v>
      </c>
      <c r="G6" s="457">
        <v>9639354.5999999996</v>
      </c>
      <c r="H6" s="290" t="s">
        <v>3363</v>
      </c>
      <c r="I6" s="291">
        <v>4</v>
      </c>
      <c r="J6" s="747">
        <v>3013</v>
      </c>
      <c r="K6" s="501">
        <v>40569.870000000003</v>
      </c>
      <c r="L6" s="453" t="s">
        <v>5916</v>
      </c>
    </row>
    <row r="7" spans="2:12" ht="15" customHeight="1" x14ac:dyDescent="0.3">
      <c r="B7" s="455" t="s">
        <v>4982</v>
      </c>
      <c r="C7" s="456" t="s">
        <v>29</v>
      </c>
      <c r="D7" s="457">
        <v>2272093.3199999998</v>
      </c>
      <c r="E7" s="457">
        <v>93473535.189999998</v>
      </c>
      <c r="F7" s="457">
        <v>86110749.510000005</v>
      </c>
      <c r="G7" s="457">
        <v>9634879</v>
      </c>
      <c r="J7" s="747">
        <v>3015</v>
      </c>
      <c r="K7" s="501">
        <v>38688.160000000003</v>
      </c>
      <c r="L7" s="453" t="s">
        <v>5916</v>
      </c>
    </row>
    <row r="8" spans="2:12" ht="15" customHeight="1" x14ac:dyDescent="0.3">
      <c r="B8" s="455" t="s">
        <v>4983</v>
      </c>
      <c r="C8" s="459" t="s">
        <v>33</v>
      </c>
      <c r="D8" s="460">
        <v>0</v>
      </c>
      <c r="E8" s="461">
        <v>16378.22</v>
      </c>
      <c r="F8" s="461">
        <v>16378.22</v>
      </c>
      <c r="G8" s="460">
        <v>0</v>
      </c>
      <c r="J8" s="747">
        <v>3014</v>
      </c>
      <c r="K8" s="501">
        <v>38688.160000000003</v>
      </c>
      <c r="L8" s="453" t="s">
        <v>5916</v>
      </c>
    </row>
    <row r="9" spans="2:12" ht="15" customHeight="1" x14ac:dyDescent="0.3">
      <c r="B9" s="455" t="s">
        <v>4984</v>
      </c>
      <c r="C9" s="459" t="s">
        <v>35</v>
      </c>
      <c r="D9" s="460">
        <v>10</v>
      </c>
      <c r="E9" s="461">
        <v>904800.57</v>
      </c>
      <c r="F9" s="461">
        <v>904810.55</v>
      </c>
      <c r="G9" s="460">
        <v>0.02</v>
      </c>
      <c r="J9" s="747">
        <v>460</v>
      </c>
      <c r="K9" s="501">
        <v>8860</v>
      </c>
      <c r="L9" s="453" t="s">
        <v>5916</v>
      </c>
    </row>
    <row r="10" spans="2:12" ht="15" customHeight="1" x14ac:dyDescent="0.3">
      <c r="B10" s="455" t="s">
        <v>4985</v>
      </c>
      <c r="C10" s="459" t="s">
        <v>38</v>
      </c>
      <c r="D10" s="460">
        <v>0</v>
      </c>
      <c r="E10" s="461">
        <v>61684.69</v>
      </c>
      <c r="F10" s="461">
        <v>61684.69</v>
      </c>
      <c r="G10" s="460">
        <v>0</v>
      </c>
      <c r="J10" s="747">
        <v>772</v>
      </c>
      <c r="K10" s="501">
        <v>1980</v>
      </c>
      <c r="L10" s="453" t="s">
        <v>5917</v>
      </c>
    </row>
    <row r="11" spans="2:12" ht="15" customHeight="1" x14ac:dyDescent="0.3">
      <c r="B11" s="455" t="s">
        <v>4986</v>
      </c>
      <c r="C11" s="459" t="s">
        <v>3365</v>
      </c>
      <c r="D11" s="460">
        <v>0</v>
      </c>
      <c r="E11" s="461">
        <v>869445.53</v>
      </c>
      <c r="F11" s="461">
        <v>869445.53</v>
      </c>
      <c r="G11" s="460">
        <v>0</v>
      </c>
      <c r="J11" s="748" t="s">
        <v>2064</v>
      </c>
      <c r="K11" s="500">
        <f>SUM(K4:K10)</f>
        <v>197084.99000000002</v>
      </c>
    </row>
    <row r="12" spans="2:12" ht="15" customHeight="1" x14ac:dyDescent="0.3">
      <c r="B12" s="455" t="s">
        <v>4987</v>
      </c>
      <c r="C12" s="459" t="s">
        <v>42</v>
      </c>
      <c r="D12" s="460">
        <v>0</v>
      </c>
      <c r="E12" s="461">
        <v>26789.4</v>
      </c>
      <c r="F12" s="461">
        <v>26789.4</v>
      </c>
      <c r="G12" s="460">
        <v>0</v>
      </c>
    </row>
    <row r="13" spans="2:12" ht="15" customHeight="1" x14ac:dyDescent="0.3">
      <c r="B13" s="455" t="s">
        <v>4988</v>
      </c>
      <c r="C13" s="459" t="s">
        <v>46</v>
      </c>
      <c r="D13" s="460">
        <v>0</v>
      </c>
      <c r="E13" s="461">
        <v>14771.85</v>
      </c>
      <c r="F13" s="461">
        <v>13842.31</v>
      </c>
      <c r="G13" s="460">
        <v>929.54</v>
      </c>
    </row>
    <row r="14" spans="2:12" ht="15" customHeight="1" x14ac:dyDescent="0.3">
      <c r="B14" s="455" t="s">
        <v>4989</v>
      </c>
      <c r="C14" s="459" t="s">
        <v>53</v>
      </c>
      <c r="D14" s="460">
        <v>0</v>
      </c>
      <c r="E14" s="461">
        <v>784780.42</v>
      </c>
      <c r="F14" s="461">
        <v>784780.17</v>
      </c>
      <c r="G14" s="460">
        <v>0.25</v>
      </c>
    </row>
    <row r="15" spans="2:12" ht="15" customHeight="1" x14ac:dyDescent="0.3">
      <c r="B15" s="455" t="s">
        <v>4990</v>
      </c>
      <c r="C15" s="459" t="s">
        <v>3367</v>
      </c>
      <c r="D15" s="461">
        <v>517019.18</v>
      </c>
      <c r="E15" s="461">
        <v>7005179.3700000001</v>
      </c>
      <c r="F15" s="461">
        <v>2245116.92</v>
      </c>
      <c r="G15" s="461">
        <v>5277081.63</v>
      </c>
    </row>
    <row r="16" spans="2:12" ht="15" customHeight="1" x14ac:dyDescent="0.3">
      <c r="B16" s="455" t="s">
        <v>4991</v>
      </c>
      <c r="C16" s="459" t="s">
        <v>3368</v>
      </c>
      <c r="D16" s="461">
        <v>1755064.14</v>
      </c>
      <c r="E16" s="461">
        <v>76712805.469999999</v>
      </c>
      <c r="F16" s="461">
        <v>77150037.819999993</v>
      </c>
      <c r="G16" s="461">
        <v>1317831.79</v>
      </c>
    </row>
    <row r="17" spans="2:9" ht="15" customHeight="1" x14ac:dyDescent="0.3">
      <c r="B17" s="455" t="s">
        <v>4992</v>
      </c>
      <c r="C17" s="459" t="s">
        <v>4993</v>
      </c>
      <c r="D17" s="460">
        <v>0</v>
      </c>
      <c r="E17" s="461">
        <v>1611553.32</v>
      </c>
      <c r="F17" s="460">
        <v>0</v>
      </c>
      <c r="G17" s="461">
        <v>1611553.32</v>
      </c>
    </row>
    <row r="18" spans="2:9" ht="15" customHeight="1" x14ac:dyDescent="0.3">
      <c r="B18" s="455" t="s">
        <v>4994</v>
      </c>
      <c r="C18" s="459" t="s">
        <v>4995</v>
      </c>
      <c r="D18" s="460">
        <v>0</v>
      </c>
      <c r="E18" s="461">
        <v>19860.18</v>
      </c>
      <c r="F18" s="460">
        <v>0</v>
      </c>
      <c r="G18" s="461">
        <v>19860.18</v>
      </c>
    </row>
    <row r="19" spans="2:9" ht="15" customHeight="1" x14ac:dyDescent="0.3">
      <c r="B19" s="455" t="s">
        <v>4996</v>
      </c>
      <c r="C19" s="459" t="s">
        <v>4997</v>
      </c>
      <c r="D19" s="460">
        <v>0</v>
      </c>
      <c r="E19" s="461">
        <v>2620029.2799999998</v>
      </c>
      <c r="F19" s="461">
        <v>1213471.82</v>
      </c>
      <c r="G19" s="461">
        <v>1406557.46</v>
      </c>
    </row>
    <row r="20" spans="2:9" ht="15" customHeight="1" x14ac:dyDescent="0.3">
      <c r="B20" s="455" t="s">
        <v>4998</v>
      </c>
      <c r="C20" s="459" t="s">
        <v>4999</v>
      </c>
      <c r="D20" s="460">
        <v>0</v>
      </c>
      <c r="E20" s="461">
        <v>2825456.89</v>
      </c>
      <c r="F20" s="461">
        <v>2824392.08</v>
      </c>
      <c r="G20" s="461">
        <v>1064.81</v>
      </c>
    </row>
    <row r="21" spans="2:9" ht="15" customHeight="1" x14ac:dyDescent="0.3">
      <c r="B21" s="455" t="s">
        <v>5000</v>
      </c>
      <c r="C21" s="456" t="s">
        <v>55</v>
      </c>
      <c r="D21" s="457">
        <v>6221.03</v>
      </c>
      <c r="E21" s="457">
        <v>82626.64</v>
      </c>
      <c r="F21" s="457">
        <v>84372.07</v>
      </c>
      <c r="G21" s="457">
        <v>4475.6000000000004</v>
      </c>
    </row>
    <row r="22" spans="2:9" ht="15" customHeight="1" x14ac:dyDescent="0.3">
      <c r="B22" s="455" t="s">
        <v>5001</v>
      </c>
      <c r="C22" s="459" t="s">
        <v>59</v>
      </c>
      <c r="D22" s="460">
        <v>95.37</v>
      </c>
      <c r="E22" s="461">
        <v>80861.820000000007</v>
      </c>
      <c r="F22" s="461">
        <v>80957.19</v>
      </c>
      <c r="G22" s="460">
        <v>0</v>
      </c>
    </row>
    <row r="23" spans="2:9" ht="15" customHeight="1" x14ac:dyDescent="0.3">
      <c r="B23" s="455" t="s">
        <v>5002</v>
      </c>
      <c r="C23" s="459" t="s">
        <v>3370</v>
      </c>
      <c r="D23" s="460">
        <v>740.71</v>
      </c>
      <c r="E23" s="460">
        <v>61.47</v>
      </c>
      <c r="F23" s="460">
        <v>12.11</v>
      </c>
      <c r="G23" s="460">
        <v>790.07</v>
      </c>
    </row>
    <row r="24" spans="2:9" ht="15" customHeight="1" x14ac:dyDescent="0.3">
      <c r="B24" s="455" t="s">
        <v>5003</v>
      </c>
      <c r="C24" s="459" t="s">
        <v>63</v>
      </c>
      <c r="D24" s="461">
        <v>5384.95</v>
      </c>
      <c r="E24" s="460">
        <v>435.34</v>
      </c>
      <c r="F24" s="461">
        <v>2134.7600000000002</v>
      </c>
      <c r="G24" s="461">
        <v>3685.53</v>
      </c>
    </row>
    <row r="25" spans="2:9" ht="15" customHeight="1" x14ac:dyDescent="0.3">
      <c r="B25" s="455" t="s">
        <v>5004</v>
      </c>
      <c r="C25" s="459" t="s">
        <v>71</v>
      </c>
      <c r="D25" s="460">
        <v>0</v>
      </c>
      <c r="E25" s="461">
        <v>1268.01</v>
      </c>
      <c r="F25" s="461">
        <v>1268.01</v>
      </c>
      <c r="G25" s="460">
        <v>0</v>
      </c>
    </row>
    <row r="26" spans="2:9" ht="15" customHeight="1" x14ac:dyDescent="0.3">
      <c r="B26" s="455" t="s">
        <v>5005</v>
      </c>
      <c r="C26" s="456" t="s">
        <v>74</v>
      </c>
      <c r="D26" s="457">
        <v>830953</v>
      </c>
      <c r="E26" s="457">
        <v>22111.94</v>
      </c>
      <c r="F26" s="457">
        <v>853064.94</v>
      </c>
      <c r="G26" s="462">
        <v>0</v>
      </c>
    </row>
    <row r="27" spans="2:9" ht="15" customHeight="1" x14ac:dyDescent="0.3">
      <c r="B27" s="455" t="s">
        <v>5006</v>
      </c>
      <c r="C27" s="459" t="s">
        <v>78</v>
      </c>
      <c r="D27" s="461">
        <v>830953</v>
      </c>
      <c r="E27" s="461">
        <v>22111.94</v>
      </c>
      <c r="F27" s="461">
        <v>853064.94</v>
      </c>
      <c r="G27" s="460">
        <v>0</v>
      </c>
    </row>
    <row r="28" spans="2:9" ht="15" customHeight="1" x14ac:dyDescent="0.35">
      <c r="B28" s="455" t="s">
        <v>5007</v>
      </c>
      <c r="C28" s="456" t="s">
        <v>81</v>
      </c>
      <c r="D28" s="457">
        <v>39286.400000000001</v>
      </c>
      <c r="E28" s="457">
        <v>3330542.5</v>
      </c>
      <c r="F28" s="457">
        <v>2991254.54</v>
      </c>
      <c r="G28" s="457">
        <v>378574.36</v>
      </c>
      <c r="H28" s="290" t="s">
        <v>3363</v>
      </c>
      <c r="I28" s="291">
        <v>5</v>
      </c>
    </row>
    <row r="29" spans="2:9" ht="15" customHeight="1" x14ac:dyDescent="0.3">
      <c r="B29" s="455" t="s">
        <v>5008</v>
      </c>
      <c r="C29" s="456" t="s">
        <v>84</v>
      </c>
      <c r="D29" s="457">
        <v>39286.400000000001</v>
      </c>
      <c r="E29" s="457">
        <v>3330542.5</v>
      </c>
      <c r="F29" s="457">
        <v>2991254.54</v>
      </c>
      <c r="G29" s="457">
        <v>378574.36</v>
      </c>
    </row>
    <row r="30" spans="2:9" ht="15" customHeight="1" x14ac:dyDescent="0.3">
      <c r="B30" s="455" t="s">
        <v>5009</v>
      </c>
      <c r="C30" s="459" t="s">
        <v>5010</v>
      </c>
      <c r="D30" s="461">
        <v>-362277.03</v>
      </c>
      <c r="E30" s="461">
        <v>14913</v>
      </c>
      <c r="F30" s="460">
        <v>0</v>
      </c>
      <c r="G30" s="461">
        <v>-347364.03</v>
      </c>
    </row>
    <row r="31" spans="2:9" ht="15" customHeight="1" x14ac:dyDescent="0.3">
      <c r="B31" s="455" t="s">
        <v>5011</v>
      </c>
      <c r="C31" s="459" t="s">
        <v>3373</v>
      </c>
      <c r="D31" s="460">
        <v>0</v>
      </c>
      <c r="E31" s="461">
        <v>8904</v>
      </c>
      <c r="F31" s="461">
        <v>8904</v>
      </c>
      <c r="G31" s="460">
        <v>0</v>
      </c>
    </row>
    <row r="32" spans="2:9" ht="15" customHeight="1" x14ac:dyDescent="0.3">
      <c r="B32" s="455" t="s">
        <v>5012</v>
      </c>
      <c r="C32" s="459" t="s">
        <v>3374</v>
      </c>
      <c r="D32" s="461">
        <v>242900</v>
      </c>
      <c r="E32" s="460">
        <v>0</v>
      </c>
      <c r="F32" s="460">
        <v>0</v>
      </c>
      <c r="G32" s="461">
        <v>242900</v>
      </c>
    </row>
    <row r="33" spans="2:7" ht="15" customHeight="1" x14ac:dyDescent="0.3">
      <c r="B33" s="455" t="s">
        <v>5013</v>
      </c>
      <c r="C33" s="459" t="s">
        <v>5014</v>
      </c>
      <c r="D33" s="460">
        <v>0</v>
      </c>
      <c r="E33" s="460">
        <v>210</v>
      </c>
      <c r="F33" s="460">
        <v>210</v>
      </c>
      <c r="G33" s="460">
        <v>0</v>
      </c>
    </row>
    <row r="34" spans="2:7" ht="15" customHeight="1" x14ac:dyDescent="0.3">
      <c r="B34" s="455" t="s">
        <v>5015</v>
      </c>
      <c r="C34" s="459" t="s">
        <v>5016</v>
      </c>
      <c r="D34" s="460">
        <v>0</v>
      </c>
      <c r="E34" s="460">
        <v>840</v>
      </c>
      <c r="F34" s="460">
        <v>840</v>
      </c>
      <c r="G34" s="460">
        <v>0</v>
      </c>
    </row>
    <row r="35" spans="2:7" ht="15" customHeight="1" x14ac:dyDescent="0.3">
      <c r="B35" s="455" t="s">
        <v>5017</v>
      </c>
      <c r="C35" s="459" t="s">
        <v>5018</v>
      </c>
      <c r="D35" s="460">
        <v>0</v>
      </c>
      <c r="E35" s="461">
        <v>41160</v>
      </c>
      <c r="F35" s="461">
        <v>41160</v>
      </c>
      <c r="G35" s="460">
        <v>0</v>
      </c>
    </row>
    <row r="36" spans="2:7" ht="15" customHeight="1" x14ac:dyDescent="0.3">
      <c r="B36" s="455" t="s">
        <v>5019</v>
      </c>
      <c r="C36" s="459" t="s">
        <v>5020</v>
      </c>
      <c r="D36" s="460">
        <v>0</v>
      </c>
      <c r="E36" s="461">
        <v>3270</v>
      </c>
      <c r="F36" s="461">
        <v>3270</v>
      </c>
      <c r="G36" s="460">
        <v>0</v>
      </c>
    </row>
    <row r="37" spans="2:7" ht="15" customHeight="1" x14ac:dyDescent="0.3">
      <c r="B37" s="455" t="s">
        <v>5021</v>
      </c>
      <c r="C37" s="459" t="s">
        <v>5022</v>
      </c>
      <c r="D37" s="460">
        <v>0</v>
      </c>
      <c r="E37" s="461">
        <v>8400</v>
      </c>
      <c r="F37" s="461">
        <v>8400</v>
      </c>
      <c r="G37" s="460">
        <v>0</v>
      </c>
    </row>
    <row r="38" spans="2:7" ht="15" customHeight="1" x14ac:dyDescent="0.3">
      <c r="B38" s="455" t="s">
        <v>5023</v>
      </c>
      <c r="C38" s="459" t="s">
        <v>5024</v>
      </c>
      <c r="D38" s="460">
        <v>0</v>
      </c>
      <c r="E38" s="461">
        <v>1462.5</v>
      </c>
      <c r="F38" s="461">
        <v>1462.5</v>
      </c>
      <c r="G38" s="460">
        <v>0</v>
      </c>
    </row>
    <row r="39" spans="2:7" ht="15" customHeight="1" x14ac:dyDescent="0.3">
      <c r="B39" s="455" t="s">
        <v>5025</v>
      </c>
      <c r="C39" s="459" t="s">
        <v>209</v>
      </c>
      <c r="D39" s="460">
        <v>0</v>
      </c>
      <c r="E39" s="461">
        <v>17023.12</v>
      </c>
      <c r="F39" s="461">
        <v>17023.12</v>
      </c>
      <c r="G39" s="460">
        <v>0</v>
      </c>
    </row>
    <row r="40" spans="2:7" ht="15" customHeight="1" x14ac:dyDescent="0.3">
      <c r="B40" s="455" t="s">
        <v>5026</v>
      </c>
      <c r="C40" s="459" t="s">
        <v>211</v>
      </c>
      <c r="D40" s="461">
        <v>20584.03</v>
      </c>
      <c r="E40" s="460">
        <v>0</v>
      </c>
      <c r="F40" s="460">
        <v>0</v>
      </c>
      <c r="G40" s="461">
        <v>20584.03</v>
      </c>
    </row>
    <row r="41" spans="2:7" ht="15" customHeight="1" x14ac:dyDescent="0.3">
      <c r="B41" s="455" t="s">
        <v>5027</v>
      </c>
      <c r="C41" s="459" t="s">
        <v>217</v>
      </c>
      <c r="D41" s="460">
        <v>0</v>
      </c>
      <c r="E41" s="461">
        <v>21000</v>
      </c>
      <c r="F41" s="461">
        <v>21000</v>
      </c>
      <c r="G41" s="460">
        <v>0</v>
      </c>
    </row>
    <row r="42" spans="2:7" ht="15" customHeight="1" x14ac:dyDescent="0.3">
      <c r="B42" s="455" t="s">
        <v>5028</v>
      </c>
      <c r="C42" s="459" t="s">
        <v>5029</v>
      </c>
      <c r="D42" s="460">
        <v>0</v>
      </c>
      <c r="E42" s="461">
        <v>25200</v>
      </c>
      <c r="F42" s="461">
        <v>25200</v>
      </c>
      <c r="G42" s="460">
        <v>0</v>
      </c>
    </row>
    <row r="43" spans="2:7" ht="15" customHeight="1" x14ac:dyDescent="0.3">
      <c r="B43" s="455" t="s">
        <v>5030</v>
      </c>
      <c r="C43" s="459" t="s">
        <v>5031</v>
      </c>
      <c r="D43" s="460">
        <v>0</v>
      </c>
      <c r="E43" s="461">
        <v>118300</v>
      </c>
      <c r="F43" s="461">
        <v>118300</v>
      </c>
      <c r="G43" s="460">
        <v>0</v>
      </c>
    </row>
    <row r="44" spans="2:7" ht="15" customHeight="1" x14ac:dyDescent="0.3">
      <c r="B44" s="455" t="s">
        <v>5032</v>
      </c>
      <c r="C44" s="459" t="s">
        <v>5033</v>
      </c>
      <c r="D44" s="460">
        <v>0</v>
      </c>
      <c r="E44" s="461">
        <v>14000</v>
      </c>
      <c r="F44" s="461">
        <v>14000</v>
      </c>
      <c r="G44" s="460">
        <v>0</v>
      </c>
    </row>
    <row r="45" spans="2:7" ht="15" customHeight="1" x14ac:dyDescent="0.3">
      <c r="B45" s="455" t="s">
        <v>5034</v>
      </c>
      <c r="C45" s="459" t="s">
        <v>224</v>
      </c>
      <c r="D45" s="460">
        <v>0</v>
      </c>
      <c r="E45" s="460">
        <v>950</v>
      </c>
      <c r="F45" s="460">
        <v>950</v>
      </c>
      <c r="G45" s="460">
        <v>0</v>
      </c>
    </row>
    <row r="46" spans="2:7" ht="15" customHeight="1" x14ac:dyDescent="0.3">
      <c r="B46" s="455" t="s">
        <v>5035</v>
      </c>
      <c r="C46" s="459" t="s">
        <v>5036</v>
      </c>
      <c r="D46" s="460">
        <v>0</v>
      </c>
      <c r="E46" s="461">
        <v>2700</v>
      </c>
      <c r="F46" s="460">
        <v>0</v>
      </c>
      <c r="G46" s="461">
        <v>2700</v>
      </c>
    </row>
    <row r="47" spans="2:7" ht="15" customHeight="1" x14ac:dyDescent="0.3">
      <c r="B47" s="455" t="s">
        <v>5037</v>
      </c>
      <c r="C47" s="459" t="s">
        <v>230</v>
      </c>
      <c r="D47" s="460">
        <v>0</v>
      </c>
      <c r="E47" s="461">
        <v>25200</v>
      </c>
      <c r="F47" s="461">
        <v>25200</v>
      </c>
      <c r="G47" s="460">
        <v>0</v>
      </c>
    </row>
    <row r="48" spans="2:7" ht="15" customHeight="1" x14ac:dyDescent="0.3">
      <c r="B48" s="455" t="s">
        <v>5038</v>
      </c>
      <c r="C48" s="459" t="s">
        <v>247</v>
      </c>
      <c r="D48" s="460">
        <v>0</v>
      </c>
      <c r="E48" s="461">
        <v>19190.52</v>
      </c>
      <c r="F48" s="461">
        <v>19190.52</v>
      </c>
      <c r="G48" s="460">
        <v>0</v>
      </c>
    </row>
    <row r="49" spans="2:7" ht="15" customHeight="1" x14ac:dyDescent="0.3">
      <c r="B49" s="455" t="s">
        <v>5039</v>
      </c>
      <c r="C49" s="459" t="s">
        <v>254</v>
      </c>
      <c r="D49" s="460">
        <v>0</v>
      </c>
      <c r="E49" s="461">
        <v>22680</v>
      </c>
      <c r="F49" s="461">
        <v>22680</v>
      </c>
      <c r="G49" s="460">
        <v>0</v>
      </c>
    </row>
    <row r="50" spans="2:7" ht="15" customHeight="1" x14ac:dyDescent="0.3">
      <c r="B50" s="455" t="s">
        <v>5040</v>
      </c>
      <c r="C50" s="459" t="s">
        <v>5041</v>
      </c>
      <c r="D50" s="460">
        <v>0</v>
      </c>
      <c r="E50" s="461">
        <v>5040</v>
      </c>
      <c r="F50" s="461">
        <v>5040</v>
      </c>
      <c r="G50" s="460">
        <v>0</v>
      </c>
    </row>
    <row r="51" spans="2:7" ht="15" customHeight="1" x14ac:dyDescent="0.3">
      <c r="B51" s="455" t="s">
        <v>5042</v>
      </c>
      <c r="C51" s="459" t="s">
        <v>261</v>
      </c>
      <c r="D51" s="460">
        <v>0</v>
      </c>
      <c r="E51" s="461">
        <v>64200</v>
      </c>
      <c r="F51" s="461">
        <v>64200</v>
      </c>
      <c r="G51" s="460">
        <v>0</v>
      </c>
    </row>
    <row r="52" spans="2:7" ht="15" customHeight="1" x14ac:dyDescent="0.3">
      <c r="B52" s="455" t="s">
        <v>5043</v>
      </c>
      <c r="C52" s="459" t="s">
        <v>263</v>
      </c>
      <c r="D52" s="460">
        <v>0</v>
      </c>
      <c r="E52" s="461">
        <v>12461.5</v>
      </c>
      <c r="F52" s="461">
        <v>12461.5</v>
      </c>
      <c r="G52" s="460">
        <v>0</v>
      </c>
    </row>
    <row r="53" spans="2:7" ht="15" customHeight="1" x14ac:dyDescent="0.3">
      <c r="B53" s="455" t="s">
        <v>5044</v>
      </c>
      <c r="C53" s="459" t="s">
        <v>265</v>
      </c>
      <c r="D53" s="460">
        <v>0</v>
      </c>
      <c r="E53" s="461">
        <v>12661.25</v>
      </c>
      <c r="F53" s="461">
        <v>10911.25</v>
      </c>
      <c r="G53" s="461">
        <v>1750</v>
      </c>
    </row>
    <row r="54" spans="2:7" ht="15" customHeight="1" x14ac:dyDescent="0.3">
      <c r="B54" s="455" t="s">
        <v>5045</v>
      </c>
      <c r="C54" s="459" t="s">
        <v>3375</v>
      </c>
      <c r="D54" s="460">
        <v>0</v>
      </c>
      <c r="E54" s="461">
        <v>6925.26</v>
      </c>
      <c r="F54" s="461">
        <v>6690</v>
      </c>
      <c r="G54" s="460">
        <v>235.26</v>
      </c>
    </row>
    <row r="55" spans="2:7" ht="15" customHeight="1" x14ac:dyDescent="0.3">
      <c r="B55" s="455" t="s">
        <v>5046</v>
      </c>
      <c r="C55" s="459" t="s">
        <v>271</v>
      </c>
      <c r="D55" s="460">
        <v>0</v>
      </c>
      <c r="E55" s="461">
        <v>2415</v>
      </c>
      <c r="F55" s="461">
        <v>2415</v>
      </c>
      <c r="G55" s="460">
        <v>0</v>
      </c>
    </row>
    <row r="56" spans="2:7" ht="15" customHeight="1" x14ac:dyDescent="0.3">
      <c r="B56" s="455" t="s">
        <v>5047</v>
      </c>
      <c r="C56" s="459" t="s">
        <v>5048</v>
      </c>
      <c r="D56" s="460">
        <v>0</v>
      </c>
      <c r="E56" s="461">
        <v>20507.09</v>
      </c>
      <c r="F56" s="461">
        <v>20507.09</v>
      </c>
      <c r="G56" s="460">
        <v>0</v>
      </c>
    </row>
    <row r="57" spans="2:7" ht="15" customHeight="1" x14ac:dyDescent="0.3">
      <c r="B57" s="455" t="s">
        <v>5049</v>
      </c>
      <c r="C57" s="459" t="s">
        <v>287</v>
      </c>
      <c r="D57" s="461">
        <v>4750</v>
      </c>
      <c r="E57" s="460">
        <v>0</v>
      </c>
      <c r="F57" s="461">
        <v>4750</v>
      </c>
      <c r="G57" s="460">
        <v>0</v>
      </c>
    </row>
    <row r="58" spans="2:7" ht="15" customHeight="1" x14ac:dyDescent="0.3">
      <c r="B58" s="455" t="s">
        <v>5050</v>
      </c>
      <c r="C58" s="459" t="s">
        <v>294</v>
      </c>
      <c r="D58" s="460">
        <v>0</v>
      </c>
      <c r="E58" s="461">
        <v>6561.07</v>
      </c>
      <c r="F58" s="461">
        <v>6561.07</v>
      </c>
      <c r="G58" s="460">
        <v>0</v>
      </c>
    </row>
    <row r="59" spans="2:7" ht="15" customHeight="1" x14ac:dyDescent="0.3">
      <c r="B59" s="455" t="s">
        <v>5051</v>
      </c>
      <c r="C59" s="459" t="s">
        <v>301</v>
      </c>
      <c r="D59" s="461">
        <v>10163</v>
      </c>
      <c r="E59" s="460">
        <v>0</v>
      </c>
      <c r="F59" s="461">
        <v>10163</v>
      </c>
      <c r="G59" s="460">
        <v>0</v>
      </c>
    </row>
    <row r="60" spans="2:7" ht="15" customHeight="1" x14ac:dyDescent="0.3">
      <c r="B60" s="455" t="s">
        <v>5052</v>
      </c>
      <c r="C60" s="459" t="s">
        <v>304</v>
      </c>
      <c r="D60" s="460">
        <v>0</v>
      </c>
      <c r="E60" s="461">
        <v>41768.94</v>
      </c>
      <c r="F60" s="461">
        <v>34418.94</v>
      </c>
      <c r="G60" s="461">
        <v>7350</v>
      </c>
    </row>
    <row r="61" spans="2:7" ht="15" customHeight="1" x14ac:dyDescent="0.3">
      <c r="B61" s="455" t="s">
        <v>5053</v>
      </c>
      <c r="C61" s="459" t="s">
        <v>308</v>
      </c>
      <c r="D61" s="460">
        <v>0</v>
      </c>
      <c r="E61" s="461">
        <v>37300</v>
      </c>
      <c r="F61" s="461">
        <v>37300</v>
      </c>
      <c r="G61" s="460">
        <v>0</v>
      </c>
    </row>
    <row r="62" spans="2:7" ht="15" customHeight="1" x14ac:dyDescent="0.3">
      <c r="B62" s="455" t="s">
        <v>5054</v>
      </c>
      <c r="C62" s="459" t="s">
        <v>310</v>
      </c>
      <c r="D62" s="461">
        <v>16488.5</v>
      </c>
      <c r="E62" s="460">
        <v>0</v>
      </c>
      <c r="F62" s="461">
        <v>16488.5</v>
      </c>
      <c r="G62" s="460">
        <v>0</v>
      </c>
    </row>
    <row r="63" spans="2:7" ht="15" customHeight="1" x14ac:dyDescent="0.3">
      <c r="B63" s="455" t="s">
        <v>5055</v>
      </c>
      <c r="C63" s="459" t="s">
        <v>313</v>
      </c>
      <c r="D63" s="460">
        <v>0</v>
      </c>
      <c r="E63" s="461">
        <v>3060</v>
      </c>
      <c r="F63" s="461">
        <v>3060</v>
      </c>
      <c r="G63" s="460">
        <v>0</v>
      </c>
    </row>
    <row r="64" spans="2:7" ht="15" customHeight="1" x14ac:dyDescent="0.3">
      <c r="B64" s="455" t="s">
        <v>5056</v>
      </c>
      <c r="C64" s="459" t="s">
        <v>317</v>
      </c>
      <c r="D64" s="461">
        <v>19080</v>
      </c>
      <c r="E64" s="460">
        <v>0</v>
      </c>
      <c r="F64" s="461">
        <v>19080</v>
      </c>
      <c r="G64" s="460">
        <v>0</v>
      </c>
    </row>
    <row r="65" spans="2:7" ht="15" customHeight="1" x14ac:dyDescent="0.3">
      <c r="B65" s="455" t="s">
        <v>5057</v>
      </c>
      <c r="C65" s="459" t="s">
        <v>323</v>
      </c>
      <c r="D65" s="460">
        <v>0</v>
      </c>
      <c r="E65" s="461">
        <v>6388.2</v>
      </c>
      <c r="F65" s="461">
        <v>6388.2</v>
      </c>
      <c r="G65" s="460">
        <v>0</v>
      </c>
    </row>
    <row r="66" spans="2:7" ht="15" customHeight="1" x14ac:dyDescent="0.3">
      <c r="B66" s="455" t="s">
        <v>5058</v>
      </c>
      <c r="C66" s="459" t="s">
        <v>325</v>
      </c>
      <c r="D66" s="460">
        <v>0</v>
      </c>
      <c r="E66" s="461">
        <v>17850</v>
      </c>
      <c r="F66" s="461">
        <v>17850</v>
      </c>
      <c r="G66" s="460">
        <v>0</v>
      </c>
    </row>
    <row r="67" spans="2:7" ht="15" customHeight="1" x14ac:dyDescent="0.3">
      <c r="B67" s="455" t="s">
        <v>5059</v>
      </c>
      <c r="C67" s="459" t="s">
        <v>327</v>
      </c>
      <c r="D67" s="460">
        <v>0</v>
      </c>
      <c r="E67" s="461">
        <v>88500</v>
      </c>
      <c r="F67" s="461">
        <v>88500</v>
      </c>
      <c r="G67" s="460">
        <v>0</v>
      </c>
    </row>
    <row r="68" spans="2:7" ht="15" customHeight="1" x14ac:dyDescent="0.3">
      <c r="B68" s="455" t="s">
        <v>5060</v>
      </c>
      <c r="C68" s="459" t="s">
        <v>332</v>
      </c>
      <c r="D68" s="460">
        <v>0</v>
      </c>
      <c r="E68" s="461">
        <v>76056.100000000006</v>
      </c>
      <c r="F68" s="461">
        <v>76056.100000000006</v>
      </c>
      <c r="G68" s="460">
        <v>0</v>
      </c>
    </row>
    <row r="69" spans="2:7" ht="15" customHeight="1" x14ac:dyDescent="0.3">
      <c r="B69" s="455" t="s">
        <v>5061</v>
      </c>
      <c r="C69" s="459" t="s">
        <v>376</v>
      </c>
      <c r="D69" s="461">
        <v>6380</v>
      </c>
      <c r="E69" s="460">
        <v>0</v>
      </c>
      <c r="F69" s="460">
        <v>0</v>
      </c>
      <c r="G69" s="461">
        <v>6380</v>
      </c>
    </row>
    <row r="70" spans="2:7" ht="15" customHeight="1" x14ac:dyDescent="0.3">
      <c r="B70" s="455" t="s">
        <v>5062</v>
      </c>
      <c r="C70" s="459" t="s">
        <v>3378</v>
      </c>
      <c r="D70" s="460">
        <v>0</v>
      </c>
      <c r="E70" s="460">
        <v>761.1</v>
      </c>
      <c r="F70" s="460">
        <v>0</v>
      </c>
      <c r="G70" s="460">
        <v>761.1</v>
      </c>
    </row>
    <row r="71" spans="2:7" ht="15" customHeight="1" x14ac:dyDescent="0.3">
      <c r="B71" s="455" t="s">
        <v>5063</v>
      </c>
      <c r="C71" s="459" t="s">
        <v>3379</v>
      </c>
      <c r="D71" s="461">
        <v>77500</v>
      </c>
      <c r="E71" s="460">
        <v>0</v>
      </c>
      <c r="F71" s="460">
        <v>0</v>
      </c>
      <c r="G71" s="461">
        <v>77500</v>
      </c>
    </row>
    <row r="72" spans="2:7" ht="15" customHeight="1" x14ac:dyDescent="0.3">
      <c r="B72" s="455" t="s">
        <v>5064</v>
      </c>
      <c r="C72" s="459" t="s">
        <v>3383</v>
      </c>
      <c r="D72" s="460">
        <v>0</v>
      </c>
      <c r="E72" s="461">
        <v>14700</v>
      </c>
      <c r="F72" s="461">
        <v>14700</v>
      </c>
      <c r="G72" s="460">
        <v>0</v>
      </c>
    </row>
    <row r="73" spans="2:7" ht="15" customHeight="1" x14ac:dyDescent="0.3">
      <c r="B73" s="455" t="s">
        <v>5065</v>
      </c>
      <c r="C73" s="459" t="s">
        <v>3384</v>
      </c>
      <c r="D73" s="460">
        <v>0</v>
      </c>
      <c r="E73" s="461">
        <v>4084.5</v>
      </c>
      <c r="F73" s="461">
        <v>4084.5</v>
      </c>
      <c r="G73" s="460">
        <v>0</v>
      </c>
    </row>
    <row r="74" spans="2:7" ht="15" customHeight="1" x14ac:dyDescent="0.3">
      <c r="B74" s="455" t="s">
        <v>5066</v>
      </c>
      <c r="C74" s="459" t="s">
        <v>5067</v>
      </c>
      <c r="D74" s="460">
        <v>0</v>
      </c>
      <c r="E74" s="461">
        <v>5124.2</v>
      </c>
      <c r="F74" s="461">
        <v>5124.2</v>
      </c>
      <c r="G74" s="460">
        <v>0</v>
      </c>
    </row>
    <row r="75" spans="2:7" ht="15" customHeight="1" x14ac:dyDescent="0.3">
      <c r="B75" s="455" t="s">
        <v>5068</v>
      </c>
      <c r="C75" s="459" t="s">
        <v>5069</v>
      </c>
      <c r="D75" s="460">
        <v>0</v>
      </c>
      <c r="E75" s="461">
        <v>2750</v>
      </c>
      <c r="F75" s="461">
        <v>2750</v>
      </c>
      <c r="G75" s="460">
        <v>0</v>
      </c>
    </row>
    <row r="76" spans="2:7" ht="15" customHeight="1" x14ac:dyDescent="0.3">
      <c r="B76" s="455" t="s">
        <v>5070</v>
      </c>
      <c r="C76" s="459" t="s">
        <v>5071</v>
      </c>
      <c r="D76" s="460">
        <v>0</v>
      </c>
      <c r="E76" s="461">
        <v>4900</v>
      </c>
      <c r="F76" s="461">
        <v>4900</v>
      </c>
      <c r="G76" s="460">
        <v>0</v>
      </c>
    </row>
    <row r="77" spans="2:7" ht="15" customHeight="1" x14ac:dyDescent="0.3">
      <c r="B77" s="455" t="s">
        <v>5072</v>
      </c>
      <c r="C77" s="459" t="s">
        <v>5073</v>
      </c>
      <c r="D77" s="460">
        <v>0</v>
      </c>
      <c r="E77" s="461">
        <v>13650</v>
      </c>
      <c r="F77" s="461">
        <v>13650</v>
      </c>
      <c r="G77" s="460">
        <v>0</v>
      </c>
    </row>
    <row r="78" spans="2:7" ht="15" customHeight="1" x14ac:dyDescent="0.3">
      <c r="B78" s="455" t="s">
        <v>5074</v>
      </c>
      <c r="C78" s="459" t="s">
        <v>5075</v>
      </c>
      <c r="D78" s="460">
        <v>0</v>
      </c>
      <c r="E78" s="461">
        <v>399500</v>
      </c>
      <c r="F78" s="461">
        <v>399500</v>
      </c>
      <c r="G78" s="460">
        <v>0</v>
      </c>
    </row>
    <row r="79" spans="2:7" ht="15" customHeight="1" x14ac:dyDescent="0.3">
      <c r="B79" s="455" t="s">
        <v>5076</v>
      </c>
      <c r="C79" s="459" t="s">
        <v>5077</v>
      </c>
      <c r="D79" s="460">
        <v>0</v>
      </c>
      <c r="E79" s="461">
        <v>78000</v>
      </c>
      <c r="F79" s="461">
        <v>78000</v>
      </c>
      <c r="G79" s="460">
        <v>0</v>
      </c>
    </row>
    <row r="80" spans="2:7" ht="15" customHeight="1" x14ac:dyDescent="0.3">
      <c r="B80" s="455" t="s">
        <v>5078</v>
      </c>
      <c r="C80" s="459" t="s">
        <v>3386</v>
      </c>
      <c r="D80" s="460">
        <v>0</v>
      </c>
      <c r="E80" s="461">
        <v>29241.9</v>
      </c>
      <c r="F80" s="461">
        <v>29241.9</v>
      </c>
      <c r="G80" s="460">
        <v>0</v>
      </c>
    </row>
    <row r="81" spans="2:7" ht="15" customHeight="1" x14ac:dyDescent="0.3">
      <c r="B81" s="455" t="s">
        <v>5079</v>
      </c>
      <c r="C81" s="459" t="s">
        <v>3387</v>
      </c>
      <c r="D81" s="460">
        <v>0</v>
      </c>
      <c r="E81" s="461">
        <v>11500</v>
      </c>
      <c r="F81" s="461">
        <v>11500</v>
      </c>
      <c r="G81" s="460">
        <v>0</v>
      </c>
    </row>
    <row r="82" spans="2:7" ht="15" customHeight="1" x14ac:dyDescent="0.3">
      <c r="B82" s="455" t="s">
        <v>5080</v>
      </c>
      <c r="C82" s="459" t="s">
        <v>3389</v>
      </c>
      <c r="D82" s="460">
        <v>0</v>
      </c>
      <c r="E82" s="461">
        <v>2187</v>
      </c>
      <c r="F82" s="461">
        <v>2187</v>
      </c>
      <c r="G82" s="460">
        <v>0</v>
      </c>
    </row>
    <row r="83" spans="2:7" ht="15" customHeight="1" x14ac:dyDescent="0.3">
      <c r="B83" s="455" t="s">
        <v>5081</v>
      </c>
      <c r="C83" s="459" t="s">
        <v>5082</v>
      </c>
      <c r="D83" s="460">
        <v>0</v>
      </c>
      <c r="E83" s="461">
        <v>414960</v>
      </c>
      <c r="F83" s="461">
        <v>274911</v>
      </c>
      <c r="G83" s="461">
        <v>140049</v>
      </c>
    </row>
    <row r="84" spans="2:7" ht="15" customHeight="1" x14ac:dyDescent="0.3">
      <c r="B84" s="455" t="s">
        <v>5083</v>
      </c>
      <c r="C84" s="459" t="s">
        <v>5084</v>
      </c>
      <c r="D84" s="460">
        <v>0</v>
      </c>
      <c r="E84" s="461">
        <v>2400</v>
      </c>
      <c r="F84" s="461">
        <v>2400</v>
      </c>
      <c r="G84" s="460">
        <v>0</v>
      </c>
    </row>
    <row r="85" spans="2:7" ht="15" customHeight="1" x14ac:dyDescent="0.3">
      <c r="B85" s="455" t="s">
        <v>5085</v>
      </c>
      <c r="C85" s="459" t="s">
        <v>3390</v>
      </c>
      <c r="D85" s="461">
        <v>3717.9</v>
      </c>
      <c r="E85" s="460">
        <v>0</v>
      </c>
      <c r="F85" s="461">
        <v>3717.9</v>
      </c>
      <c r="G85" s="460">
        <v>0</v>
      </c>
    </row>
    <row r="86" spans="2:7" ht="15" customHeight="1" x14ac:dyDescent="0.3">
      <c r="B86" s="455" t="s">
        <v>5086</v>
      </c>
      <c r="C86" s="459" t="s">
        <v>5087</v>
      </c>
      <c r="D86" s="460">
        <v>0</v>
      </c>
      <c r="E86" s="461">
        <v>32805</v>
      </c>
      <c r="F86" s="461">
        <v>32805</v>
      </c>
      <c r="G86" s="460">
        <v>0</v>
      </c>
    </row>
    <row r="87" spans="2:7" ht="15" customHeight="1" x14ac:dyDescent="0.3">
      <c r="B87" s="455" t="s">
        <v>5088</v>
      </c>
      <c r="C87" s="459" t="s">
        <v>5089</v>
      </c>
      <c r="D87" s="460">
        <v>0</v>
      </c>
      <c r="E87" s="461">
        <v>7290</v>
      </c>
      <c r="F87" s="461">
        <v>7290</v>
      </c>
      <c r="G87" s="460">
        <v>0</v>
      </c>
    </row>
    <row r="88" spans="2:7" ht="15" customHeight="1" x14ac:dyDescent="0.3">
      <c r="B88" s="455" t="s">
        <v>5090</v>
      </c>
      <c r="C88" s="459" t="s">
        <v>5091</v>
      </c>
      <c r="D88" s="460">
        <v>0</v>
      </c>
      <c r="E88" s="461">
        <v>16767</v>
      </c>
      <c r="F88" s="461">
        <v>16767</v>
      </c>
      <c r="G88" s="460">
        <v>0</v>
      </c>
    </row>
    <row r="89" spans="2:7" ht="15" customHeight="1" x14ac:dyDescent="0.3">
      <c r="B89" s="455" t="s">
        <v>5092</v>
      </c>
      <c r="C89" s="459" t="s">
        <v>5093</v>
      </c>
      <c r="D89" s="460">
        <v>0</v>
      </c>
      <c r="E89" s="461">
        <v>6561</v>
      </c>
      <c r="F89" s="461">
        <v>6561</v>
      </c>
      <c r="G89" s="460">
        <v>0</v>
      </c>
    </row>
    <row r="90" spans="2:7" ht="15" customHeight="1" x14ac:dyDescent="0.3">
      <c r="B90" s="455" t="s">
        <v>5094</v>
      </c>
      <c r="C90" s="459" t="s">
        <v>5095</v>
      </c>
      <c r="D90" s="460">
        <v>0</v>
      </c>
      <c r="E90" s="461">
        <v>2916</v>
      </c>
      <c r="F90" s="461">
        <v>2916</v>
      </c>
      <c r="G90" s="460">
        <v>0</v>
      </c>
    </row>
    <row r="91" spans="2:7" ht="15" customHeight="1" x14ac:dyDescent="0.3">
      <c r="B91" s="455" t="s">
        <v>5096</v>
      </c>
      <c r="C91" s="459" t="s">
        <v>5097</v>
      </c>
      <c r="D91" s="460">
        <v>0</v>
      </c>
      <c r="E91" s="460">
        <v>599.94000000000005</v>
      </c>
      <c r="F91" s="460">
        <v>599.94000000000005</v>
      </c>
      <c r="G91" s="460">
        <v>0</v>
      </c>
    </row>
    <row r="92" spans="2:7" ht="15" customHeight="1" x14ac:dyDescent="0.3">
      <c r="B92" s="455" t="s">
        <v>5098</v>
      </c>
      <c r="C92" s="459" t="s">
        <v>5099</v>
      </c>
      <c r="D92" s="460">
        <v>0</v>
      </c>
      <c r="E92" s="461">
        <v>13031.03</v>
      </c>
      <c r="F92" s="461">
        <v>13031.03</v>
      </c>
      <c r="G92" s="460">
        <v>0</v>
      </c>
    </row>
    <row r="93" spans="2:7" ht="15" customHeight="1" x14ac:dyDescent="0.3">
      <c r="B93" s="455" t="s">
        <v>5100</v>
      </c>
      <c r="C93" s="459" t="s">
        <v>5101</v>
      </c>
      <c r="D93" s="460">
        <v>0</v>
      </c>
      <c r="E93" s="461">
        <v>42625</v>
      </c>
      <c r="F93" s="461">
        <v>42625</v>
      </c>
      <c r="G93" s="460">
        <v>0</v>
      </c>
    </row>
    <row r="94" spans="2:7" ht="15" customHeight="1" x14ac:dyDescent="0.3">
      <c r="B94" s="455" t="s">
        <v>5102</v>
      </c>
      <c r="C94" s="459" t="s">
        <v>5103</v>
      </c>
      <c r="D94" s="460">
        <v>0</v>
      </c>
      <c r="E94" s="461">
        <v>61620</v>
      </c>
      <c r="F94" s="461">
        <v>61620</v>
      </c>
      <c r="G94" s="460">
        <v>0</v>
      </c>
    </row>
    <row r="95" spans="2:7" ht="15" customHeight="1" x14ac:dyDescent="0.3">
      <c r="B95" s="455" t="s">
        <v>5104</v>
      </c>
      <c r="C95" s="459" t="s">
        <v>5105</v>
      </c>
      <c r="D95" s="460">
        <v>0</v>
      </c>
      <c r="E95" s="461">
        <v>19500</v>
      </c>
      <c r="F95" s="461">
        <v>19500</v>
      </c>
      <c r="G95" s="460">
        <v>0</v>
      </c>
    </row>
    <row r="96" spans="2:7" ht="15" customHeight="1" x14ac:dyDescent="0.3">
      <c r="B96" s="455" t="s">
        <v>5106</v>
      </c>
      <c r="C96" s="459" t="s">
        <v>5107</v>
      </c>
      <c r="D96" s="460">
        <v>0</v>
      </c>
      <c r="E96" s="461">
        <v>182664</v>
      </c>
      <c r="F96" s="461">
        <v>182664</v>
      </c>
      <c r="G96" s="460">
        <v>0</v>
      </c>
    </row>
    <row r="97" spans="2:7" ht="15" customHeight="1" x14ac:dyDescent="0.3">
      <c r="B97" s="455" t="s">
        <v>5108</v>
      </c>
      <c r="C97" s="459" t="s">
        <v>5109</v>
      </c>
      <c r="D97" s="460">
        <v>0</v>
      </c>
      <c r="E97" s="461">
        <v>4202.97</v>
      </c>
      <c r="F97" s="461">
        <v>4202.97</v>
      </c>
      <c r="G97" s="460">
        <v>0</v>
      </c>
    </row>
    <row r="98" spans="2:7" ht="15" customHeight="1" x14ac:dyDescent="0.3">
      <c r="B98" s="455" t="s">
        <v>5110</v>
      </c>
      <c r="C98" s="459" t="s">
        <v>5111</v>
      </c>
      <c r="D98" s="460">
        <v>0</v>
      </c>
      <c r="E98" s="461">
        <v>2846.28</v>
      </c>
      <c r="F98" s="461">
        <v>2846.28</v>
      </c>
      <c r="G98" s="460">
        <v>0</v>
      </c>
    </row>
    <row r="99" spans="2:7" ht="15" customHeight="1" x14ac:dyDescent="0.3">
      <c r="B99" s="455" t="s">
        <v>5112</v>
      </c>
      <c r="C99" s="459" t="s">
        <v>5113</v>
      </c>
      <c r="D99" s="460">
        <v>0</v>
      </c>
      <c r="E99" s="461">
        <v>14215.5</v>
      </c>
      <c r="F99" s="461">
        <v>14215.5</v>
      </c>
      <c r="G99" s="460">
        <v>0</v>
      </c>
    </row>
    <row r="100" spans="2:7" ht="15" customHeight="1" x14ac:dyDescent="0.3">
      <c r="B100" s="455" t="s">
        <v>5114</v>
      </c>
      <c r="C100" s="459" t="s">
        <v>5115</v>
      </c>
      <c r="D100" s="460">
        <v>0</v>
      </c>
      <c r="E100" s="461">
        <v>7700</v>
      </c>
      <c r="F100" s="461">
        <v>4200</v>
      </c>
      <c r="G100" s="461">
        <v>3500</v>
      </c>
    </row>
    <row r="101" spans="2:7" ht="15" customHeight="1" x14ac:dyDescent="0.3">
      <c r="B101" s="455" t="s">
        <v>5116</v>
      </c>
      <c r="C101" s="459" t="s">
        <v>5117</v>
      </c>
      <c r="D101" s="460">
        <v>0</v>
      </c>
      <c r="E101" s="461">
        <v>4200</v>
      </c>
      <c r="F101" s="461">
        <v>4200</v>
      </c>
      <c r="G101" s="460">
        <v>0</v>
      </c>
    </row>
    <row r="102" spans="2:7" ht="15" customHeight="1" x14ac:dyDescent="0.3">
      <c r="B102" s="455" t="s">
        <v>5118</v>
      </c>
      <c r="C102" s="459" t="s">
        <v>5119</v>
      </c>
      <c r="D102" s="460">
        <v>0</v>
      </c>
      <c r="E102" s="461">
        <v>39178.49</v>
      </c>
      <c r="F102" s="461">
        <v>32428.49</v>
      </c>
      <c r="G102" s="461">
        <v>6750</v>
      </c>
    </row>
    <row r="103" spans="2:7" ht="15" customHeight="1" x14ac:dyDescent="0.3">
      <c r="B103" s="455" t="s">
        <v>5120</v>
      </c>
      <c r="C103" s="459" t="s">
        <v>5121</v>
      </c>
      <c r="D103" s="460">
        <v>0</v>
      </c>
      <c r="E103" s="461">
        <v>3645</v>
      </c>
      <c r="F103" s="461">
        <v>3645</v>
      </c>
      <c r="G103" s="460">
        <v>0</v>
      </c>
    </row>
    <row r="104" spans="2:7" ht="15" customHeight="1" x14ac:dyDescent="0.3">
      <c r="B104" s="455" t="s">
        <v>5122</v>
      </c>
      <c r="C104" s="459" t="s">
        <v>5123</v>
      </c>
      <c r="D104" s="460">
        <v>0</v>
      </c>
      <c r="E104" s="461">
        <v>49400</v>
      </c>
      <c r="F104" s="461">
        <v>49400</v>
      </c>
      <c r="G104" s="460">
        <v>0</v>
      </c>
    </row>
    <row r="105" spans="2:7" ht="15" customHeight="1" x14ac:dyDescent="0.3">
      <c r="B105" s="455" t="s">
        <v>5124</v>
      </c>
      <c r="C105" s="459" t="s">
        <v>5125</v>
      </c>
      <c r="D105" s="460">
        <v>0</v>
      </c>
      <c r="E105" s="461">
        <v>92000</v>
      </c>
      <c r="F105" s="461">
        <v>92000</v>
      </c>
      <c r="G105" s="460">
        <v>0</v>
      </c>
    </row>
    <row r="106" spans="2:7" ht="15" customHeight="1" x14ac:dyDescent="0.3">
      <c r="B106" s="455" t="s">
        <v>5126</v>
      </c>
      <c r="C106" s="459" t="s">
        <v>5127</v>
      </c>
      <c r="D106" s="460">
        <v>0</v>
      </c>
      <c r="E106" s="461">
        <v>19683</v>
      </c>
      <c r="F106" s="461">
        <v>19683</v>
      </c>
      <c r="G106" s="460">
        <v>0</v>
      </c>
    </row>
    <row r="107" spans="2:7" ht="15" customHeight="1" x14ac:dyDescent="0.3">
      <c r="B107" s="455" t="s">
        <v>5128</v>
      </c>
      <c r="C107" s="459" t="s">
        <v>5129</v>
      </c>
      <c r="D107" s="460">
        <v>0</v>
      </c>
      <c r="E107" s="461">
        <v>147855</v>
      </c>
      <c r="F107" s="461">
        <v>120525</v>
      </c>
      <c r="G107" s="461">
        <v>27330</v>
      </c>
    </row>
    <row r="108" spans="2:7" ht="15" customHeight="1" x14ac:dyDescent="0.3">
      <c r="B108" s="455" t="s">
        <v>5130</v>
      </c>
      <c r="C108" s="459" t="s">
        <v>5131</v>
      </c>
      <c r="D108" s="460">
        <v>0</v>
      </c>
      <c r="E108" s="461">
        <v>11121.17</v>
      </c>
      <c r="F108" s="461">
        <v>11121.17</v>
      </c>
      <c r="G108" s="460">
        <v>0</v>
      </c>
    </row>
    <row r="109" spans="2:7" ht="15" customHeight="1" x14ac:dyDescent="0.3">
      <c r="B109" s="455" t="s">
        <v>5132</v>
      </c>
      <c r="C109" s="459" t="s">
        <v>5133</v>
      </c>
      <c r="D109" s="460">
        <v>0</v>
      </c>
      <c r="E109" s="461">
        <v>17860.5</v>
      </c>
      <c r="F109" s="461">
        <v>17860.5</v>
      </c>
      <c r="G109" s="460">
        <v>0</v>
      </c>
    </row>
    <row r="110" spans="2:7" ht="15" customHeight="1" x14ac:dyDescent="0.3">
      <c r="B110" s="455" t="s">
        <v>5134</v>
      </c>
      <c r="C110" s="459" t="s">
        <v>5135</v>
      </c>
      <c r="D110" s="460">
        <v>0</v>
      </c>
      <c r="E110" s="461">
        <v>81971.899999999994</v>
      </c>
      <c r="F110" s="461">
        <v>81971.899999999994</v>
      </c>
      <c r="G110" s="460">
        <v>0</v>
      </c>
    </row>
    <row r="111" spans="2:7" ht="15" customHeight="1" x14ac:dyDescent="0.3">
      <c r="B111" s="455" t="s">
        <v>5136</v>
      </c>
      <c r="C111" s="459" t="s">
        <v>5137</v>
      </c>
      <c r="D111" s="460">
        <v>0</v>
      </c>
      <c r="E111" s="461">
        <v>2882.5</v>
      </c>
      <c r="F111" s="461">
        <v>2882.5</v>
      </c>
      <c r="G111" s="460">
        <v>0</v>
      </c>
    </row>
    <row r="112" spans="2:7" ht="15" customHeight="1" x14ac:dyDescent="0.3">
      <c r="B112" s="455" t="s">
        <v>5138</v>
      </c>
      <c r="C112" s="459" t="s">
        <v>5139</v>
      </c>
      <c r="D112" s="460">
        <v>0</v>
      </c>
      <c r="E112" s="461">
        <v>50198.97</v>
      </c>
      <c r="F112" s="461">
        <v>38948.97</v>
      </c>
      <c r="G112" s="461">
        <v>11250</v>
      </c>
    </row>
    <row r="113" spans="2:9" ht="15" customHeight="1" x14ac:dyDescent="0.3">
      <c r="B113" s="455" t="s">
        <v>5140</v>
      </c>
      <c r="C113" s="459" t="s">
        <v>5141</v>
      </c>
      <c r="D113" s="460">
        <v>0</v>
      </c>
      <c r="E113" s="461">
        <v>17100</v>
      </c>
      <c r="F113" s="461">
        <v>17100</v>
      </c>
      <c r="G113" s="460">
        <v>0</v>
      </c>
    </row>
    <row r="114" spans="2:9" ht="15" customHeight="1" x14ac:dyDescent="0.3">
      <c r="B114" s="455" t="s">
        <v>5142</v>
      </c>
      <c r="C114" s="459" t="s">
        <v>5143</v>
      </c>
      <c r="D114" s="460">
        <v>0</v>
      </c>
      <c r="E114" s="461">
        <v>11400</v>
      </c>
      <c r="F114" s="461">
        <v>5700</v>
      </c>
      <c r="G114" s="461">
        <v>5700</v>
      </c>
    </row>
    <row r="115" spans="2:9" ht="15" customHeight="1" x14ac:dyDescent="0.3">
      <c r="B115" s="455" t="s">
        <v>5144</v>
      </c>
      <c r="C115" s="459" t="s">
        <v>5145</v>
      </c>
      <c r="D115" s="460">
        <v>0</v>
      </c>
      <c r="E115" s="461">
        <v>76792</v>
      </c>
      <c r="F115" s="461">
        <v>76792</v>
      </c>
      <c r="G115" s="460">
        <v>0</v>
      </c>
    </row>
    <row r="116" spans="2:9" ht="15" customHeight="1" x14ac:dyDescent="0.3">
      <c r="B116" s="455" t="s">
        <v>5146</v>
      </c>
      <c r="C116" s="459" t="s">
        <v>5147</v>
      </c>
      <c r="D116" s="460">
        <v>0</v>
      </c>
      <c r="E116" s="461">
        <v>170100</v>
      </c>
      <c r="F116" s="460">
        <v>0</v>
      </c>
      <c r="G116" s="461">
        <v>170100</v>
      </c>
    </row>
    <row r="117" spans="2:9" ht="15" customHeight="1" x14ac:dyDescent="0.3">
      <c r="B117" s="455" t="s">
        <v>5148</v>
      </c>
      <c r="C117" s="459" t="s">
        <v>5149</v>
      </c>
      <c r="D117" s="460">
        <v>0</v>
      </c>
      <c r="E117" s="461">
        <v>382500</v>
      </c>
      <c r="F117" s="461">
        <v>382500</v>
      </c>
      <c r="G117" s="460">
        <v>0</v>
      </c>
    </row>
    <row r="118" spans="2:9" ht="15" customHeight="1" x14ac:dyDescent="0.3">
      <c r="B118" s="455" t="s">
        <v>5150</v>
      </c>
      <c r="C118" s="459" t="s">
        <v>5151</v>
      </c>
      <c r="D118" s="460">
        <v>0</v>
      </c>
      <c r="E118" s="461">
        <v>3555</v>
      </c>
      <c r="F118" s="461">
        <v>3555</v>
      </c>
      <c r="G118" s="460">
        <v>0</v>
      </c>
    </row>
    <row r="119" spans="2:9" ht="15" customHeight="1" x14ac:dyDescent="0.3">
      <c r="B119" s="455" t="s">
        <v>5152</v>
      </c>
      <c r="C119" s="459" t="s">
        <v>5153</v>
      </c>
      <c r="D119" s="460">
        <v>0</v>
      </c>
      <c r="E119" s="461">
        <v>1099</v>
      </c>
      <c r="F119" s="460">
        <v>0</v>
      </c>
      <c r="G119" s="461">
        <v>1099</v>
      </c>
    </row>
    <row r="120" spans="2:9" ht="15" customHeight="1" x14ac:dyDescent="0.3">
      <c r="B120" s="455" t="s">
        <v>5154</v>
      </c>
      <c r="C120" s="459" t="s">
        <v>5155</v>
      </c>
      <c r="D120" s="460">
        <v>0</v>
      </c>
      <c r="E120" s="461">
        <v>1800</v>
      </c>
      <c r="F120" s="461">
        <v>1800</v>
      </c>
      <c r="G120" s="460">
        <v>0</v>
      </c>
    </row>
    <row r="121" spans="2:9" ht="15" customHeight="1" x14ac:dyDescent="0.3">
      <c r="B121" s="455" t="s">
        <v>5156</v>
      </c>
      <c r="C121" s="456" t="s">
        <v>420</v>
      </c>
      <c r="D121" s="457">
        <v>9637352.6699999999</v>
      </c>
      <c r="E121" s="457">
        <v>3378093.92</v>
      </c>
      <c r="F121" s="457">
        <v>11958419.34</v>
      </c>
      <c r="G121" s="457">
        <v>1057027.25</v>
      </c>
    </row>
    <row r="122" spans="2:9" ht="15" customHeight="1" x14ac:dyDescent="0.35">
      <c r="B122" s="455" t="s">
        <v>5157</v>
      </c>
      <c r="C122" s="456" t="s">
        <v>5158</v>
      </c>
      <c r="D122" s="462">
        <v>0</v>
      </c>
      <c r="E122" s="457">
        <v>8613.7199999999993</v>
      </c>
      <c r="F122" s="457">
        <v>5742.62</v>
      </c>
      <c r="G122" s="457">
        <v>2871.1</v>
      </c>
      <c r="H122" s="290" t="s">
        <v>3363</v>
      </c>
      <c r="I122" s="291">
        <v>6</v>
      </c>
    </row>
    <row r="123" spans="2:9" ht="15" customHeight="1" x14ac:dyDescent="0.3">
      <c r="B123" s="455" t="s">
        <v>5159</v>
      </c>
      <c r="C123" s="459" t="s">
        <v>5160</v>
      </c>
      <c r="D123" s="460">
        <v>0</v>
      </c>
      <c r="E123" s="461">
        <v>8613.7199999999993</v>
      </c>
      <c r="F123" s="461">
        <v>5742.62</v>
      </c>
      <c r="G123" s="461">
        <v>2871.1</v>
      </c>
    </row>
    <row r="124" spans="2:9" ht="15" customHeight="1" x14ac:dyDescent="0.35">
      <c r="B124" s="455" t="s">
        <v>5161</v>
      </c>
      <c r="C124" s="456" t="s">
        <v>433</v>
      </c>
      <c r="D124" s="457">
        <v>285609.68</v>
      </c>
      <c r="E124" s="457">
        <v>2393094.1800000002</v>
      </c>
      <c r="F124" s="457">
        <v>2678703.86</v>
      </c>
      <c r="G124" s="462">
        <v>0</v>
      </c>
      <c r="H124" s="290" t="s">
        <v>3363</v>
      </c>
      <c r="I124" s="291">
        <v>7</v>
      </c>
    </row>
    <row r="125" spans="2:9" ht="15" customHeight="1" x14ac:dyDescent="0.3">
      <c r="B125" s="455" t="s">
        <v>5162</v>
      </c>
      <c r="C125" s="459" t="s">
        <v>436</v>
      </c>
      <c r="D125" s="460">
        <v>0</v>
      </c>
      <c r="E125" s="461">
        <v>805509.47</v>
      </c>
      <c r="F125" s="461">
        <v>805509.47</v>
      </c>
      <c r="G125" s="460">
        <v>0</v>
      </c>
    </row>
    <row r="126" spans="2:9" ht="15" customHeight="1" x14ac:dyDescent="0.3">
      <c r="B126" s="455" t="s">
        <v>5163</v>
      </c>
      <c r="C126" s="459" t="s">
        <v>438</v>
      </c>
      <c r="D126" s="461">
        <v>285609.68</v>
      </c>
      <c r="E126" s="461">
        <v>1538712.28</v>
      </c>
      <c r="F126" s="461">
        <v>1824321.96</v>
      </c>
      <c r="G126" s="460">
        <v>0</v>
      </c>
    </row>
    <row r="127" spans="2:9" ht="15" customHeight="1" x14ac:dyDescent="0.3">
      <c r="B127" s="455" t="s">
        <v>5164</v>
      </c>
      <c r="C127" s="459" t="s">
        <v>5165</v>
      </c>
      <c r="D127" s="460">
        <v>0</v>
      </c>
      <c r="E127" s="461">
        <v>5233.04</v>
      </c>
      <c r="F127" s="461">
        <v>5233.04</v>
      </c>
      <c r="G127" s="460">
        <v>0</v>
      </c>
    </row>
    <row r="128" spans="2:9" ht="15" customHeight="1" x14ac:dyDescent="0.3">
      <c r="B128" s="455" t="s">
        <v>5166</v>
      </c>
      <c r="C128" s="459" t="s">
        <v>5167</v>
      </c>
      <c r="D128" s="460">
        <v>0</v>
      </c>
      <c r="E128" s="461">
        <v>29243.81</v>
      </c>
      <c r="F128" s="461">
        <v>29243.81</v>
      </c>
      <c r="G128" s="460">
        <v>0</v>
      </c>
    </row>
    <row r="129" spans="2:9" ht="15" customHeight="1" x14ac:dyDescent="0.3">
      <c r="B129" s="455" t="s">
        <v>5168</v>
      </c>
      <c r="C129" s="459" t="s">
        <v>5169</v>
      </c>
      <c r="D129" s="460">
        <v>0</v>
      </c>
      <c r="E129" s="461">
        <v>14395.58</v>
      </c>
      <c r="F129" s="461">
        <v>14395.58</v>
      </c>
      <c r="G129" s="460">
        <v>0</v>
      </c>
    </row>
    <row r="130" spans="2:9" ht="15" customHeight="1" x14ac:dyDescent="0.35">
      <c r="B130" s="455" t="s">
        <v>5170</v>
      </c>
      <c r="C130" s="456" t="s">
        <v>442</v>
      </c>
      <c r="D130" s="457">
        <v>9351671.0299999993</v>
      </c>
      <c r="E130" s="457">
        <v>976386.02</v>
      </c>
      <c r="F130" s="457">
        <v>9273972.8599999994</v>
      </c>
      <c r="G130" s="457">
        <v>1054084.19</v>
      </c>
      <c r="I130" s="291">
        <v>6</v>
      </c>
    </row>
    <row r="131" spans="2:9" ht="15" customHeight="1" x14ac:dyDescent="0.3">
      <c r="B131" s="455" t="s">
        <v>5171</v>
      </c>
      <c r="C131" s="459" t="s">
        <v>3394</v>
      </c>
      <c r="D131" s="460">
        <v>185.6</v>
      </c>
      <c r="E131" s="460">
        <v>0</v>
      </c>
      <c r="F131" s="460">
        <v>0</v>
      </c>
      <c r="G131" s="460">
        <v>185.6</v>
      </c>
    </row>
    <row r="132" spans="2:9" ht="15" customHeight="1" x14ac:dyDescent="0.3">
      <c r="B132" s="455" t="s">
        <v>5172</v>
      </c>
      <c r="C132" s="459" t="s">
        <v>445</v>
      </c>
      <c r="D132" s="461">
        <v>1796.65</v>
      </c>
      <c r="E132" s="460">
        <v>0</v>
      </c>
      <c r="F132" s="460">
        <v>0</v>
      </c>
      <c r="G132" s="461">
        <v>1796.65</v>
      </c>
    </row>
    <row r="133" spans="2:9" ht="15" customHeight="1" x14ac:dyDescent="0.3">
      <c r="B133" s="455" t="s">
        <v>5173</v>
      </c>
      <c r="C133" s="459" t="s">
        <v>449</v>
      </c>
      <c r="D133" s="460">
        <v>0</v>
      </c>
      <c r="E133" s="460">
        <v>43.41</v>
      </c>
      <c r="F133" s="460">
        <v>0</v>
      </c>
      <c r="G133" s="460">
        <v>43.41</v>
      </c>
    </row>
    <row r="134" spans="2:9" ht="15" customHeight="1" x14ac:dyDescent="0.3">
      <c r="B134" s="455" t="s">
        <v>5174</v>
      </c>
      <c r="C134" s="459" t="s">
        <v>453</v>
      </c>
      <c r="D134" s="461">
        <v>7687580.7999999998</v>
      </c>
      <c r="E134" s="461">
        <v>791176.07</v>
      </c>
      <c r="F134" s="461">
        <v>7660286</v>
      </c>
      <c r="G134" s="461">
        <v>818470.87</v>
      </c>
    </row>
    <row r="135" spans="2:9" ht="15" customHeight="1" x14ac:dyDescent="0.3">
      <c r="B135" s="455" t="s">
        <v>5175</v>
      </c>
      <c r="C135" s="459" t="s">
        <v>457</v>
      </c>
      <c r="D135" s="461">
        <v>1661949.23</v>
      </c>
      <c r="E135" s="461">
        <v>167897.14</v>
      </c>
      <c r="F135" s="461">
        <v>1613557.5</v>
      </c>
      <c r="G135" s="461">
        <v>216288.87</v>
      </c>
    </row>
    <row r="136" spans="2:9" ht="15" customHeight="1" x14ac:dyDescent="0.3">
      <c r="B136" s="455" t="s">
        <v>5176</v>
      </c>
      <c r="C136" s="459" t="s">
        <v>467</v>
      </c>
      <c r="D136" s="460">
        <v>65.099999999999994</v>
      </c>
      <c r="E136" s="460">
        <v>0</v>
      </c>
      <c r="F136" s="460">
        <v>0</v>
      </c>
      <c r="G136" s="460">
        <v>65.099999999999994</v>
      </c>
    </row>
    <row r="137" spans="2:9" ht="15" customHeight="1" x14ac:dyDescent="0.3">
      <c r="B137" s="455" t="s">
        <v>5177</v>
      </c>
      <c r="C137" s="459" t="s">
        <v>3395</v>
      </c>
      <c r="D137" s="460">
        <v>93.65</v>
      </c>
      <c r="E137" s="461">
        <v>17269.400000000001</v>
      </c>
      <c r="F137" s="460">
        <v>129.36000000000001</v>
      </c>
      <c r="G137" s="461">
        <v>17233.689999999999</v>
      </c>
    </row>
    <row r="138" spans="2:9" ht="15" customHeight="1" x14ac:dyDescent="0.35">
      <c r="B138" s="455" t="s">
        <v>5178</v>
      </c>
      <c r="C138" s="456" t="s">
        <v>471</v>
      </c>
      <c r="D138" s="462">
        <v>71.959999999999994</v>
      </c>
      <c r="E138" s="462">
        <v>0</v>
      </c>
      <c r="F138" s="462">
        <v>0</v>
      </c>
      <c r="G138" s="462">
        <v>71.959999999999994</v>
      </c>
      <c r="H138" s="290" t="s">
        <v>3363</v>
      </c>
      <c r="I138" s="291">
        <v>6</v>
      </c>
    </row>
    <row r="139" spans="2:9" ht="15" customHeight="1" x14ac:dyDescent="0.3">
      <c r="B139" s="455" t="s">
        <v>5179</v>
      </c>
      <c r="C139" s="459" t="s">
        <v>474</v>
      </c>
      <c r="D139" s="460">
        <v>32.44</v>
      </c>
      <c r="E139" s="460">
        <v>0</v>
      </c>
      <c r="F139" s="460">
        <v>0</v>
      </c>
      <c r="G139" s="460">
        <v>32.44</v>
      </c>
    </row>
    <row r="140" spans="2:9" ht="15" customHeight="1" x14ac:dyDescent="0.3">
      <c r="B140" s="455" t="s">
        <v>5180</v>
      </c>
      <c r="C140" s="459" t="s">
        <v>477</v>
      </c>
      <c r="D140" s="460">
        <v>30.14</v>
      </c>
      <c r="E140" s="460">
        <v>0</v>
      </c>
      <c r="F140" s="460">
        <v>0</v>
      </c>
      <c r="G140" s="460">
        <v>30.14</v>
      </c>
    </row>
    <row r="141" spans="2:9" ht="15" customHeight="1" x14ac:dyDescent="0.3">
      <c r="B141" s="455" t="s">
        <v>5181</v>
      </c>
      <c r="C141" s="459" t="s">
        <v>480</v>
      </c>
      <c r="D141" s="460">
        <v>9.3800000000000008</v>
      </c>
      <c r="E141" s="460">
        <v>0</v>
      </c>
      <c r="F141" s="460">
        <v>0</v>
      </c>
      <c r="G141" s="460">
        <v>9.3800000000000008</v>
      </c>
      <c r="H141" s="661">
        <f>'BALANCETE 2024'!G143+'BALANCETE 2024'!G152+'BALANCETE 2024'!G157+'BALANCETE 2024'!G160+'BALANCETE 2024'!G170+'BALANCETE 2024'!G173+'BALANCETE 2024'!G176</f>
        <v>8455584.6999999993</v>
      </c>
    </row>
    <row r="142" spans="2:9" ht="15" customHeight="1" x14ac:dyDescent="0.3">
      <c r="B142" s="455" t="s">
        <v>5182</v>
      </c>
      <c r="C142" s="456" t="s">
        <v>487</v>
      </c>
      <c r="D142" s="462">
        <v>0</v>
      </c>
      <c r="E142" s="462">
        <v>0</v>
      </c>
      <c r="F142" s="462">
        <v>0</v>
      </c>
      <c r="G142" s="462">
        <v>0</v>
      </c>
    </row>
    <row r="143" spans="2:9" ht="15" customHeight="1" x14ac:dyDescent="0.35">
      <c r="B143" s="455" t="s">
        <v>5183</v>
      </c>
      <c r="C143" s="456" t="s">
        <v>500</v>
      </c>
      <c r="D143" s="462">
        <v>0</v>
      </c>
      <c r="E143" s="457">
        <v>141935.89000000001</v>
      </c>
      <c r="F143" s="457">
        <v>136651.32</v>
      </c>
      <c r="G143" s="457">
        <v>5284.57</v>
      </c>
      <c r="H143" s="290" t="s">
        <v>3363</v>
      </c>
      <c r="I143" s="291">
        <v>8</v>
      </c>
    </row>
    <row r="144" spans="2:9" ht="15" customHeight="1" x14ac:dyDescent="0.3">
      <c r="B144" s="455" t="s">
        <v>5184</v>
      </c>
      <c r="C144" s="456" t="s">
        <v>502</v>
      </c>
      <c r="D144" s="462">
        <v>0</v>
      </c>
      <c r="E144" s="457">
        <v>141935.89000000001</v>
      </c>
      <c r="F144" s="457">
        <v>136651.32</v>
      </c>
      <c r="G144" s="457">
        <v>5284.57</v>
      </c>
    </row>
    <row r="145" spans="2:9" ht="15" customHeight="1" x14ac:dyDescent="0.3">
      <c r="B145" s="455" t="s">
        <v>5185</v>
      </c>
      <c r="C145" s="459" t="s">
        <v>3399</v>
      </c>
      <c r="D145" s="461">
        <v>-125865.85</v>
      </c>
      <c r="E145" s="461">
        <v>125865.85</v>
      </c>
      <c r="F145" s="460">
        <v>0</v>
      </c>
      <c r="G145" s="460">
        <v>0</v>
      </c>
    </row>
    <row r="146" spans="2:9" ht="15" customHeight="1" x14ac:dyDescent="0.3">
      <c r="B146" s="455" t="s">
        <v>5186</v>
      </c>
      <c r="C146" s="459" t="s">
        <v>506</v>
      </c>
      <c r="D146" s="461">
        <v>-18391.52</v>
      </c>
      <c r="E146" s="461">
        <v>5488.49</v>
      </c>
      <c r="F146" s="461">
        <v>126470.13</v>
      </c>
      <c r="G146" s="461">
        <v>-139373.16</v>
      </c>
    </row>
    <row r="147" spans="2:9" ht="15" customHeight="1" x14ac:dyDescent="0.3">
      <c r="B147" s="455" t="s">
        <v>5187</v>
      </c>
      <c r="C147" s="459" t="s">
        <v>517</v>
      </c>
      <c r="D147" s="461">
        <v>98058.8</v>
      </c>
      <c r="E147" s="460">
        <v>0</v>
      </c>
      <c r="F147" s="460">
        <v>0.57999999999999996</v>
      </c>
      <c r="G147" s="461">
        <v>98058.22</v>
      </c>
    </row>
    <row r="148" spans="2:9" ht="15" customHeight="1" x14ac:dyDescent="0.3">
      <c r="B148" s="455" t="s">
        <v>5188</v>
      </c>
      <c r="C148" s="459" t="s">
        <v>521</v>
      </c>
      <c r="D148" s="461">
        <v>37626.559999999998</v>
      </c>
      <c r="E148" s="460">
        <v>119.04</v>
      </c>
      <c r="F148" s="460">
        <v>178.56</v>
      </c>
      <c r="G148" s="461">
        <v>37567.040000000001</v>
      </c>
    </row>
    <row r="149" spans="2:9" ht="15" customHeight="1" x14ac:dyDescent="0.3">
      <c r="B149" s="455" t="s">
        <v>5189</v>
      </c>
      <c r="C149" s="459" t="s">
        <v>525</v>
      </c>
      <c r="D149" s="461">
        <v>3138.45</v>
      </c>
      <c r="E149" s="460">
        <v>460.46</v>
      </c>
      <c r="F149" s="460">
        <v>0</v>
      </c>
      <c r="G149" s="461">
        <v>3598.91</v>
      </c>
    </row>
    <row r="150" spans="2:9" ht="15" customHeight="1" x14ac:dyDescent="0.3">
      <c r="B150" s="455" t="s">
        <v>5190</v>
      </c>
      <c r="C150" s="459" t="s">
        <v>529</v>
      </c>
      <c r="D150" s="460">
        <v>148.99</v>
      </c>
      <c r="E150" s="460">
        <v>25.36</v>
      </c>
      <c r="F150" s="460">
        <v>25.36</v>
      </c>
      <c r="G150" s="460">
        <v>148.99</v>
      </c>
    </row>
    <row r="151" spans="2:9" ht="15" customHeight="1" x14ac:dyDescent="0.3">
      <c r="B151" s="455" t="s">
        <v>5191</v>
      </c>
      <c r="C151" s="459" t="s">
        <v>3400</v>
      </c>
      <c r="D151" s="461">
        <v>5284.57</v>
      </c>
      <c r="E151" s="461">
        <v>9976.69</v>
      </c>
      <c r="F151" s="461">
        <v>9976.69</v>
      </c>
      <c r="G151" s="461">
        <v>5284.57</v>
      </c>
    </row>
    <row r="152" spans="2:9" ht="15" customHeight="1" x14ac:dyDescent="0.35">
      <c r="B152" s="455" t="s">
        <v>5192</v>
      </c>
      <c r="C152" s="456" t="s">
        <v>549</v>
      </c>
      <c r="D152" s="457">
        <v>8925</v>
      </c>
      <c r="E152" s="457">
        <v>1728.75</v>
      </c>
      <c r="F152" s="457">
        <v>10653.75</v>
      </c>
      <c r="G152" s="462">
        <v>0</v>
      </c>
      <c r="H152" s="290" t="s">
        <v>3363</v>
      </c>
      <c r="I152" s="291">
        <v>8</v>
      </c>
    </row>
    <row r="153" spans="2:9" ht="15" customHeight="1" x14ac:dyDescent="0.3">
      <c r="B153" s="455" t="s">
        <v>5193</v>
      </c>
      <c r="C153" s="456" t="s">
        <v>551</v>
      </c>
      <c r="D153" s="457">
        <v>8925</v>
      </c>
      <c r="E153" s="457">
        <v>1728.75</v>
      </c>
      <c r="F153" s="457">
        <v>10653.75</v>
      </c>
      <c r="G153" s="462">
        <v>0</v>
      </c>
    </row>
    <row r="154" spans="2:9" ht="15" customHeight="1" x14ac:dyDescent="0.3">
      <c r="B154" s="455" t="s">
        <v>5194</v>
      </c>
      <c r="C154" s="459" t="s">
        <v>555</v>
      </c>
      <c r="D154" s="461">
        <v>8925</v>
      </c>
      <c r="E154" s="460">
        <v>0</v>
      </c>
      <c r="F154" s="461">
        <v>1841.25</v>
      </c>
      <c r="G154" s="461">
        <v>7083.75</v>
      </c>
    </row>
    <row r="155" spans="2:9" ht="15" customHeight="1" x14ac:dyDescent="0.3">
      <c r="B155" s="455" t="s">
        <v>5195</v>
      </c>
      <c r="C155" s="459" t="s">
        <v>5196</v>
      </c>
      <c r="D155" s="460">
        <v>0</v>
      </c>
      <c r="E155" s="461">
        <v>1728.75</v>
      </c>
      <c r="F155" s="461">
        <v>8812.5</v>
      </c>
      <c r="G155" s="461">
        <v>-7083.75</v>
      </c>
    </row>
    <row r="156" spans="2:9" ht="15" customHeight="1" x14ac:dyDescent="0.3">
      <c r="B156" s="455" t="s">
        <v>5197</v>
      </c>
      <c r="C156" s="456" t="s">
        <v>558</v>
      </c>
      <c r="D156" s="457">
        <v>363197.76</v>
      </c>
      <c r="E156" s="462">
        <v>0</v>
      </c>
      <c r="F156" s="457">
        <v>15977</v>
      </c>
      <c r="G156" s="457">
        <v>347220.76</v>
      </c>
    </row>
    <row r="157" spans="2:9" ht="15" customHeight="1" x14ac:dyDescent="0.35">
      <c r="B157" s="455" t="s">
        <v>5198</v>
      </c>
      <c r="C157" s="456" t="s">
        <v>560</v>
      </c>
      <c r="D157" s="457">
        <v>363197.76</v>
      </c>
      <c r="E157" s="462">
        <v>0</v>
      </c>
      <c r="F157" s="457">
        <v>15977</v>
      </c>
      <c r="G157" s="457">
        <v>347220.76</v>
      </c>
      <c r="H157" s="290" t="s">
        <v>3363</v>
      </c>
      <c r="I157" s="291">
        <v>8</v>
      </c>
    </row>
    <row r="158" spans="2:9" ht="15" customHeight="1" x14ac:dyDescent="0.3">
      <c r="B158" s="455" t="s">
        <v>5199</v>
      </c>
      <c r="C158" s="459" t="s">
        <v>564</v>
      </c>
      <c r="D158" s="461">
        <v>364995.54</v>
      </c>
      <c r="E158" s="460">
        <v>0</v>
      </c>
      <c r="F158" s="461">
        <v>2446.83</v>
      </c>
      <c r="G158" s="461">
        <v>362548.71</v>
      </c>
    </row>
    <row r="159" spans="2:9" ht="15" customHeight="1" x14ac:dyDescent="0.3">
      <c r="B159" s="455" t="s">
        <v>5200</v>
      </c>
      <c r="C159" s="459" t="s">
        <v>568</v>
      </c>
      <c r="D159" s="461">
        <v>-1797.78</v>
      </c>
      <c r="E159" s="460">
        <v>0</v>
      </c>
      <c r="F159" s="461">
        <v>13530.17</v>
      </c>
      <c r="G159" s="461">
        <v>-15327.95</v>
      </c>
    </row>
    <row r="160" spans="2:9" ht="15" customHeight="1" x14ac:dyDescent="0.35">
      <c r="B160" s="455" t="s">
        <v>5201</v>
      </c>
      <c r="C160" s="456" t="s">
        <v>5202</v>
      </c>
      <c r="D160" s="457">
        <v>4362134.5199999996</v>
      </c>
      <c r="E160" s="457">
        <v>9813022.1199999992</v>
      </c>
      <c r="F160" s="457">
        <v>7569142.5</v>
      </c>
      <c r="G160" s="457">
        <v>6606014.1399999997</v>
      </c>
      <c r="H160" s="290" t="s">
        <v>3363</v>
      </c>
      <c r="I160" s="291">
        <v>8</v>
      </c>
    </row>
    <row r="161" spans="2:9" ht="15" customHeight="1" x14ac:dyDescent="0.3">
      <c r="B161" s="455" t="s">
        <v>5203</v>
      </c>
      <c r="C161" s="456" t="s">
        <v>5204</v>
      </c>
      <c r="D161" s="457">
        <v>4362134.5199999996</v>
      </c>
      <c r="E161" s="457">
        <v>9813022.1199999992</v>
      </c>
      <c r="F161" s="457">
        <v>7569142.5</v>
      </c>
      <c r="G161" s="457">
        <v>6606014.1399999997</v>
      </c>
    </row>
    <row r="162" spans="2:9" ht="15" customHeight="1" x14ac:dyDescent="0.3">
      <c r="B162" s="455" t="s">
        <v>5205</v>
      </c>
      <c r="C162" s="459" t="s">
        <v>3409</v>
      </c>
      <c r="D162" s="461">
        <v>14950.45</v>
      </c>
      <c r="E162" s="461">
        <v>18356.54</v>
      </c>
      <c r="F162" s="460">
        <v>693.36</v>
      </c>
      <c r="G162" s="461">
        <v>32613.63</v>
      </c>
    </row>
    <row r="163" spans="2:9" ht="15" customHeight="1" x14ac:dyDescent="0.3">
      <c r="B163" s="455" t="s">
        <v>5206</v>
      </c>
      <c r="C163" s="459" t="s">
        <v>5207</v>
      </c>
      <c r="D163" s="461">
        <v>2653.86</v>
      </c>
      <c r="E163" s="460">
        <v>339.61</v>
      </c>
      <c r="F163" s="461">
        <v>2028.43</v>
      </c>
      <c r="G163" s="460">
        <v>965.04</v>
      </c>
    </row>
    <row r="164" spans="2:9" ht="15" customHeight="1" x14ac:dyDescent="0.3">
      <c r="B164" s="455" t="s">
        <v>5208</v>
      </c>
      <c r="C164" s="459" t="s">
        <v>3411</v>
      </c>
      <c r="D164" s="460">
        <v>328.16</v>
      </c>
      <c r="E164" s="460">
        <v>0</v>
      </c>
      <c r="F164" s="460">
        <v>17.079999999999998</v>
      </c>
      <c r="G164" s="460">
        <v>311.08</v>
      </c>
    </row>
    <row r="165" spans="2:9" ht="15" customHeight="1" x14ac:dyDescent="0.3">
      <c r="B165" s="455" t="s">
        <v>5209</v>
      </c>
      <c r="C165" s="459" t="s">
        <v>5210</v>
      </c>
      <c r="D165" s="461">
        <v>120070.86</v>
      </c>
      <c r="E165" s="461">
        <v>2433365.79</v>
      </c>
      <c r="F165" s="461">
        <v>1769880.38</v>
      </c>
      <c r="G165" s="461">
        <v>783556.27</v>
      </c>
    </row>
    <row r="166" spans="2:9" ht="15" customHeight="1" x14ac:dyDescent="0.3">
      <c r="B166" s="455" t="s">
        <v>5211</v>
      </c>
      <c r="C166" s="459" t="s">
        <v>5212</v>
      </c>
      <c r="D166" s="461">
        <v>2447357.64</v>
      </c>
      <c r="E166" s="461">
        <v>5621232.8099999996</v>
      </c>
      <c r="F166" s="461">
        <v>3690373.92</v>
      </c>
      <c r="G166" s="461">
        <v>4378216.53</v>
      </c>
    </row>
    <row r="167" spans="2:9" ht="15" customHeight="1" x14ac:dyDescent="0.3">
      <c r="B167" s="455" t="s">
        <v>5213</v>
      </c>
      <c r="C167" s="459" t="s">
        <v>5214</v>
      </c>
      <c r="D167" s="461">
        <v>1812888</v>
      </c>
      <c r="E167" s="461">
        <v>1739717.39</v>
      </c>
      <c r="F167" s="461">
        <v>1686893.39</v>
      </c>
      <c r="G167" s="461">
        <v>1865712</v>
      </c>
    </row>
    <row r="168" spans="2:9" ht="15" customHeight="1" x14ac:dyDescent="0.3">
      <c r="B168" s="455" t="s">
        <v>5215</v>
      </c>
      <c r="C168" s="459" t="s">
        <v>5216</v>
      </c>
      <c r="D168" s="461">
        <v>1715761.79</v>
      </c>
      <c r="E168" s="460">
        <v>0</v>
      </c>
      <c r="F168" s="460">
        <v>0</v>
      </c>
      <c r="G168" s="461">
        <v>1715761.79</v>
      </c>
    </row>
    <row r="169" spans="2:9" ht="15" customHeight="1" x14ac:dyDescent="0.3">
      <c r="B169" s="455" t="s">
        <v>5217</v>
      </c>
      <c r="C169" s="459" t="s">
        <v>5218</v>
      </c>
      <c r="D169" s="461">
        <v>-1751876.24</v>
      </c>
      <c r="E169" s="460">
        <v>9.98</v>
      </c>
      <c r="F169" s="461">
        <v>419255.94</v>
      </c>
      <c r="G169" s="461">
        <v>-2171122.2000000002</v>
      </c>
    </row>
    <row r="170" spans="2:9" ht="15" customHeight="1" x14ac:dyDescent="0.35">
      <c r="B170" s="455" t="s">
        <v>5219</v>
      </c>
      <c r="C170" s="456" t="s">
        <v>5220</v>
      </c>
      <c r="D170" s="462">
        <v>0</v>
      </c>
      <c r="E170" s="457">
        <v>8418.5499999999993</v>
      </c>
      <c r="F170" s="457">
        <v>8418.5499999999993</v>
      </c>
      <c r="G170" s="462">
        <v>0</v>
      </c>
      <c r="H170" s="290" t="s">
        <v>3363</v>
      </c>
      <c r="I170" s="291">
        <v>8</v>
      </c>
    </row>
    <row r="171" spans="2:9" ht="15" customHeight="1" x14ac:dyDescent="0.3">
      <c r="B171" s="455" t="s">
        <v>5221</v>
      </c>
      <c r="C171" s="456" t="s">
        <v>5222</v>
      </c>
      <c r="D171" s="462">
        <v>0</v>
      </c>
      <c r="E171" s="457">
        <v>8418.5499999999993</v>
      </c>
      <c r="F171" s="457">
        <v>8418.5499999999993</v>
      </c>
      <c r="G171" s="462">
        <v>0</v>
      </c>
    </row>
    <row r="172" spans="2:9" ht="15" customHeight="1" x14ac:dyDescent="0.3">
      <c r="B172" s="455" t="s">
        <v>5223</v>
      </c>
      <c r="C172" s="459" t="s">
        <v>3419</v>
      </c>
      <c r="D172" s="460">
        <v>0</v>
      </c>
      <c r="E172" s="461">
        <v>8418.5499999999993</v>
      </c>
      <c r="F172" s="461">
        <v>8418.5499999999993</v>
      </c>
      <c r="G172" s="460">
        <v>0</v>
      </c>
    </row>
    <row r="173" spans="2:9" ht="15" customHeight="1" x14ac:dyDescent="0.35">
      <c r="B173" s="455" t="s">
        <v>5224</v>
      </c>
      <c r="C173" s="456" t="s">
        <v>572</v>
      </c>
      <c r="D173" s="457">
        <v>106115.11</v>
      </c>
      <c r="E173" s="457">
        <v>88491.49</v>
      </c>
      <c r="F173" s="457">
        <v>65559.37</v>
      </c>
      <c r="G173" s="457">
        <v>129047.23</v>
      </c>
      <c r="H173" s="290" t="s">
        <v>3363</v>
      </c>
      <c r="I173" s="291">
        <v>8</v>
      </c>
    </row>
    <row r="174" spans="2:9" ht="15" customHeight="1" x14ac:dyDescent="0.3">
      <c r="B174" s="455" t="s">
        <v>5225</v>
      </c>
      <c r="C174" s="456" t="s">
        <v>574</v>
      </c>
      <c r="D174" s="457">
        <v>106115.11</v>
      </c>
      <c r="E174" s="457">
        <v>88491.49</v>
      </c>
      <c r="F174" s="457">
        <v>65559.37</v>
      </c>
      <c r="G174" s="457">
        <v>129047.23</v>
      </c>
    </row>
    <row r="175" spans="2:9" ht="15" customHeight="1" x14ac:dyDescent="0.3">
      <c r="B175" s="455" t="s">
        <v>5226</v>
      </c>
      <c r="C175" s="459" t="s">
        <v>578</v>
      </c>
      <c r="D175" s="461">
        <v>106115.11</v>
      </c>
      <c r="E175" s="461">
        <v>88491.49</v>
      </c>
      <c r="F175" s="461">
        <v>65559.37</v>
      </c>
      <c r="G175" s="461">
        <v>129047.23</v>
      </c>
    </row>
    <row r="176" spans="2:9" ht="15" customHeight="1" x14ac:dyDescent="0.35">
      <c r="B176" s="455" t="s">
        <v>5227</v>
      </c>
      <c r="C176" s="456" t="s">
        <v>5228</v>
      </c>
      <c r="D176" s="457">
        <v>1368018</v>
      </c>
      <c r="E176" s="462">
        <v>0</v>
      </c>
      <c r="F176" s="462">
        <v>0</v>
      </c>
      <c r="G176" s="457">
        <v>1368018</v>
      </c>
      <c r="H176" s="290" t="s">
        <v>3363</v>
      </c>
      <c r="I176" s="291">
        <v>8</v>
      </c>
    </row>
    <row r="177" spans="2:9" ht="15" customHeight="1" x14ac:dyDescent="0.3">
      <c r="B177" s="455" t="s">
        <v>5229</v>
      </c>
      <c r="C177" s="456" t="s">
        <v>5230</v>
      </c>
      <c r="D177" s="457">
        <v>1368018</v>
      </c>
      <c r="E177" s="462">
        <v>0</v>
      </c>
      <c r="F177" s="462">
        <v>0</v>
      </c>
      <c r="G177" s="457">
        <v>1368018</v>
      </c>
    </row>
    <row r="178" spans="2:9" ht="15" customHeight="1" x14ac:dyDescent="0.3">
      <c r="B178" s="455" t="s">
        <v>5231</v>
      </c>
      <c r="C178" s="459" t="s">
        <v>5232</v>
      </c>
      <c r="D178" s="461">
        <v>1368018</v>
      </c>
      <c r="E178" s="460">
        <v>0</v>
      </c>
      <c r="F178" s="460">
        <v>0</v>
      </c>
      <c r="G178" s="461">
        <v>1368018</v>
      </c>
    </row>
    <row r="179" spans="2:9" ht="15" customHeight="1" x14ac:dyDescent="0.3">
      <c r="B179" s="455" t="s">
        <v>5233</v>
      </c>
      <c r="C179" s="456" t="s">
        <v>586</v>
      </c>
      <c r="D179" s="457">
        <v>244035.20000000001</v>
      </c>
      <c r="E179" s="457">
        <v>47444.46</v>
      </c>
      <c r="F179" s="457">
        <v>97728.23</v>
      </c>
      <c r="G179" s="457">
        <v>193751.43</v>
      </c>
    </row>
    <row r="180" spans="2:9" ht="15" customHeight="1" x14ac:dyDescent="0.35">
      <c r="B180" s="455" t="s">
        <v>5234</v>
      </c>
      <c r="C180" s="456" t="s">
        <v>589</v>
      </c>
      <c r="D180" s="457">
        <v>244035.20000000001</v>
      </c>
      <c r="E180" s="457">
        <v>47444.46</v>
      </c>
      <c r="F180" s="457">
        <v>97728.23</v>
      </c>
      <c r="G180" s="457">
        <v>193751.43</v>
      </c>
      <c r="H180" s="290" t="s">
        <v>3363</v>
      </c>
      <c r="I180" s="291">
        <v>9</v>
      </c>
    </row>
    <row r="181" spans="2:9" ht="15" customHeight="1" x14ac:dyDescent="0.3">
      <c r="B181" s="455" t="s">
        <v>5235</v>
      </c>
      <c r="C181" s="459" t="s">
        <v>592</v>
      </c>
      <c r="D181" s="461">
        <v>244035.20000000001</v>
      </c>
      <c r="E181" s="461">
        <v>47444.46</v>
      </c>
      <c r="F181" s="461">
        <v>97728.23</v>
      </c>
      <c r="G181" s="461">
        <v>193751.43</v>
      </c>
    </row>
    <row r="182" spans="2:9" ht="15" customHeight="1" x14ac:dyDescent="0.3">
      <c r="B182" s="455" t="s">
        <v>5236</v>
      </c>
      <c r="C182" s="456" t="s">
        <v>5237</v>
      </c>
      <c r="D182" s="457">
        <v>36468784.539999999</v>
      </c>
      <c r="E182" s="457">
        <v>7636657.4699999997</v>
      </c>
      <c r="F182" s="457">
        <v>10006344.359999999</v>
      </c>
      <c r="G182" s="457">
        <v>34099097.649999999</v>
      </c>
    </row>
    <row r="183" spans="2:9" ht="15" customHeight="1" x14ac:dyDescent="0.35">
      <c r="B183" s="455" t="s">
        <v>5238</v>
      </c>
      <c r="C183" s="456" t="s">
        <v>599</v>
      </c>
      <c r="D183" s="457">
        <v>9796773.4600000009</v>
      </c>
      <c r="E183" s="457">
        <v>123915.6</v>
      </c>
      <c r="F183" s="457">
        <v>55417.33</v>
      </c>
      <c r="G183" s="457">
        <v>9865271.7300000004</v>
      </c>
      <c r="H183" s="290" t="s">
        <v>3363</v>
      </c>
      <c r="I183" s="291">
        <v>10</v>
      </c>
    </row>
    <row r="184" spans="2:9" ht="15" customHeight="1" x14ac:dyDescent="0.3">
      <c r="B184" s="455" t="s">
        <v>5239</v>
      </c>
      <c r="C184" s="456" t="s">
        <v>602</v>
      </c>
      <c r="D184" s="457">
        <v>592425.5</v>
      </c>
      <c r="E184" s="457">
        <v>101763.55</v>
      </c>
      <c r="F184" s="457">
        <v>21242.94</v>
      </c>
      <c r="G184" s="457">
        <v>672946.11</v>
      </c>
    </row>
    <row r="185" spans="2:9" ht="15" customHeight="1" x14ac:dyDescent="0.3">
      <c r="B185" s="455" t="s">
        <v>5240</v>
      </c>
      <c r="C185" s="459" t="s">
        <v>606</v>
      </c>
      <c r="D185" s="461">
        <v>15274.8</v>
      </c>
      <c r="E185" s="460">
        <v>0</v>
      </c>
      <c r="F185" s="461">
        <v>8965.7999999999993</v>
      </c>
      <c r="G185" s="461">
        <v>6309</v>
      </c>
    </row>
    <row r="186" spans="2:9" ht="15" customHeight="1" x14ac:dyDescent="0.3">
      <c r="B186" s="455" t="s">
        <v>5241</v>
      </c>
      <c r="C186" s="459" t="s">
        <v>609</v>
      </c>
      <c r="D186" s="461">
        <v>4088.75</v>
      </c>
      <c r="E186" s="460">
        <v>0</v>
      </c>
      <c r="F186" s="460">
        <v>0</v>
      </c>
      <c r="G186" s="461">
        <v>4088.75</v>
      </c>
    </row>
    <row r="187" spans="2:9" ht="15" customHeight="1" x14ac:dyDescent="0.3">
      <c r="B187" s="455" t="s">
        <v>5242</v>
      </c>
      <c r="C187" s="459" t="s">
        <v>5243</v>
      </c>
      <c r="D187" s="461">
        <v>2725.44</v>
      </c>
      <c r="E187" s="461">
        <v>1066.44</v>
      </c>
      <c r="F187" s="461">
        <v>1386.72</v>
      </c>
      <c r="G187" s="461">
        <v>2405.16</v>
      </c>
    </row>
    <row r="188" spans="2:9" ht="15" customHeight="1" x14ac:dyDescent="0.3">
      <c r="B188" s="455" t="s">
        <v>5244</v>
      </c>
      <c r="C188" s="459" t="s">
        <v>5245</v>
      </c>
      <c r="D188" s="461">
        <v>5076.96</v>
      </c>
      <c r="E188" s="460">
        <v>0</v>
      </c>
      <c r="F188" s="461">
        <v>1106.56</v>
      </c>
      <c r="G188" s="461">
        <v>3970.4</v>
      </c>
    </row>
    <row r="189" spans="2:9" ht="15" customHeight="1" x14ac:dyDescent="0.3">
      <c r="B189" s="455" t="s">
        <v>5246</v>
      </c>
      <c r="C189" s="459" t="s">
        <v>5247</v>
      </c>
      <c r="D189" s="461">
        <v>552024</v>
      </c>
      <c r="E189" s="461">
        <v>93840</v>
      </c>
      <c r="F189" s="460">
        <v>0</v>
      </c>
      <c r="G189" s="461">
        <v>645864</v>
      </c>
    </row>
    <row r="190" spans="2:9" ht="15" customHeight="1" x14ac:dyDescent="0.3">
      <c r="B190" s="455" t="s">
        <v>5248</v>
      </c>
      <c r="C190" s="459" t="s">
        <v>647</v>
      </c>
      <c r="D190" s="461">
        <v>2720</v>
      </c>
      <c r="E190" s="460">
        <v>0</v>
      </c>
      <c r="F190" s="460">
        <v>0</v>
      </c>
      <c r="G190" s="461">
        <v>2720</v>
      </c>
    </row>
    <row r="191" spans="2:9" ht="15" customHeight="1" x14ac:dyDescent="0.3">
      <c r="B191" s="455" t="s">
        <v>5249</v>
      </c>
      <c r="C191" s="459" t="s">
        <v>5250</v>
      </c>
      <c r="D191" s="461">
        <v>9449.11</v>
      </c>
      <c r="E191" s="461">
        <v>6857.11</v>
      </c>
      <c r="F191" s="461">
        <v>8717.42</v>
      </c>
      <c r="G191" s="461">
        <v>7588.8</v>
      </c>
    </row>
    <row r="192" spans="2:9" ht="15" customHeight="1" x14ac:dyDescent="0.3">
      <c r="B192" s="455" t="s">
        <v>5251</v>
      </c>
      <c r="C192" s="459" t="s">
        <v>5252</v>
      </c>
      <c r="D192" s="461">
        <v>1066.44</v>
      </c>
      <c r="E192" s="460">
        <v>0</v>
      </c>
      <c r="F192" s="461">
        <v>1066.44</v>
      </c>
      <c r="G192" s="460">
        <v>0</v>
      </c>
    </row>
    <row r="193" spans="2:9" ht="15" customHeight="1" x14ac:dyDescent="0.3">
      <c r="B193" s="455" t="s">
        <v>5253</v>
      </c>
      <c r="C193" s="456" t="s">
        <v>612</v>
      </c>
      <c r="D193" s="457">
        <v>9204347.9600000009</v>
      </c>
      <c r="E193" s="457">
        <v>17845.05</v>
      </c>
      <c r="F193" s="457">
        <v>34174.39</v>
      </c>
      <c r="G193" s="457">
        <v>9188018.6199999992</v>
      </c>
    </row>
    <row r="194" spans="2:9" ht="15" customHeight="1" x14ac:dyDescent="0.3">
      <c r="B194" s="455" t="s">
        <v>5254</v>
      </c>
      <c r="C194" s="459" t="s">
        <v>620</v>
      </c>
      <c r="D194" s="461">
        <v>9204347.9600000009</v>
      </c>
      <c r="E194" s="461">
        <v>17845.05</v>
      </c>
      <c r="F194" s="461">
        <v>34174.39</v>
      </c>
      <c r="G194" s="461">
        <v>9188018.6199999992</v>
      </c>
    </row>
    <row r="195" spans="2:9" ht="15" customHeight="1" x14ac:dyDescent="0.3">
      <c r="B195" s="455" t="s">
        <v>5255</v>
      </c>
      <c r="C195" s="456" t="s">
        <v>5256</v>
      </c>
      <c r="D195" s="462">
        <v>0</v>
      </c>
      <c r="E195" s="457">
        <v>4307</v>
      </c>
      <c r="F195" s="462">
        <v>0</v>
      </c>
      <c r="G195" s="457">
        <v>4307</v>
      </c>
    </row>
    <row r="196" spans="2:9" ht="15" customHeight="1" x14ac:dyDescent="0.3">
      <c r="B196" s="455" t="s">
        <v>5257</v>
      </c>
      <c r="C196" s="459" t="s">
        <v>5258</v>
      </c>
      <c r="D196" s="460">
        <v>0</v>
      </c>
      <c r="E196" s="461">
        <v>4307</v>
      </c>
      <c r="F196" s="460">
        <v>0</v>
      </c>
      <c r="G196" s="461">
        <v>4307</v>
      </c>
    </row>
    <row r="197" spans="2:9" ht="15" customHeight="1" x14ac:dyDescent="0.35">
      <c r="B197" s="455" t="s">
        <v>5259</v>
      </c>
      <c r="C197" s="456" t="s">
        <v>624</v>
      </c>
      <c r="D197" s="457">
        <v>48335.06</v>
      </c>
      <c r="E197" s="462">
        <v>0</v>
      </c>
      <c r="F197" s="457">
        <v>48335.06</v>
      </c>
      <c r="G197" s="462">
        <v>0</v>
      </c>
      <c r="H197" s="290" t="s">
        <v>3363</v>
      </c>
      <c r="I197" s="291" t="s">
        <v>627</v>
      </c>
    </row>
    <row r="198" spans="2:9" ht="15" customHeight="1" x14ac:dyDescent="0.3">
      <c r="B198" s="455" t="s">
        <v>5260</v>
      </c>
      <c r="C198" s="456" t="s">
        <v>650</v>
      </c>
      <c r="D198" s="457">
        <v>48335.06</v>
      </c>
      <c r="E198" s="462">
        <v>0</v>
      </c>
      <c r="F198" s="457">
        <v>48335.06</v>
      </c>
      <c r="G198" s="462">
        <v>0</v>
      </c>
    </row>
    <row r="199" spans="2:9" ht="15" customHeight="1" x14ac:dyDescent="0.3">
      <c r="B199" s="455" t="s">
        <v>5261</v>
      </c>
      <c r="C199" s="459" t="s">
        <v>654</v>
      </c>
      <c r="D199" s="461">
        <v>3864.04</v>
      </c>
      <c r="E199" s="460">
        <v>0</v>
      </c>
      <c r="F199" s="461">
        <v>3864.04</v>
      </c>
      <c r="G199" s="460">
        <v>0</v>
      </c>
    </row>
    <row r="200" spans="2:9" ht="15" customHeight="1" x14ac:dyDescent="0.3">
      <c r="B200" s="455" t="s">
        <v>5262</v>
      </c>
      <c r="C200" s="459" t="s">
        <v>657</v>
      </c>
      <c r="D200" s="461">
        <v>2355.9899999999998</v>
      </c>
      <c r="E200" s="460">
        <v>0</v>
      </c>
      <c r="F200" s="461">
        <v>2355.9899999999998</v>
      </c>
      <c r="G200" s="460">
        <v>0</v>
      </c>
    </row>
    <row r="201" spans="2:9" ht="15" customHeight="1" x14ac:dyDescent="0.3">
      <c r="B201" s="455" t="s">
        <v>5263</v>
      </c>
      <c r="C201" s="459" t="s">
        <v>660</v>
      </c>
      <c r="D201" s="461">
        <v>4391.76</v>
      </c>
      <c r="E201" s="460">
        <v>0</v>
      </c>
      <c r="F201" s="461">
        <v>4391.76</v>
      </c>
      <c r="G201" s="460">
        <v>0</v>
      </c>
    </row>
    <row r="202" spans="2:9" ht="15" customHeight="1" x14ac:dyDescent="0.3">
      <c r="B202" s="455" t="s">
        <v>5264</v>
      </c>
      <c r="C202" s="459" t="s">
        <v>638</v>
      </c>
      <c r="D202" s="461">
        <v>2725.64</v>
      </c>
      <c r="E202" s="460">
        <v>0</v>
      </c>
      <c r="F202" s="461">
        <v>2725.64</v>
      </c>
      <c r="G202" s="460">
        <v>0</v>
      </c>
    </row>
    <row r="203" spans="2:9" ht="15" customHeight="1" x14ac:dyDescent="0.3">
      <c r="B203" s="455" t="s">
        <v>5265</v>
      </c>
      <c r="C203" s="459" t="s">
        <v>641</v>
      </c>
      <c r="D203" s="461">
        <v>34997.629999999997</v>
      </c>
      <c r="E203" s="460">
        <v>0</v>
      </c>
      <c r="F203" s="461">
        <v>34997.629999999997</v>
      </c>
      <c r="G203" s="460">
        <v>0</v>
      </c>
    </row>
    <row r="204" spans="2:9" ht="15" customHeight="1" x14ac:dyDescent="0.3">
      <c r="B204" s="455" t="s">
        <v>5266</v>
      </c>
      <c r="C204" s="456" t="s">
        <v>5267</v>
      </c>
      <c r="D204" s="457">
        <v>259070.18</v>
      </c>
      <c r="E204" s="457">
        <v>1271960.8600000001</v>
      </c>
      <c r="F204" s="457">
        <v>728675.45</v>
      </c>
      <c r="G204" s="457">
        <v>802355.59</v>
      </c>
      <c r="H204" s="302"/>
      <c r="I204" s="303" t="s">
        <v>3444</v>
      </c>
    </row>
    <row r="205" spans="2:9" ht="15" customHeight="1" x14ac:dyDescent="0.3">
      <c r="B205" s="455" t="s">
        <v>5268</v>
      </c>
      <c r="C205" s="456" t="s">
        <v>5269</v>
      </c>
      <c r="D205" s="457">
        <v>259070.18</v>
      </c>
      <c r="E205" s="457">
        <v>1271960.8600000001</v>
      </c>
      <c r="F205" s="457">
        <v>728675.45</v>
      </c>
      <c r="G205" s="457">
        <v>802355.59</v>
      </c>
    </row>
    <row r="206" spans="2:9" ht="15" customHeight="1" x14ac:dyDescent="0.3">
      <c r="B206" s="455" t="s">
        <v>5270</v>
      </c>
      <c r="C206" s="459" t="s">
        <v>3446</v>
      </c>
      <c r="D206" s="461">
        <v>259070.18</v>
      </c>
      <c r="E206" s="461">
        <v>1269533.01</v>
      </c>
      <c r="F206" s="461">
        <v>728675.45</v>
      </c>
      <c r="G206" s="461">
        <v>799927.74</v>
      </c>
    </row>
    <row r="207" spans="2:9" ht="15.75" customHeight="1" x14ac:dyDescent="0.3">
      <c r="B207" s="455" t="s">
        <v>5271</v>
      </c>
      <c r="C207" s="459" t="s">
        <v>5272</v>
      </c>
      <c r="D207" s="460">
        <v>0</v>
      </c>
      <c r="E207" s="461">
        <v>2427.85</v>
      </c>
      <c r="F207" s="460">
        <v>0</v>
      </c>
      <c r="G207" s="461">
        <v>2427.85</v>
      </c>
    </row>
    <row r="208" spans="2:9" ht="15" customHeight="1" x14ac:dyDescent="0.35">
      <c r="B208" s="455" t="s">
        <v>5273</v>
      </c>
      <c r="C208" s="456" t="s">
        <v>663</v>
      </c>
      <c r="D208" s="457">
        <v>26364605.84</v>
      </c>
      <c r="E208" s="457">
        <v>6240781.0099999998</v>
      </c>
      <c r="F208" s="457">
        <v>9173916.5199999996</v>
      </c>
      <c r="G208" s="457">
        <v>23431470.329999998</v>
      </c>
      <c r="H208" s="290" t="s">
        <v>3363</v>
      </c>
      <c r="I208" s="291">
        <v>11</v>
      </c>
    </row>
    <row r="209" spans="2:7" ht="15" customHeight="1" x14ac:dyDescent="0.3">
      <c r="B209" s="455" t="s">
        <v>5274</v>
      </c>
      <c r="C209" s="456" t="s">
        <v>666</v>
      </c>
      <c r="D209" s="457">
        <v>30924459.739999998</v>
      </c>
      <c r="E209" s="457">
        <v>340463.8</v>
      </c>
      <c r="F209" s="457">
        <v>1647433.08</v>
      </c>
      <c r="G209" s="457">
        <v>29617490.460000001</v>
      </c>
    </row>
    <row r="210" spans="2:7" ht="15" customHeight="1" x14ac:dyDescent="0.3">
      <c r="B210" s="455" t="s">
        <v>5275</v>
      </c>
      <c r="C210" s="459" t="s">
        <v>670</v>
      </c>
      <c r="D210" s="461">
        <v>12378857.800000001</v>
      </c>
      <c r="E210" s="460">
        <v>0</v>
      </c>
      <c r="F210" s="460">
        <v>0</v>
      </c>
      <c r="G210" s="461">
        <v>12378857.800000001</v>
      </c>
    </row>
    <row r="211" spans="2:7" ht="15" customHeight="1" x14ac:dyDescent="0.3">
      <c r="B211" s="455" t="s">
        <v>5276</v>
      </c>
      <c r="C211" s="459" t="s">
        <v>673</v>
      </c>
      <c r="D211" s="461">
        <v>7392054.1699999999</v>
      </c>
      <c r="E211" s="460">
        <v>0</v>
      </c>
      <c r="F211" s="460">
        <v>0</v>
      </c>
      <c r="G211" s="461">
        <v>7392054.1699999999</v>
      </c>
    </row>
    <row r="212" spans="2:7" ht="15" customHeight="1" x14ac:dyDescent="0.3">
      <c r="B212" s="455" t="s">
        <v>5277</v>
      </c>
      <c r="C212" s="459" t="s">
        <v>677</v>
      </c>
      <c r="D212" s="461">
        <v>928657.5</v>
      </c>
      <c r="E212" s="460">
        <v>0</v>
      </c>
      <c r="F212" s="460">
        <v>0</v>
      </c>
      <c r="G212" s="461">
        <v>928657.5</v>
      </c>
    </row>
    <row r="213" spans="2:7" ht="15" customHeight="1" x14ac:dyDescent="0.3">
      <c r="B213" s="455" t="s">
        <v>5278</v>
      </c>
      <c r="C213" s="459" t="s">
        <v>681</v>
      </c>
      <c r="D213" s="461">
        <v>265176.57</v>
      </c>
      <c r="E213" s="460">
        <v>0</v>
      </c>
      <c r="F213" s="460">
        <v>0</v>
      </c>
      <c r="G213" s="461">
        <v>265176.57</v>
      </c>
    </row>
    <row r="214" spans="2:7" ht="15" customHeight="1" x14ac:dyDescent="0.3">
      <c r="B214" s="455" t="s">
        <v>5279</v>
      </c>
      <c r="C214" s="459" t="s">
        <v>685</v>
      </c>
      <c r="D214" s="461">
        <v>275206.83</v>
      </c>
      <c r="E214" s="460">
        <v>0</v>
      </c>
      <c r="F214" s="460">
        <v>0</v>
      </c>
      <c r="G214" s="461">
        <v>275206.83</v>
      </c>
    </row>
    <row r="215" spans="2:7" ht="15" customHeight="1" x14ac:dyDescent="0.3">
      <c r="B215" s="455" t="s">
        <v>5280</v>
      </c>
      <c r="C215" s="459" t="s">
        <v>689</v>
      </c>
      <c r="D215" s="461">
        <v>320071.48</v>
      </c>
      <c r="E215" s="460">
        <v>0</v>
      </c>
      <c r="F215" s="460">
        <v>0</v>
      </c>
      <c r="G215" s="461">
        <v>320071.48</v>
      </c>
    </row>
    <row r="216" spans="2:7" ht="15" customHeight="1" x14ac:dyDescent="0.3">
      <c r="B216" s="455" t="s">
        <v>5281</v>
      </c>
      <c r="C216" s="459" t="s">
        <v>693</v>
      </c>
      <c r="D216" s="461">
        <v>14167353.970000001</v>
      </c>
      <c r="E216" s="461">
        <v>340463.8</v>
      </c>
      <c r="F216" s="461">
        <v>886806.45</v>
      </c>
      <c r="G216" s="461">
        <v>13621011.32</v>
      </c>
    </row>
    <row r="217" spans="2:7" ht="15" customHeight="1" x14ac:dyDescent="0.3">
      <c r="B217" s="455" t="s">
        <v>5282</v>
      </c>
      <c r="C217" s="459" t="s">
        <v>696</v>
      </c>
      <c r="D217" s="461">
        <v>243582.4</v>
      </c>
      <c r="E217" s="460">
        <v>0</v>
      </c>
      <c r="F217" s="460">
        <v>0</v>
      </c>
      <c r="G217" s="461">
        <v>243582.4</v>
      </c>
    </row>
    <row r="218" spans="2:7" ht="15" customHeight="1" x14ac:dyDescent="0.3">
      <c r="B218" s="455" t="s">
        <v>5283</v>
      </c>
      <c r="C218" s="459" t="s">
        <v>700</v>
      </c>
      <c r="D218" s="461">
        <v>1598750</v>
      </c>
      <c r="E218" s="460">
        <v>0</v>
      </c>
      <c r="F218" s="460">
        <v>0</v>
      </c>
      <c r="G218" s="461">
        <v>1598750</v>
      </c>
    </row>
    <row r="219" spans="2:7" ht="15" customHeight="1" x14ac:dyDescent="0.3">
      <c r="B219" s="455" t="s">
        <v>5284</v>
      </c>
      <c r="C219" s="459" t="s">
        <v>704</v>
      </c>
      <c r="D219" s="461">
        <v>889821.57</v>
      </c>
      <c r="E219" s="460">
        <v>0</v>
      </c>
      <c r="F219" s="460">
        <v>0</v>
      </c>
      <c r="G219" s="461">
        <v>889821.57</v>
      </c>
    </row>
    <row r="220" spans="2:7" ht="15" customHeight="1" x14ac:dyDescent="0.3">
      <c r="B220" s="455" t="s">
        <v>5285</v>
      </c>
      <c r="C220" s="459" t="s">
        <v>3448</v>
      </c>
      <c r="D220" s="461">
        <v>494205</v>
      </c>
      <c r="E220" s="460">
        <v>0</v>
      </c>
      <c r="F220" s="460">
        <v>0</v>
      </c>
      <c r="G220" s="461">
        <v>494205</v>
      </c>
    </row>
    <row r="221" spans="2:7" ht="15" customHeight="1" x14ac:dyDescent="0.3">
      <c r="B221" s="455" t="s">
        <v>5286</v>
      </c>
      <c r="C221" s="459" t="s">
        <v>3449</v>
      </c>
      <c r="D221" s="461">
        <v>-8029277.5499999998</v>
      </c>
      <c r="E221" s="460">
        <v>0</v>
      </c>
      <c r="F221" s="461">
        <v>760626.63</v>
      </c>
      <c r="G221" s="461">
        <v>-8789904.1799999997</v>
      </c>
    </row>
    <row r="222" spans="2:7" ht="15" customHeight="1" x14ac:dyDescent="0.3">
      <c r="B222" s="455" t="s">
        <v>5287</v>
      </c>
      <c r="C222" s="456" t="s">
        <v>734</v>
      </c>
      <c r="D222" s="457">
        <v>19466872.379999999</v>
      </c>
      <c r="E222" s="457">
        <v>3999234.38</v>
      </c>
      <c r="F222" s="457">
        <v>2309764.14</v>
      </c>
      <c r="G222" s="457">
        <v>21156342.620000001</v>
      </c>
    </row>
    <row r="223" spans="2:7" ht="15" customHeight="1" x14ac:dyDescent="0.3">
      <c r="B223" s="455" t="s">
        <v>5288</v>
      </c>
      <c r="C223" s="459" t="s">
        <v>738</v>
      </c>
      <c r="D223" s="461">
        <v>13740526.039999999</v>
      </c>
      <c r="E223" s="461">
        <v>2026341.5</v>
      </c>
      <c r="F223" s="461">
        <v>10996.84</v>
      </c>
      <c r="G223" s="461">
        <v>15755870.699999999</v>
      </c>
    </row>
    <row r="224" spans="2:7" ht="15" customHeight="1" x14ac:dyDescent="0.3">
      <c r="B224" s="455" t="s">
        <v>5289</v>
      </c>
      <c r="C224" s="459" t="s">
        <v>742</v>
      </c>
      <c r="D224" s="461">
        <v>5813175.4400000004</v>
      </c>
      <c r="E224" s="460">
        <v>0</v>
      </c>
      <c r="F224" s="461">
        <v>2162337.9</v>
      </c>
      <c r="G224" s="461">
        <v>3650837.54</v>
      </c>
    </row>
    <row r="225" spans="2:7" ht="15" customHeight="1" x14ac:dyDescent="0.3">
      <c r="B225" s="455" t="s">
        <v>5290</v>
      </c>
      <c r="C225" s="459" t="s">
        <v>745</v>
      </c>
      <c r="D225" s="461">
        <v>716918.13</v>
      </c>
      <c r="E225" s="460">
        <v>0</v>
      </c>
      <c r="F225" s="461">
        <v>125950</v>
      </c>
      <c r="G225" s="461">
        <v>590968.13</v>
      </c>
    </row>
    <row r="226" spans="2:7" ht="15" customHeight="1" x14ac:dyDescent="0.3">
      <c r="B226" s="455" t="s">
        <v>5291</v>
      </c>
      <c r="C226" s="459" t="s">
        <v>748</v>
      </c>
      <c r="D226" s="461">
        <v>7850</v>
      </c>
      <c r="E226" s="461">
        <v>4736.26</v>
      </c>
      <c r="F226" s="460">
        <v>200</v>
      </c>
      <c r="G226" s="461">
        <v>12386.26</v>
      </c>
    </row>
    <row r="227" spans="2:7" ht="15" customHeight="1" x14ac:dyDescent="0.3">
      <c r="B227" s="455" t="s">
        <v>5292</v>
      </c>
      <c r="C227" s="459" t="s">
        <v>751</v>
      </c>
      <c r="D227" s="461">
        <v>248154.07</v>
      </c>
      <c r="E227" s="460">
        <v>78</v>
      </c>
      <c r="F227" s="461">
        <v>8200</v>
      </c>
      <c r="G227" s="461">
        <v>240032.07</v>
      </c>
    </row>
    <row r="228" spans="2:7" ht="15" customHeight="1" x14ac:dyDescent="0.3">
      <c r="B228" s="455" t="s">
        <v>5293</v>
      </c>
      <c r="C228" s="459" t="s">
        <v>754</v>
      </c>
      <c r="D228" s="461">
        <v>2282.4899999999998</v>
      </c>
      <c r="E228" s="460">
        <v>0</v>
      </c>
      <c r="F228" s="460">
        <v>0</v>
      </c>
      <c r="G228" s="461">
        <v>2282.4899999999998</v>
      </c>
    </row>
    <row r="229" spans="2:7" ht="15" customHeight="1" x14ac:dyDescent="0.3">
      <c r="B229" s="455" t="s">
        <v>5294</v>
      </c>
      <c r="C229" s="459" t="s">
        <v>757</v>
      </c>
      <c r="D229" s="461">
        <v>15108.38</v>
      </c>
      <c r="E229" s="460">
        <v>0</v>
      </c>
      <c r="F229" s="460">
        <v>400</v>
      </c>
      <c r="G229" s="461">
        <v>14708.38</v>
      </c>
    </row>
    <row r="230" spans="2:7" ht="15" customHeight="1" x14ac:dyDescent="0.3">
      <c r="B230" s="455" t="s">
        <v>5295</v>
      </c>
      <c r="C230" s="459" t="s">
        <v>3451</v>
      </c>
      <c r="D230" s="461">
        <v>2150</v>
      </c>
      <c r="E230" s="460">
        <v>0</v>
      </c>
      <c r="F230" s="460">
        <v>0</v>
      </c>
      <c r="G230" s="461">
        <v>2150</v>
      </c>
    </row>
    <row r="231" spans="2:7" ht="15" customHeight="1" x14ac:dyDescent="0.3">
      <c r="B231" s="455" t="s">
        <v>5296</v>
      </c>
      <c r="C231" s="459" t="s">
        <v>5297</v>
      </c>
      <c r="D231" s="460">
        <v>0</v>
      </c>
      <c r="E231" s="461">
        <v>886806.45</v>
      </c>
      <c r="F231" s="460">
        <v>0</v>
      </c>
      <c r="G231" s="461">
        <v>886806.45</v>
      </c>
    </row>
    <row r="232" spans="2:7" ht="15" customHeight="1" x14ac:dyDescent="0.3">
      <c r="B232" s="455" t="s">
        <v>5298</v>
      </c>
      <c r="C232" s="459" t="s">
        <v>5299</v>
      </c>
      <c r="D232" s="460">
        <v>0</v>
      </c>
      <c r="E232" s="461">
        <v>1980</v>
      </c>
      <c r="F232" s="460">
        <v>0</v>
      </c>
      <c r="G232" s="461">
        <v>1980</v>
      </c>
    </row>
    <row r="233" spans="2:7" ht="15" customHeight="1" x14ac:dyDescent="0.3">
      <c r="B233" s="455" t="s">
        <v>5300</v>
      </c>
      <c r="C233" s="459" t="s">
        <v>3452</v>
      </c>
      <c r="D233" s="461">
        <v>-1079292.17</v>
      </c>
      <c r="E233" s="461">
        <v>1079292.17</v>
      </c>
      <c r="F233" s="461">
        <v>1679.4</v>
      </c>
      <c r="G233" s="461">
        <v>-1679.4</v>
      </c>
    </row>
    <row r="234" spans="2:7" ht="15" customHeight="1" x14ac:dyDescent="0.3">
      <c r="B234" s="455" t="s">
        <v>5301</v>
      </c>
      <c r="C234" s="456" t="s">
        <v>763</v>
      </c>
      <c r="D234" s="457">
        <v>231991.27</v>
      </c>
      <c r="E234" s="457">
        <v>432545.84</v>
      </c>
      <c r="F234" s="457">
        <v>30424.68</v>
      </c>
      <c r="G234" s="457">
        <v>634112.43000000005</v>
      </c>
    </row>
    <row r="235" spans="2:7" ht="15" customHeight="1" x14ac:dyDescent="0.3">
      <c r="B235" s="455" t="s">
        <v>5302</v>
      </c>
      <c r="C235" s="459" t="s">
        <v>767</v>
      </c>
      <c r="D235" s="461">
        <v>71542.53</v>
      </c>
      <c r="E235" s="460">
        <v>0</v>
      </c>
      <c r="F235" s="461">
        <v>1306</v>
      </c>
      <c r="G235" s="461">
        <v>70236.53</v>
      </c>
    </row>
    <row r="236" spans="2:7" ht="15" customHeight="1" x14ac:dyDescent="0.3">
      <c r="B236" s="455" t="s">
        <v>5303</v>
      </c>
      <c r="C236" s="459" t="s">
        <v>770</v>
      </c>
      <c r="D236" s="461">
        <v>25270</v>
      </c>
      <c r="E236" s="460">
        <v>0</v>
      </c>
      <c r="F236" s="460">
        <v>0</v>
      </c>
      <c r="G236" s="461">
        <v>25270</v>
      </c>
    </row>
    <row r="237" spans="2:7" ht="15" customHeight="1" x14ac:dyDescent="0.3">
      <c r="B237" s="455" t="s">
        <v>5304</v>
      </c>
      <c r="C237" s="459" t="s">
        <v>773</v>
      </c>
      <c r="D237" s="461">
        <v>333020.5</v>
      </c>
      <c r="E237" s="460">
        <v>70</v>
      </c>
      <c r="F237" s="461">
        <v>16680</v>
      </c>
      <c r="G237" s="461">
        <v>316410.5</v>
      </c>
    </row>
    <row r="238" spans="2:7" ht="15" customHeight="1" x14ac:dyDescent="0.3">
      <c r="B238" s="455" t="s">
        <v>5305</v>
      </c>
      <c r="C238" s="459" t="s">
        <v>776</v>
      </c>
      <c r="D238" s="461">
        <v>226399.08</v>
      </c>
      <c r="E238" s="460">
        <v>0</v>
      </c>
      <c r="F238" s="461">
        <v>12438.68</v>
      </c>
      <c r="G238" s="461">
        <v>213960.4</v>
      </c>
    </row>
    <row r="239" spans="2:7" ht="15" customHeight="1" x14ac:dyDescent="0.3">
      <c r="B239" s="455" t="s">
        <v>5306</v>
      </c>
      <c r="C239" s="459" t="s">
        <v>3454</v>
      </c>
      <c r="D239" s="461">
        <v>7438</v>
      </c>
      <c r="E239" s="460">
        <v>0</v>
      </c>
      <c r="F239" s="460">
        <v>0</v>
      </c>
      <c r="G239" s="461">
        <v>7438</v>
      </c>
    </row>
    <row r="240" spans="2:7" ht="15" customHeight="1" x14ac:dyDescent="0.3">
      <c r="B240" s="455" t="s">
        <v>5307</v>
      </c>
      <c r="C240" s="459" t="s">
        <v>779</v>
      </c>
      <c r="D240" s="460">
        <v>797</v>
      </c>
      <c r="E240" s="460">
        <v>0</v>
      </c>
      <c r="F240" s="460">
        <v>0</v>
      </c>
      <c r="G240" s="460">
        <v>797</v>
      </c>
    </row>
    <row r="241" spans="2:8" ht="15" customHeight="1" x14ac:dyDescent="0.3">
      <c r="B241" s="455" t="s">
        <v>5308</v>
      </c>
      <c r="C241" s="459" t="s">
        <v>5309</v>
      </c>
      <c r="D241" s="461">
        <v>-432475.84</v>
      </c>
      <c r="E241" s="461">
        <v>432475.84</v>
      </c>
      <c r="F241" s="460">
        <v>0</v>
      </c>
      <c r="G241" s="460">
        <v>0</v>
      </c>
    </row>
    <row r="242" spans="2:8" ht="15" customHeight="1" x14ac:dyDescent="0.3">
      <c r="B242" s="455" t="s">
        <v>5310</v>
      </c>
      <c r="C242" s="456" t="s">
        <v>5311</v>
      </c>
      <c r="D242" s="457">
        <v>3202809.3</v>
      </c>
      <c r="E242" s="457">
        <v>15810</v>
      </c>
      <c r="F242" s="457">
        <v>1340</v>
      </c>
      <c r="G242" s="457">
        <v>3217279.3</v>
      </c>
    </row>
    <row r="243" spans="2:8" ht="15" customHeight="1" x14ac:dyDescent="0.3">
      <c r="B243" s="455" t="s">
        <v>5312</v>
      </c>
      <c r="C243" s="459" t="s">
        <v>785</v>
      </c>
      <c r="D243" s="461">
        <v>1537069.64</v>
      </c>
      <c r="E243" s="460">
        <v>0</v>
      </c>
      <c r="F243" s="460">
        <v>0</v>
      </c>
      <c r="G243" s="461">
        <v>1537069.64</v>
      </c>
    </row>
    <row r="244" spans="2:8" ht="15" customHeight="1" x14ac:dyDescent="0.3">
      <c r="B244" s="455" t="s">
        <v>5313</v>
      </c>
      <c r="C244" s="459" t="s">
        <v>789</v>
      </c>
      <c r="D244" s="461">
        <v>264873.58</v>
      </c>
      <c r="E244" s="460">
        <v>0</v>
      </c>
      <c r="F244" s="460">
        <v>0</v>
      </c>
      <c r="G244" s="461">
        <v>264873.58</v>
      </c>
    </row>
    <row r="245" spans="2:8" ht="15" customHeight="1" x14ac:dyDescent="0.3">
      <c r="B245" s="455" t="s">
        <v>5314</v>
      </c>
      <c r="C245" s="459" t="s">
        <v>793</v>
      </c>
      <c r="D245" s="461">
        <v>1130835.2</v>
      </c>
      <c r="E245" s="460">
        <v>0</v>
      </c>
      <c r="F245" s="460">
        <v>0</v>
      </c>
      <c r="G245" s="461">
        <v>1130835.2</v>
      </c>
    </row>
    <row r="246" spans="2:8" ht="15" customHeight="1" x14ac:dyDescent="0.3">
      <c r="B246" s="455" t="s">
        <v>5315</v>
      </c>
      <c r="C246" s="459" t="s">
        <v>797</v>
      </c>
      <c r="D246" s="460">
        <v>900</v>
      </c>
      <c r="E246" s="460">
        <v>0</v>
      </c>
      <c r="F246" s="460">
        <v>0</v>
      </c>
      <c r="G246" s="460">
        <v>900</v>
      </c>
    </row>
    <row r="247" spans="2:8" ht="15" customHeight="1" x14ac:dyDescent="0.3">
      <c r="B247" s="502" t="s">
        <v>5316</v>
      </c>
      <c r="C247" s="503" t="s">
        <v>801</v>
      </c>
      <c r="D247" s="504">
        <v>269130.88</v>
      </c>
      <c r="E247" s="504">
        <v>15810</v>
      </c>
      <c r="F247" s="504">
        <v>1340</v>
      </c>
      <c r="G247" s="504">
        <v>283600.88</v>
      </c>
      <c r="H247" s="505"/>
    </row>
    <row r="248" spans="2:8" ht="15" customHeight="1" x14ac:dyDescent="0.3">
      <c r="B248" s="455" t="s">
        <v>5317</v>
      </c>
      <c r="C248" s="456" t="s">
        <v>820</v>
      </c>
      <c r="D248" s="457">
        <v>27900.2</v>
      </c>
      <c r="E248" s="457">
        <v>4979.88</v>
      </c>
      <c r="F248" s="462">
        <v>0</v>
      </c>
      <c r="G248" s="457">
        <v>32880.080000000002</v>
      </c>
    </row>
    <row r="249" spans="2:8" ht="15" customHeight="1" x14ac:dyDescent="0.3">
      <c r="B249" s="455" t="s">
        <v>5318</v>
      </c>
      <c r="C249" s="459" t="s">
        <v>824</v>
      </c>
      <c r="D249" s="461">
        <v>8945.5</v>
      </c>
      <c r="E249" s="460">
        <v>0</v>
      </c>
      <c r="F249" s="460">
        <v>0</v>
      </c>
      <c r="G249" s="461">
        <v>8945.5</v>
      </c>
    </row>
    <row r="250" spans="2:8" ht="15" customHeight="1" x14ac:dyDescent="0.3">
      <c r="B250" s="455" t="s">
        <v>5319</v>
      </c>
      <c r="C250" s="459" t="s">
        <v>827</v>
      </c>
      <c r="D250" s="461">
        <v>19674.09</v>
      </c>
      <c r="E250" s="460">
        <v>0</v>
      </c>
      <c r="F250" s="460">
        <v>0</v>
      </c>
      <c r="G250" s="461">
        <v>19674.09</v>
      </c>
    </row>
    <row r="251" spans="2:8" ht="15" customHeight="1" x14ac:dyDescent="0.3">
      <c r="B251" s="455" t="s">
        <v>5320</v>
      </c>
      <c r="C251" s="459" t="s">
        <v>830</v>
      </c>
      <c r="D251" s="461">
        <v>4260.49</v>
      </c>
      <c r="E251" s="460">
        <v>0</v>
      </c>
      <c r="F251" s="460">
        <v>0</v>
      </c>
      <c r="G251" s="461">
        <v>4260.49</v>
      </c>
    </row>
    <row r="252" spans="2:8" ht="15" customHeight="1" x14ac:dyDescent="0.3">
      <c r="B252" s="455" t="s">
        <v>5321</v>
      </c>
      <c r="C252" s="459" t="s">
        <v>5322</v>
      </c>
      <c r="D252" s="461">
        <v>-4979.88</v>
      </c>
      <c r="E252" s="461">
        <v>4979.88</v>
      </c>
      <c r="F252" s="460">
        <v>0</v>
      </c>
      <c r="G252" s="460">
        <v>0</v>
      </c>
    </row>
    <row r="253" spans="2:8" ht="15" customHeight="1" x14ac:dyDescent="0.3">
      <c r="B253" s="455" t="s">
        <v>5323</v>
      </c>
      <c r="C253" s="456" t="s">
        <v>833</v>
      </c>
      <c r="D253" s="457">
        <v>624152.39</v>
      </c>
      <c r="E253" s="457">
        <v>154833.72</v>
      </c>
      <c r="F253" s="457">
        <v>248700</v>
      </c>
      <c r="G253" s="457">
        <v>530286.11</v>
      </c>
    </row>
    <row r="254" spans="2:8" ht="15" customHeight="1" x14ac:dyDescent="0.3">
      <c r="B254" s="455" t="s">
        <v>5324</v>
      </c>
      <c r="C254" s="459" t="s">
        <v>837</v>
      </c>
      <c r="D254" s="461">
        <v>778986.11</v>
      </c>
      <c r="E254" s="460">
        <v>0</v>
      </c>
      <c r="F254" s="461">
        <v>248700</v>
      </c>
      <c r="G254" s="461">
        <v>530286.11</v>
      </c>
    </row>
    <row r="255" spans="2:8" ht="15" customHeight="1" x14ac:dyDescent="0.3">
      <c r="B255" s="455" t="s">
        <v>5325</v>
      </c>
      <c r="C255" s="459" t="s">
        <v>5326</v>
      </c>
      <c r="D255" s="461">
        <v>-154833.72</v>
      </c>
      <c r="E255" s="461">
        <v>154833.72</v>
      </c>
      <c r="F255" s="460">
        <v>0</v>
      </c>
      <c r="G255" s="460">
        <v>0</v>
      </c>
    </row>
    <row r="256" spans="2:8" ht="15" customHeight="1" x14ac:dyDescent="0.3">
      <c r="B256" s="455" t="s">
        <v>5327</v>
      </c>
      <c r="C256" s="456" t="s">
        <v>839</v>
      </c>
      <c r="D256" s="457">
        <v>490124.04</v>
      </c>
      <c r="E256" s="457">
        <v>286214.08</v>
      </c>
      <c r="F256" s="457">
        <v>14568.98</v>
      </c>
      <c r="G256" s="457">
        <v>761769.14</v>
      </c>
    </row>
    <row r="257" spans="2:8" ht="15" customHeight="1" x14ac:dyDescent="0.3">
      <c r="B257" s="455" t="s">
        <v>5328</v>
      </c>
      <c r="C257" s="459" t="s">
        <v>843</v>
      </c>
      <c r="D257" s="461">
        <v>170317.81</v>
      </c>
      <c r="E257" s="460">
        <v>0</v>
      </c>
      <c r="F257" s="460">
        <v>246.8</v>
      </c>
      <c r="G257" s="461">
        <v>170071.01</v>
      </c>
    </row>
    <row r="258" spans="2:8" ht="15" customHeight="1" x14ac:dyDescent="0.3">
      <c r="B258" s="455" t="s">
        <v>5329</v>
      </c>
      <c r="C258" s="459" t="s">
        <v>846</v>
      </c>
      <c r="D258" s="461">
        <v>67624.740000000005</v>
      </c>
      <c r="E258" s="460">
        <v>0</v>
      </c>
      <c r="F258" s="460">
        <v>0</v>
      </c>
      <c r="G258" s="461">
        <v>67624.740000000005</v>
      </c>
    </row>
    <row r="259" spans="2:8" ht="15" customHeight="1" x14ac:dyDescent="0.3">
      <c r="B259" s="455" t="s">
        <v>5330</v>
      </c>
      <c r="C259" s="459" t="s">
        <v>849</v>
      </c>
      <c r="D259" s="461">
        <v>9604.94</v>
      </c>
      <c r="E259" s="460">
        <v>0</v>
      </c>
      <c r="F259" s="460">
        <v>250</v>
      </c>
      <c r="G259" s="461">
        <v>9354.94</v>
      </c>
    </row>
    <row r="260" spans="2:8" ht="15" customHeight="1" x14ac:dyDescent="0.3">
      <c r="B260" s="455" t="s">
        <v>5331</v>
      </c>
      <c r="C260" s="459" t="s">
        <v>852</v>
      </c>
      <c r="D260" s="461">
        <v>166808.76</v>
      </c>
      <c r="E260" s="460">
        <v>0</v>
      </c>
      <c r="F260" s="461">
        <v>7483.25</v>
      </c>
      <c r="G260" s="461">
        <v>159325.51</v>
      </c>
    </row>
    <row r="261" spans="2:8" ht="15" customHeight="1" x14ac:dyDescent="0.3">
      <c r="B261" s="455" t="s">
        <v>5332</v>
      </c>
      <c r="C261" s="459" t="s">
        <v>3461</v>
      </c>
      <c r="D261" s="461">
        <v>174380</v>
      </c>
      <c r="E261" s="461">
        <v>187601.87</v>
      </c>
      <c r="F261" s="461">
        <v>6588.93</v>
      </c>
      <c r="G261" s="461">
        <v>355392.94</v>
      </c>
    </row>
    <row r="262" spans="2:8" ht="15" customHeight="1" x14ac:dyDescent="0.3">
      <c r="B262" s="455" t="s">
        <v>5333</v>
      </c>
      <c r="C262" s="459" t="s">
        <v>5334</v>
      </c>
      <c r="D262" s="461">
        <v>-98612.21</v>
      </c>
      <c r="E262" s="461">
        <v>98612.21</v>
      </c>
      <c r="F262" s="460">
        <v>0</v>
      </c>
      <c r="G262" s="460">
        <v>0</v>
      </c>
    </row>
    <row r="263" spans="2:8" ht="15" customHeight="1" x14ac:dyDescent="0.3">
      <c r="B263" s="455" t="s">
        <v>5335</v>
      </c>
      <c r="C263" s="456" t="s">
        <v>858</v>
      </c>
      <c r="D263" s="457">
        <v>337165.95</v>
      </c>
      <c r="E263" s="457">
        <v>8860</v>
      </c>
      <c r="F263" s="457">
        <v>8860</v>
      </c>
      <c r="G263" s="457">
        <v>337165.95</v>
      </c>
    </row>
    <row r="264" spans="2:8" ht="15" customHeight="1" x14ac:dyDescent="0.3">
      <c r="B264" s="455" t="s">
        <v>5336</v>
      </c>
      <c r="C264" s="459" t="s">
        <v>862</v>
      </c>
      <c r="D264" s="461">
        <v>5210.63</v>
      </c>
      <c r="E264" s="460">
        <v>0</v>
      </c>
      <c r="F264" s="460">
        <v>0</v>
      </c>
      <c r="G264" s="461">
        <v>5210.63</v>
      </c>
    </row>
    <row r="265" spans="2:8" ht="15" customHeight="1" x14ac:dyDescent="0.3">
      <c r="B265" s="455" t="s">
        <v>5337</v>
      </c>
      <c r="C265" s="459" t="s">
        <v>865</v>
      </c>
      <c r="D265" s="460">
        <v>490</v>
      </c>
      <c r="E265" s="460">
        <v>0</v>
      </c>
      <c r="F265" s="460">
        <v>0</v>
      </c>
      <c r="G265" s="460">
        <v>490</v>
      </c>
    </row>
    <row r="266" spans="2:8" ht="15" customHeight="1" x14ac:dyDescent="0.3">
      <c r="B266" s="455" t="s">
        <v>5338</v>
      </c>
      <c r="C266" s="459" t="s">
        <v>868</v>
      </c>
      <c r="D266" s="461">
        <v>331465.32</v>
      </c>
      <c r="E266" s="461">
        <v>8860</v>
      </c>
      <c r="F266" s="461">
        <v>8860</v>
      </c>
      <c r="G266" s="461">
        <v>331465.32</v>
      </c>
    </row>
    <row r="267" spans="2:8" ht="15" customHeight="1" x14ac:dyDescent="0.3">
      <c r="B267" s="455" t="s">
        <v>5339</v>
      </c>
      <c r="C267" s="456" t="s">
        <v>871</v>
      </c>
      <c r="D267" s="457">
        <v>4569.91</v>
      </c>
      <c r="E267" s="462">
        <v>0</v>
      </c>
      <c r="F267" s="462">
        <v>0</v>
      </c>
      <c r="G267" s="457">
        <v>4569.91</v>
      </c>
    </row>
    <row r="268" spans="2:8" ht="15" customHeight="1" x14ac:dyDescent="0.3">
      <c r="B268" s="455" t="s">
        <v>5340</v>
      </c>
      <c r="C268" s="459" t="s">
        <v>875</v>
      </c>
      <c r="D268" s="461">
        <v>4569.91</v>
      </c>
      <c r="E268" s="460">
        <v>0</v>
      </c>
      <c r="F268" s="460">
        <v>0</v>
      </c>
      <c r="G268" s="461">
        <v>4569.91</v>
      </c>
    </row>
    <row r="269" spans="2:8" ht="15" customHeight="1" x14ac:dyDescent="0.3">
      <c r="B269" s="455" t="s">
        <v>5341</v>
      </c>
      <c r="C269" s="456" t="s">
        <v>877</v>
      </c>
      <c r="D269" s="457">
        <v>-28945439.34</v>
      </c>
      <c r="E269" s="457">
        <v>997839.31</v>
      </c>
      <c r="F269" s="457">
        <v>4912825.6399999997</v>
      </c>
      <c r="G269" s="457">
        <v>-32860425.670000002</v>
      </c>
      <c r="H269" s="661"/>
    </row>
    <row r="270" spans="2:8" ht="15" customHeight="1" x14ac:dyDescent="0.3">
      <c r="B270" s="455" t="s">
        <v>5342</v>
      </c>
      <c r="C270" s="459" t="s">
        <v>881</v>
      </c>
      <c r="D270" s="461">
        <v>-7187703.3899999997</v>
      </c>
      <c r="E270" s="460">
        <v>0</v>
      </c>
      <c r="F270" s="461">
        <v>1187862.69</v>
      </c>
      <c r="G270" s="461">
        <v>-8375566.0800000001</v>
      </c>
    </row>
    <row r="271" spans="2:8" ht="15" customHeight="1" x14ac:dyDescent="0.3">
      <c r="B271" s="455" t="s">
        <v>5343</v>
      </c>
      <c r="C271" s="459" t="s">
        <v>885</v>
      </c>
      <c r="D271" s="461">
        <v>-17139198.359999999</v>
      </c>
      <c r="E271" s="461">
        <v>621900.26</v>
      </c>
      <c r="F271" s="461">
        <v>2832779.11</v>
      </c>
      <c r="G271" s="461">
        <v>-19350077.210000001</v>
      </c>
    </row>
    <row r="272" spans="2:8" ht="15" customHeight="1" x14ac:dyDescent="0.3">
      <c r="B272" s="455" t="s">
        <v>5344</v>
      </c>
      <c r="C272" s="459" t="s">
        <v>889</v>
      </c>
      <c r="D272" s="461">
        <v>-119177.64</v>
      </c>
      <c r="E272" s="461">
        <v>121797.83</v>
      </c>
      <c r="F272" s="461">
        <v>537753.1</v>
      </c>
      <c r="G272" s="461">
        <v>-535132.91</v>
      </c>
    </row>
    <row r="273" spans="2:9" ht="15" customHeight="1" x14ac:dyDescent="0.3">
      <c r="B273" s="455" t="s">
        <v>5345</v>
      </c>
      <c r="C273" s="459" t="s">
        <v>892</v>
      </c>
      <c r="D273" s="461">
        <v>-3202809.3</v>
      </c>
      <c r="E273" s="461">
        <v>1891.17</v>
      </c>
      <c r="F273" s="460">
        <v>0</v>
      </c>
      <c r="G273" s="461">
        <v>-3200918.13</v>
      </c>
    </row>
    <row r="274" spans="2:9" ht="15" customHeight="1" x14ac:dyDescent="0.3">
      <c r="B274" s="455" t="s">
        <v>5346</v>
      </c>
      <c r="C274" s="459" t="s">
        <v>895</v>
      </c>
      <c r="D274" s="461">
        <v>-27900.2</v>
      </c>
      <c r="E274" s="460">
        <v>0</v>
      </c>
      <c r="F274" s="461">
        <v>4979.88</v>
      </c>
      <c r="G274" s="461">
        <v>-32880.080000000002</v>
      </c>
    </row>
    <row r="275" spans="2:9" ht="15" customHeight="1" x14ac:dyDescent="0.3">
      <c r="B275" s="455" t="s">
        <v>5347</v>
      </c>
      <c r="C275" s="459" t="s">
        <v>899</v>
      </c>
      <c r="D275" s="461">
        <v>-577992.99</v>
      </c>
      <c r="E275" s="461">
        <v>248700</v>
      </c>
      <c r="F275" s="461">
        <v>200993.12</v>
      </c>
      <c r="G275" s="461">
        <v>-530286.11</v>
      </c>
    </row>
    <row r="276" spans="2:9" ht="15" customHeight="1" x14ac:dyDescent="0.3">
      <c r="B276" s="455" t="s">
        <v>5348</v>
      </c>
      <c r="C276" s="459" t="s">
        <v>902</v>
      </c>
      <c r="D276" s="461">
        <v>-353491.51</v>
      </c>
      <c r="E276" s="461">
        <v>3550.05</v>
      </c>
      <c r="F276" s="461">
        <v>148457.74</v>
      </c>
      <c r="G276" s="461">
        <v>-498399.2</v>
      </c>
    </row>
    <row r="277" spans="2:9" ht="15" customHeight="1" x14ac:dyDescent="0.3">
      <c r="B277" s="455" t="s">
        <v>5349</v>
      </c>
      <c r="C277" s="459" t="s">
        <v>905</v>
      </c>
      <c r="D277" s="461">
        <v>-337165.95</v>
      </c>
      <c r="E277" s="460">
        <v>0</v>
      </c>
      <c r="F277" s="460">
        <v>0</v>
      </c>
      <c r="G277" s="461">
        <v>-337165.95</v>
      </c>
    </row>
    <row r="278" spans="2:9" ht="15" customHeight="1" x14ac:dyDescent="0.3">
      <c r="B278" s="455" t="s">
        <v>5350</v>
      </c>
      <c r="C278" s="456" t="s">
        <v>908</v>
      </c>
      <c r="D278" s="457">
        <v>-55707116.549999997</v>
      </c>
      <c r="E278" s="457">
        <v>187216335.34</v>
      </c>
      <c r="F278" s="457">
        <v>185517840.09999999</v>
      </c>
      <c r="G278" s="457">
        <v>-54008621.310000002</v>
      </c>
    </row>
    <row r="279" spans="2:9" ht="15" customHeight="1" x14ac:dyDescent="0.3">
      <c r="B279" s="455" t="s">
        <v>5351</v>
      </c>
      <c r="C279" s="456" t="s">
        <v>912</v>
      </c>
      <c r="D279" s="457">
        <v>-31038395.789999999</v>
      </c>
      <c r="E279" s="457">
        <v>81249912.540000007</v>
      </c>
      <c r="F279" s="457">
        <v>121433823.70999999</v>
      </c>
      <c r="G279" s="457">
        <v>-71222306.959999993</v>
      </c>
    </row>
    <row r="280" spans="2:9" ht="15" customHeight="1" x14ac:dyDescent="0.35">
      <c r="B280" s="455" t="s">
        <v>5352</v>
      </c>
      <c r="C280" s="456" t="s">
        <v>916</v>
      </c>
      <c r="D280" s="457">
        <v>-4077431.68</v>
      </c>
      <c r="E280" s="457">
        <v>13779179.029999999</v>
      </c>
      <c r="F280" s="457">
        <v>19182451.09</v>
      </c>
      <c r="G280" s="457">
        <v>-9480703.7400000002</v>
      </c>
      <c r="H280" s="290" t="s">
        <v>3470</v>
      </c>
      <c r="I280" s="291">
        <v>12</v>
      </c>
    </row>
    <row r="281" spans="2:9" ht="15" customHeight="1" x14ac:dyDescent="0.3">
      <c r="B281" s="455" t="s">
        <v>5353</v>
      </c>
      <c r="C281" s="456" t="s">
        <v>919</v>
      </c>
      <c r="D281" s="457">
        <v>-789303.8</v>
      </c>
      <c r="E281" s="457">
        <v>297043.21999999997</v>
      </c>
      <c r="F281" s="457">
        <v>315447.31</v>
      </c>
      <c r="G281" s="457">
        <v>-807707.89</v>
      </c>
    </row>
    <row r="282" spans="2:9" ht="15" customHeight="1" x14ac:dyDescent="0.3">
      <c r="B282" s="455" t="s">
        <v>5354</v>
      </c>
      <c r="C282" s="459" t="s">
        <v>3472</v>
      </c>
      <c r="D282" s="461">
        <v>-621313.88</v>
      </c>
      <c r="E282" s="460">
        <v>0</v>
      </c>
      <c r="F282" s="460">
        <v>0</v>
      </c>
      <c r="G282" s="461">
        <v>-621313.88</v>
      </c>
    </row>
    <row r="283" spans="2:9" ht="15" customHeight="1" x14ac:dyDescent="0.3">
      <c r="B283" s="455" t="s">
        <v>5355</v>
      </c>
      <c r="C283" s="459" t="s">
        <v>929</v>
      </c>
      <c r="D283" s="461">
        <v>-7300.9</v>
      </c>
      <c r="E283" s="460">
        <v>0</v>
      </c>
      <c r="F283" s="460">
        <v>0</v>
      </c>
      <c r="G283" s="461">
        <v>-7300.9</v>
      </c>
    </row>
    <row r="284" spans="2:9" ht="15" customHeight="1" x14ac:dyDescent="0.3">
      <c r="B284" s="455" t="s">
        <v>5356</v>
      </c>
      <c r="C284" s="459" t="s">
        <v>932</v>
      </c>
      <c r="D284" s="461">
        <v>-30000</v>
      </c>
      <c r="E284" s="460">
        <v>0</v>
      </c>
      <c r="F284" s="460">
        <v>0</v>
      </c>
      <c r="G284" s="461">
        <v>-30000</v>
      </c>
    </row>
    <row r="285" spans="2:9" ht="15" customHeight="1" x14ac:dyDescent="0.3">
      <c r="B285" s="455" t="s">
        <v>5357</v>
      </c>
      <c r="C285" s="459" t="s">
        <v>935</v>
      </c>
      <c r="D285" s="461">
        <v>-130689.02</v>
      </c>
      <c r="E285" s="460">
        <v>0</v>
      </c>
      <c r="F285" s="460">
        <v>0</v>
      </c>
      <c r="G285" s="461">
        <v>-130689.02</v>
      </c>
    </row>
    <row r="286" spans="2:9" ht="15" customHeight="1" x14ac:dyDescent="0.3">
      <c r="B286" s="455" t="s">
        <v>5358</v>
      </c>
      <c r="C286" s="459" t="s">
        <v>5359</v>
      </c>
      <c r="D286" s="460">
        <v>0</v>
      </c>
      <c r="E286" s="461">
        <v>1933.58</v>
      </c>
      <c r="F286" s="461">
        <v>1933.58</v>
      </c>
      <c r="G286" s="460">
        <v>0</v>
      </c>
    </row>
    <row r="287" spans="2:9" ht="15" customHeight="1" x14ac:dyDescent="0.3">
      <c r="B287" s="455" t="s">
        <v>5360</v>
      </c>
      <c r="C287" s="459" t="s">
        <v>5361</v>
      </c>
      <c r="D287" s="460">
        <v>0</v>
      </c>
      <c r="E287" s="461">
        <v>8860</v>
      </c>
      <c r="F287" s="461">
        <v>8860</v>
      </c>
      <c r="G287" s="460">
        <v>0</v>
      </c>
    </row>
    <row r="288" spans="2:9" ht="15" customHeight="1" x14ac:dyDescent="0.3">
      <c r="B288" s="455" t="s">
        <v>5362</v>
      </c>
      <c r="C288" s="459" t="s">
        <v>3474</v>
      </c>
      <c r="D288" s="460">
        <v>0</v>
      </c>
      <c r="E288" s="461">
        <v>200345.66</v>
      </c>
      <c r="F288" s="461">
        <v>218749.75</v>
      </c>
      <c r="G288" s="461">
        <v>-18404.09</v>
      </c>
    </row>
    <row r="289" spans="2:7" ht="15" customHeight="1" x14ac:dyDescent="0.3">
      <c r="B289" s="455" t="s">
        <v>5363</v>
      </c>
      <c r="C289" s="459" t="s">
        <v>5364</v>
      </c>
      <c r="D289" s="460">
        <v>0</v>
      </c>
      <c r="E289" s="460">
        <v>970.2</v>
      </c>
      <c r="F289" s="460">
        <v>970.2</v>
      </c>
      <c r="G289" s="460">
        <v>0</v>
      </c>
    </row>
    <row r="290" spans="2:7" ht="15" customHeight="1" x14ac:dyDescent="0.3">
      <c r="B290" s="455" t="s">
        <v>5365</v>
      </c>
      <c r="C290" s="459" t="s">
        <v>5366</v>
      </c>
      <c r="D290" s="460">
        <v>0</v>
      </c>
      <c r="E290" s="461">
        <v>60490.58</v>
      </c>
      <c r="F290" s="461">
        <v>60490.58</v>
      </c>
      <c r="G290" s="460">
        <v>0</v>
      </c>
    </row>
    <row r="291" spans="2:7" ht="15" customHeight="1" x14ac:dyDescent="0.3">
      <c r="B291" s="455" t="s">
        <v>5367</v>
      </c>
      <c r="C291" s="459" t="s">
        <v>5368</v>
      </c>
      <c r="D291" s="460">
        <v>0</v>
      </c>
      <c r="E291" s="461">
        <v>9405</v>
      </c>
      <c r="F291" s="461">
        <v>9405</v>
      </c>
      <c r="G291" s="460">
        <v>0</v>
      </c>
    </row>
    <row r="292" spans="2:7" ht="15" customHeight="1" x14ac:dyDescent="0.3">
      <c r="B292" s="455" t="s">
        <v>5369</v>
      </c>
      <c r="C292" s="459" t="s">
        <v>5370</v>
      </c>
      <c r="D292" s="460">
        <v>0</v>
      </c>
      <c r="E292" s="461">
        <v>15038.2</v>
      </c>
      <c r="F292" s="461">
        <v>15038.2</v>
      </c>
      <c r="G292" s="460">
        <v>0</v>
      </c>
    </row>
    <row r="293" spans="2:7" ht="15" customHeight="1" x14ac:dyDescent="0.3">
      <c r="B293" s="455" t="s">
        <v>5371</v>
      </c>
      <c r="C293" s="456" t="s">
        <v>938</v>
      </c>
      <c r="D293" s="457">
        <v>-29498.1</v>
      </c>
      <c r="E293" s="457">
        <v>285251.59000000003</v>
      </c>
      <c r="F293" s="457">
        <v>285251.59000000003</v>
      </c>
      <c r="G293" s="457">
        <v>-29498.1</v>
      </c>
    </row>
    <row r="294" spans="2:7" ht="15" customHeight="1" x14ac:dyDescent="0.3">
      <c r="B294" s="455" t="s">
        <v>5372</v>
      </c>
      <c r="C294" s="459" t="s">
        <v>948</v>
      </c>
      <c r="D294" s="461">
        <v>-18626.23</v>
      </c>
      <c r="E294" s="460">
        <v>0</v>
      </c>
      <c r="F294" s="460">
        <v>0</v>
      </c>
      <c r="G294" s="461">
        <v>-18626.23</v>
      </c>
    </row>
    <row r="295" spans="2:7" ht="15" customHeight="1" x14ac:dyDescent="0.3">
      <c r="B295" s="455" t="s">
        <v>5373</v>
      </c>
      <c r="C295" s="459" t="s">
        <v>951</v>
      </c>
      <c r="D295" s="461">
        <v>-10871.87</v>
      </c>
      <c r="E295" s="460">
        <v>0</v>
      </c>
      <c r="F295" s="460">
        <v>0</v>
      </c>
      <c r="G295" s="461">
        <v>-10871.87</v>
      </c>
    </row>
    <row r="296" spans="2:7" ht="15" customHeight="1" x14ac:dyDescent="0.3">
      <c r="B296" s="455" t="s">
        <v>5374</v>
      </c>
      <c r="C296" s="459" t="s">
        <v>5375</v>
      </c>
      <c r="D296" s="460">
        <v>0</v>
      </c>
      <c r="E296" s="461">
        <v>35493.43</v>
      </c>
      <c r="F296" s="461">
        <v>35493.43</v>
      </c>
      <c r="G296" s="460">
        <v>0</v>
      </c>
    </row>
    <row r="297" spans="2:7" ht="15" customHeight="1" x14ac:dyDescent="0.3">
      <c r="B297" s="455" t="s">
        <v>5376</v>
      </c>
      <c r="C297" s="459" t="s">
        <v>5377</v>
      </c>
      <c r="D297" s="460">
        <v>0</v>
      </c>
      <c r="E297" s="461">
        <v>249758.16</v>
      </c>
      <c r="F297" s="461">
        <v>249758.16</v>
      </c>
      <c r="G297" s="460">
        <v>0</v>
      </c>
    </row>
    <row r="298" spans="2:7" ht="15" customHeight="1" x14ac:dyDescent="0.3">
      <c r="B298" s="455" t="s">
        <v>5378</v>
      </c>
      <c r="C298" s="456" t="s">
        <v>954</v>
      </c>
      <c r="D298" s="457">
        <v>-2166969.86</v>
      </c>
      <c r="E298" s="457">
        <v>2944977.13</v>
      </c>
      <c r="F298" s="457">
        <v>8259493.9800000004</v>
      </c>
      <c r="G298" s="457">
        <v>-7481486.71</v>
      </c>
    </row>
    <row r="299" spans="2:7" ht="15" customHeight="1" x14ac:dyDescent="0.3">
      <c r="B299" s="455" t="s">
        <v>5379</v>
      </c>
      <c r="C299" s="459" t="s">
        <v>5380</v>
      </c>
      <c r="D299" s="461">
        <v>-58720.59</v>
      </c>
      <c r="E299" s="460">
        <v>0</v>
      </c>
      <c r="F299" s="460">
        <v>0</v>
      </c>
      <c r="G299" s="461">
        <v>-58720.59</v>
      </c>
    </row>
    <row r="300" spans="2:7" ht="15" customHeight="1" x14ac:dyDescent="0.3">
      <c r="B300" s="455" t="s">
        <v>5381</v>
      </c>
      <c r="C300" s="459" t="s">
        <v>958</v>
      </c>
      <c r="D300" s="461">
        <v>-2102699.27</v>
      </c>
      <c r="E300" s="461">
        <v>2882886.74</v>
      </c>
      <c r="F300" s="461">
        <v>8201436.1900000004</v>
      </c>
      <c r="G300" s="461">
        <v>-7421248.7199999997</v>
      </c>
    </row>
    <row r="301" spans="2:7" ht="15" customHeight="1" x14ac:dyDescent="0.3">
      <c r="B301" s="455" t="s">
        <v>5382</v>
      </c>
      <c r="C301" s="459" t="s">
        <v>3477</v>
      </c>
      <c r="D301" s="460">
        <v>0</v>
      </c>
      <c r="E301" s="461">
        <v>45689.24</v>
      </c>
      <c r="F301" s="461">
        <v>45689.24</v>
      </c>
      <c r="G301" s="460">
        <v>0</v>
      </c>
    </row>
    <row r="302" spans="2:7" ht="15" customHeight="1" x14ac:dyDescent="0.3">
      <c r="B302" s="455" t="s">
        <v>5383</v>
      </c>
      <c r="C302" s="459" t="s">
        <v>3478</v>
      </c>
      <c r="D302" s="461">
        <v>-5550</v>
      </c>
      <c r="E302" s="461">
        <v>12451.15</v>
      </c>
      <c r="F302" s="461">
        <v>8418.5499999999993</v>
      </c>
      <c r="G302" s="461">
        <v>-1517.4</v>
      </c>
    </row>
    <row r="303" spans="2:7" ht="15" customHeight="1" x14ac:dyDescent="0.3">
      <c r="B303" s="455" t="s">
        <v>5384</v>
      </c>
      <c r="C303" s="459" t="s">
        <v>5385</v>
      </c>
      <c r="D303" s="460">
        <v>0</v>
      </c>
      <c r="E303" s="461">
        <v>3950</v>
      </c>
      <c r="F303" s="461">
        <v>3950</v>
      </c>
      <c r="G303" s="460">
        <v>0</v>
      </c>
    </row>
    <row r="304" spans="2:7" ht="15" customHeight="1" x14ac:dyDescent="0.3">
      <c r="B304" s="455" t="s">
        <v>5386</v>
      </c>
      <c r="C304" s="456" t="s">
        <v>961</v>
      </c>
      <c r="D304" s="457">
        <v>-271937.63</v>
      </c>
      <c r="E304" s="457">
        <v>110456.99</v>
      </c>
      <c r="F304" s="457">
        <v>137811.14000000001</v>
      </c>
      <c r="G304" s="457">
        <v>-299291.78000000003</v>
      </c>
    </row>
    <row r="305" spans="2:7" ht="15" customHeight="1" x14ac:dyDescent="0.3">
      <c r="B305" s="455" t="s">
        <v>5387</v>
      </c>
      <c r="C305" s="459" t="s">
        <v>973</v>
      </c>
      <c r="D305" s="461">
        <v>-8698.98</v>
      </c>
      <c r="E305" s="460">
        <v>0</v>
      </c>
      <c r="F305" s="460">
        <v>0</v>
      </c>
      <c r="G305" s="461">
        <v>-8698.98</v>
      </c>
    </row>
    <row r="306" spans="2:7" ht="15" customHeight="1" x14ac:dyDescent="0.3">
      <c r="B306" s="455" t="s">
        <v>5388</v>
      </c>
      <c r="C306" s="459" t="s">
        <v>3480</v>
      </c>
      <c r="D306" s="461">
        <v>-27561.3</v>
      </c>
      <c r="E306" s="460">
        <v>0</v>
      </c>
      <c r="F306" s="460">
        <v>0</v>
      </c>
      <c r="G306" s="461">
        <v>-27561.3</v>
      </c>
    </row>
    <row r="307" spans="2:7" ht="15" customHeight="1" x14ac:dyDescent="0.3">
      <c r="B307" s="455" t="s">
        <v>5389</v>
      </c>
      <c r="C307" s="459" t="s">
        <v>976</v>
      </c>
      <c r="D307" s="461">
        <v>-2907.7</v>
      </c>
      <c r="E307" s="460">
        <v>0</v>
      </c>
      <c r="F307" s="460">
        <v>0</v>
      </c>
      <c r="G307" s="461">
        <v>-2907.7</v>
      </c>
    </row>
    <row r="308" spans="2:7" ht="15" customHeight="1" x14ac:dyDescent="0.3">
      <c r="B308" s="455" t="s">
        <v>5390</v>
      </c>
      <c r="C308" s="459" t="s">
        <v>5391</v>
      </c>
      <c r="D308" s="460">
        <v>0</v>
      </c>
      <c r="E308" s="460">
        <v>0</v>
      </c>
      <c r="F308" s="461">
        <v>22908.87</v>
      </c>
      <c r="G308" s="461">
        <v>-22908.87</v>
      </c>
    </row>
    <row r="309" spans="2:7" ht="15" customHeight="1" x14ac:dyDescent="0.3">
      <c r="B309" s="455" t="s">
        <v>5392</v>
      </c>
      <c r="C309" s="459" t="s">
        <v>5393</v>
      </c>
      <c r="D309" s="460">
        <v>0</v>
      </c>
      <c r="E309" s="461">
        <v>3662.25</v>
      </c>
      <c r="F309" s="461">
        <v>3662.25</v>
      </c>
      <c r="G309" s="460">
        <v>0</v>
      </c>
    </row>
    <row r="310" spans="2:7" ht="15" customHeight="1" x14ac:dyDescent="0.3">
      <c r="B310" s="455" t="s">
        <v>5394</v>
      </c>
      <c r="C310" s="459" t="s">
        <v>982</v>
      </c>
      <c r="D310" s="461">
        <v>-2145.7399999999998</v>
      </c>
      <c r="E310" s="460">
        <v>0</v>
      </c>
      <c r="F310" s="460">
        <v>0</v>
      </c>
      <c r="G310" s="461">
        <v>-2145.7399999999998</v>
      </c>
    </row>
    <row r="311" spans="2:7" ht="15" customHeight="1" x14ac:dyDescent="0.3">
      <c r="B311" s="455" t="s">
        <v>5395</v>
      </c>
      <c r="C311" s="459" t="s">
        <v>988</v>
      </c>
      <c r="D311" s="461">
        <v>-7084.03</v>
      </c>
      <c r="E311" s="460">
        <v>0</v>
      </c>
      <c r="F311" s="460">
        <v>0</v>
      </c>
      <c r="G311" s="461">
        <v>-7084.03</v>
      </c>
    </row>
    <row r="312" spans="2:7" ht="15" customHeight="1" x14ac:dyDescent="0.3">
      <c r="B312" s="455" t="s">
        <v>5396</v>
      </c>
      <c r="C312" s="459" t="s">
        <v>995</v>
      </c>
      <c r="D312" s="461">
        <v>-6658.94</v>
      </c>
      <c r="E312" s="460">
        <v>0</v>
      </c>
      <c r="F312" s="460">
        <v>0</v>
      </c>
      <c r="G312" s="461">
        <v>-6658.94</v>
      </c>
    </row>
    <row r="313" spans="2:7" ht="15" customHeight="1" x14ac:dyDescent="0.3">
      <c r="B313" s="455" t="s">
        <v>5397</v>
      </c>
      <c r="C313" s="459" t="s">
        <v>998</v>
      </c>
      <c r="D313" s="461">
        <v>-103676.82</v>
      </c>
      <c r="E313" s="460">
        <v>0</v>
      </c>
      <c r="F313" s="460">
        <v>0</v>
      </c>
      <c r="G313" s="461">
        <v>-103676.82</v>
      </c>
    </row>
    <row r="314" spans="2:7" ht="15" customHeight="1" x14ac:dyDescent="0.3">
      <c r="B314" s="455" t="s">
        <v>5398</v>
      </c>
      <c r="C314" s="459" t="s">
        <v>1001</v>
      </c>
      <c r="D314" s="461">
        <v>-2777.3</v>
      </c>
      <c r="E314" s="460">
        <v>0</v>
      </c>
      <c r="F314" s="460">
        <v>0</v>
      </c>
      <c r="G314" s="461">
        <v>-2777.3</v>
      </c>
    </row>
    <row r="315" spans="2:7" ht="15" customHeight="1" x14ac:dyDescent="0.3">
      <c r="B315" s="455" t="s">
        <v>5399</v>
      </c>
      <c r="C315" s="459" t="s">
        <v>1004</v>
      </c>
      <c r="D315" s="461">
        <v>-79099.899999999994</v>
      </c>
      <c r="E315" s="460">
        <v>0</v>
      </c>
      <c r="F315" s="460">
        <v>0</v>
      </c>
      <c r="G315" s="461">
        <v>-79099.899999999994</v>
      </c>
    </row>
    <row r="316" spans="2:7" ht="15" customHeight="1" x14ac:dyDescent="0.3">
      <c r="B316" s="455" t="s">
        <v>5400</v>
      </c>
      <c r="C316" s="459" t="s">
        <v>1007</v>
      </c>
      <c r="D316" s="461">
        <v>-7010.8</v>
      </c>
      <c r="E316" s="460">
        <v>0</v>
      </c>
      <c r="F316" s="460">
        <v>0</v>
      </c>
      <c r="G316" s="461">
        <v>-7010.8</v>
      </c>
    </row>
    <row r="317" spans="2:7" ht="15" customHeight="1" x14ac:dyDescent="0.3">
      <c r="B317" s="455" t="s">
        <v>5401</v>
      </c>
      <c r="C317" s="459" t="s">
        <v>1010</v>
      </c>
      <c r="D317" s="461">
        <v>-3580</v>
      </c>
      <c r="E317" s="460">
        <v>0</v>
      </c>
      <c r="F317" s="460">
        <v>0</v>
      </c>
      <c r="G317" s="461">
        <v>-3580</v>
      </c>
    </row>
    <row r="318" spans="2:7" ht="15" customHeight="1" x14ac:dyDescent="0.3">
      <c r="B318" s="455" t="s">
        <v>5402</v>
      </c>
      <c r="C318" s="459" t="s">
        <v>1013</v>
      </c>
      <c r="D318" s="461">
        <v>-2040</v>
      </c>
      <c r="E318" s="460">
        <v>0</v>
      </c>
      <c r="F318" s="460">
        <v>0</v>
      </c>
      <c r="G318" s="461">
        <v>-2040</v>
      </c>
    </row>
    <row r="319" spans="2:7" ht="15" customHeight="1" x14ac:dyDescent="0.3">
      <c r="B319" s="455" t="s">
        <v>5403</v>
      </c>
      <c r="C319" s="459" t="s">
        <v>1019</v>
      </c>
      <c r="D319" s="461">
        <v>-8906.14</v>
      </c>
      <c r="E319" s="460">
        <v>0</v>
      </c>
      <c r="F319" s="460">
        <v>0</v>
      </c>
      <c r="G319" s="461">
        <v>-8906.14</v>
      </c>
    </row>
    <row r="320" spans="2:7" ht="15" customHeight="1" x14ac:dyDescent="0.3">
      <c r="B320" s="455" t="s">
        <v>5404</v>
      </c>
      <c r="C320" s="459" t="s">
        <v>1022</v>
      </c>
      <c r="D320" s="461">
        <v>-9789.98</v>
      </c>
      <c r="E320" s="460">
        <v>0</v>
      </c>
      <c r="F320" s="460">
        <v>0</v>
      </c>
      <c r="G320" s="461">
        <v>-9789.98</v>
      </c>
    </row>
    <row r="321" spans="2:7" ht="15" customHeight="1" x14ac:dyDescent="0.3">
      <c r="B321" s="455" t="s">
        <v>5405</v>
      </c>
      <c r="C321" s="459" t="s">
        <v>1030</v>
      </c>
      <c r="D321" s="460">
        <v>0</v>
      </c>
      <c r="E321" s="461">
        <v>5633.34</v>
      </c>
      <c r="F321" s="461">
        <v>5633.34</v>
      </c>
      <c r="G321" s="460">
        <v>0</v>
      </c>
    </row>
    <row r="322" spans="2:7" ht="15" customHeight="1" x14ac:dyDescent="0.3">
      <c r="B322" s="455" t="s">
        <v>5406</v>
      </c>
      <c r="C322" s="459" t="s">
        <v>3482</v>
      </c>
      <c r="D322" s="460">
        <v>0</v>
      </c>
      <c r="E322" s="461">
        <v>8375.39</v>
      </c>
      <c r="F322" s="461">
        <v>8375.39</v>
      </c>
      <c r="G322" s="460">
        <v>0</v>
      </c>
    </row>
    <row r="323" spans="2:7" ht="15" customHeight="1" x14ac:dyDescent="0.3">
      <c r="B323" s="455" t="s">
        <v>5407</v>
      </c>
      <c r="C323" s="459" t="s">
        <v>3483</v>
      </c>
      <c r="D323" s="460">
        <v>0</v>
      </c>
      <c r="E323" s="461">
        <v>27812.799999999999</v>
      </c>
      <c r="F323" s="461">
        <v>27812.799999999999</v>
      </c>
      <c r="G323" s="460">
        <v>0</v>
      </c>
    </row>
    <row r="324" spans="2:7" ht="15" customHeight="1" x14ac:dyDescent="0.3">
      <c r="B324" s="455" t="s">
        <v>5408</v>
      </c>
      <c r="C324" s="459" t="s">
        <v>3484</v>
      </c>
      <c r="D324" s="460">
        <v>0</v>
      </c>
      <c r="E324" s="460">
        <v>301.08</v>
      </c>
      <c r="F324" s="460">
        <v>301.08</v>
      </c>
      <c r="G324" s="460">
        <v>0</v>
      </c>
    </row>
    <row r="325" spans="2:7" ht="15" customHeight="1" x14ac:dyDescent="0.3">
      <c r="B325" s="455" t="s">
        <v>5409</v>
      </c>
      <c r="C325" s="459" t="s">
        <v>5410</v>
      </c>
      <c r="D325" s="460">
        <v>0</v>
      </c>
      <c r="E325" s="461">
        <v>12500</v>
      </c>
      <c r="F325" s="461">
        <v>12500</v>
      </c>
      <c r="G325" s="460">
        <v>0</v>
      </c>
    </row>
    <row r="326" spans="2:7" ht="15" customHeight="1" x14ac:dyDescent="0.3">
      <c r="B326" s="455" t="s">
        <v>5411</v>
      </c>
      <c r="C326" s="459" t="s">
        <v>5412</v>
      </c>
      <c r="D326" s="460">
        <v>0</v>
      </c>
      <c r="E326" s="461">
        <v>28500</v>
      </c>
      <c r="F326" s="461">
        <v>28500</v>
      </c>
      <c r="G326" s="460">
        <v>0</v>
      </c>
    </row>
    <row r="327" spans="2:7" ht="15" customHeight="1" x14ac:dyDescent="0.3">
      <c r="B327" s="455" t="s">
        <v>5413</v>
      </c>
      <c r="C327" s="459" t="s">
        <v>5414</v>
      </c>
      <c r="D327" s="460">
        <v>0</v>
      </c>
      <c r="E327" s="461">
        <v>23672.13</v>
      </c>
      <c r="F327" s="461">
        <v>28117.41</v>
      </c>
      <c r="G327" s="461">
        <v>-4445.28</v>
      </c>
    </row>
    <row r="328" spans="2:7" ht="15" customHeight="1" x14ac:dyDescent="0.3">
      <c r="B328" s="455" t="s">
        <v>5415</v>
      </c>
      <c r="C328" s="456" t="s">
        <v>1036</v>
      </c>
      <c r="D328" s="457">
        <v>-796750.34</v>
      </c>
      <c r="E328" s="457">
        <v>9934646.5999999996</v>
      </c>
      <c r="F328" s="457">
        <v>9977643.5700000003</v>
      </c>
      <c r="G328" s="457">
        <v>-839747.31</v>
      </c>
    </row>
    <row r="329" spans="2:7" ht="15" customHeight="1" x14ac:dyDescent="0.3">
      <c r="B329" s="455" t="s">
        <v>5416</v>
      </c>
      <c r="C329" s="459" t="s">
        <v>1042</v>
      </c>
      <c r="D329" s="460">
        <v>0</v>
      </c>
      <c r="E329" s="461">
        <v>144619.51</v>
      </c>
      <c r="F329" s="461">
        <v>156888.03</v>
      </c>
      <c r="G329" s="461">
        <v>-12268.52</v>
      </c>
    </row>
    <row r="330" spans="2:7" ht="15" customHeight="1" x14ac:dyDescent="0.3">
      <c r="B330" s="455" t="s">
        <v>5417</v>
      </c>
      <c r="C330" s="459" t="s">
        <v>1045</v>
      </c>
      <c r="D330" s="461">
        <v>-18922.59</v>
      </c>
      <c r="E330" s="461">
        <v>127875</v>
      </c>
      <c r="F330" s="461">
        <v>108952.41</v>
      </c>
      <c r="G330" s="460">
        <v>0</v>
      </c>
    </row>
    <row r="331" spans="2:7" ht="15" customHeight="1" x14ac:dyDescent="0.3">
      <c r="B331" s="455" t="s">
        <v>5418</v>
      </c>
      <c r="C331" s="459" t="s">
        <v>5419</v>
      </c>
      <c r="D331" s="460">
        <v>0</v>
      </c>
      <c r="E331" s="461">
        <v>81249.62</v>
      </c>
      <c r="F331" s="461">
        <v>81249.62</v>
      </c>
      <c r="G331" s="460">
        <v>0</v>
      </c>
    </row>
    <row r="332" spans="2:7" ht="15" customHeight="1" x14ac:dyDescent="0.3">
      <c r="B332" s="455" t="s">
        <v>5420</v>
      </c>
      <c r="C332" s="459" t="s">
        <v>1047</v>
      </c>
      <c r="D332" s="460">
        <v>0</v>
      </c>
      <c r="E332" s="461">
        <v>27309.16</v>
      </c>
      <c r="F332" s="461">
        <v>29614.97</v>
      </c>
      <c r="G332" s="461">
        <v>-2305.81</v>
      </c>
    </row>
    <row r="333" spans="2:7" ht="15" customHeight="1" x14ac:dyDescent="0.3">
      <c r="B333" s="455" t="s">
        <v>5421</v>
      </c>
      <c r="C333" s="459" t="s">
        <v>1049</v>
      </c>
      <c r="D333" s="460">
        <v>0</v>
      </c>
      <c r="E333" s="461">
        <v>1029.95</v>
      </c>
      <c r="F333" s="461">
        <v>1378.38</v>
      </c>
      <c r="G333" s="460">
        <v>-348.43</v>
      </c>
    </row>
    <row r="334" spans="2:7" ht="15" customHeight="1" x14ac:dyDescent="0.3">
      <c r="B334" s="455" t="s">
        <v>5422</v>
      </c>
      <c r="C334" s="459" t="s">
        <v>1051</v>
      </c>
      <c r="D334" s="461">
        <v>-22666.7</v>
      </c>
      <c r="E334" s="460">
        <v>0</v>
      </c>
      <c r="F334" s="460">
        <v>0</v>
      </c>
      <c r="G334" s="461">
        <v>-22666.7</v>
      </c>
    </row>
    <row r="335" spans="2:7" ht="15" customHeight="1" x14ac:dyDescent="0.3">
      <c r="B335" s="455" t="s">
        <v>5423</v>
      </c>
      <c r="C335" s="459" t="s">
        <v>1054</v>
      </c>
      <c r="D335" s="461">
        <v>-28865.8</v>
      </c>
      <c r="E335" s="460">
        <v>0</v>
      </c>
      <c r="F335" s="460">
        <v>0</v>
      </c>
      <c r="G335" s="461">
        <v>-28865.8</v>
      </c>
    </row>
    <row r="336" spans="2:7" ht="15" customHeight="1" x14ac:dyDescent="0.3">
      <c r="B336" s="455" t="s">
        <v>5424</v>
      </c>
      <c r="C336" s="459" t="s">
        <v>1057</v>
      </c>
      <c r="D336" s="461">
        <v>-14261.4</v>
      </c>
      <c r="E336" s="460">
        <v>0</v>
      </c>
      <c r="F336" s="460">
        <v>0</v>
      </c>
      <c r="G336" s="461">
        <v>-14261.4</v>
      </c>
    </row>
    <row r="337" spans="2:7" ht="15" customHeight="1" x14ac:dyDescent="0.3">
      <c r="B337" s="455" t="s">
        <v>5425</v>
      </c>
      <c r="C337" s="459" t="s">
        <v>1069</v>
      </c>
      <c r="D337" s="461">
        <v>-1861.49</v>
      </c>
      <c r="E337" s="461">
        <v>38973.42</v>
      </c>
      <c r="F337" s="461">
        <v>39333.839999999997</v>
      </c>
      <c r="G337" s="461">
        <v>-2221.91</v>
      </c>
    </row>
    <row r="338" spans="2:7" ht="15" customHeight="1" x14ac:dyDescent="0.3">
      <c r="B338" s="455" t="s">
        <v>5426</v>
      </c>
      <c r="C338" s="459" t="s">
        <v>5427</v>
      </c>
      <c r="D338" s="460">
        <v>0</v>
      </c>
      <c r="E338" s="461">
        <v>276211.39</v>
      </c>
      <c r="F338" s="461">
        <v>276211.39</v>
      </c>
      <c r="G338" s="460">
        <v>0</v>
      </c>
    </row>
    <row r="339" spans="2:7" ht="15" customHeight="1" x14ac:dyDescent="0.3">
      <c r="B339" s="455" t="s">
        <v>5428</v>
      </c>
      <c r="C339" s="459" t="s">
        <v>1074</v>
      </c>
      <c r="D339" s="461">
        <v>-25987.5</v>
      </c>
      <c r="E339" s="460">
        <v>0</v>
      </c>
      <c r="F339" s="460">
        <v>0</v>
      </c>
      <c r="G339" s="461">
        <v>-25987.5</v>
      </c>
    </row>
    <row r="340" spans="2:7" ht="15" customHeight="1" x14ac:dyDescent="0.3">
      <c r="B340" s="455" t="s">
        <v>5429</v>
      </c>
      <c r="C340" s="459" t="s">
        <v>1077</v>
      </c>
      <c r="D340" s="461">
        <v>-1400</v>
      </c>
      <c r="E340" s="460">
        <v>0</v>
      </c>
      <c r="F340" s="460">
        <v>0</v>
      </c>
      <c r="G340" s="461">
        <v>-1400</v>
      </c>
    </row>
    <row r="341" spans="2:7" ht="15" customHeight="1" x14ac:dyDescent="0.3">
      <c r="B341" s="455" t="s">
        <v>5430</v>
      </c>
      <c r="C341" s="459" t="s">
        <v>1080</v>
      </c>
      <c r="D341" s="461">
        <v>-62437.279999999999</v>
      </c>
      <c r="E341" s="460">
        <v>0</v>
      </c>
      <c r="F341" s="460">
        <v>0</v>
      </c>
      <c r="G341" s="461">
        <v>-62437.279999999999</v>
      </c>
    </row>
    <row r="342" spans="2:7" ht="15" customHeight="1" x14ac:dyDescent="0.3">
      <c r="B342" s="455" t="s">
        <v>5431</v>
      </c>
      <c r="C342" s="459" t="s">
        <v>1083</v>
      </c>
      <c r="D342" s="460">
        <v>0</v>
      </c>
      <c r="E342" s="461">
        <v>24822.080000000002</v>
      </c>
      <c r="F342" s="461">
        <v>24822.080000000002</v>
      </c>
      <c r="G342" s="460">
        <v>0</v>
      </c>
    </row>
    <row r="343" spans="2:7" ht="15" customHeight="1" x14ac:dyDescent="0.3">
      <c r="B343" s="455" t="s">
        <v>5432</v>
      </c>
      <c r="C343" s="459" t="s">
        <v>3487</v>
      </c>
      <c r="D343" s="461">
        <v>-1874.26</v>
      </c>
      <c r="E343" s="461">
        <v>3748.52</v>
      </c>
      <c r="F343" s="461">
        <v>1874.26</v>
      </c>
      <c r="G343" s="460">
        <v>0</v>
      </c>
    </row>
    <row r="344" spans="2:7" ht="15" customHeight="1" x14ac:dyDescent="0.3">
      <c r="B344" s="455" t="s">
        <v>5433</v>
      </c>
      <c r="C344" s="459" t="s">
        <v>1090</v>
      </c>
      <c r="D344" s="461">
        <v>-4568.3999999999996</v>
      </c>
      <c r="E344" s="460">
        <v>0</v>
      </c>
      <c r="F344" s="460">
        <v>0</v>
      </c>
      <c r="G344" s="461">
        <v>-4568.3999999999996</v>
      </c>
    </row>
    <row r="345" spans="2:7" ht="15" customHeight="1" x14ac:dyDescent="0.3">
      <c r="B345" s="455" t="s">
        <v>5434</v>
      </c>
      <c r="C345" s="459" t="s">
        <v>1093</v>
      </c>
      <c r="D345" s="460">
        <v>0</v>
      </c>
      <c r="E345" s="461">
        <v>3700</v>
      </c>
      <c r="F345" s="461">
        <v>3700</v>
      </c>
      <c r="G345" s="460">
        <v>0</v>
      </c>
    </row>
    <row r="346" spans="2:7" ht="15" customHeight="1" x14ac:dyDescent="0.3">
      <c r="B346" s="455" t="s">
        <v>5435</v>
      </c>
      <c r="C346" s="459" t="s">
        <v>1096</v>
      </c>
      <c r="D346" s="460">
        <v>0</v>
      </c>
      <c r="E346" s="461">
        <v>7218.47</v>
      </c>
      <c r="F346" s="461">
        <v>7218.47</v>
      </c>
      <c r="G346" s="460">
        <v>0</v>
      </c>
    </row>
    <row r="347" spans="2:7" ht="15" customHeight="1" x14ac:dyDescent="0.3">
      <c r="B347" s="455" t="s">
        <v>5436</v>
      </c>
      <c r="C347" s="459" t="s">
        <v>1098</v>
      </c>
      <c r="D347" s="461">
        <v>-2162.7399999999998</v>
      </c>
      <c r="E347" s="460">
        <v>0</v>
      </c>
      <c r="F347" s="460">
        <v>0</v>
      </c>
      <c r="G347" s="461">
        <v>-2162.7399999999998</v>
      </c>
    </row>
    <row r="348" spans="2:7" ht="15" customHeight="1" x14ac:dyDescent="0.3">
      <c r="B348" s="455" t="s">
        <v>5437</v>
      </c>
      <c r="C348" s="459" t="s">
        <v>3488</v>
      </c>
      <c r="D348" s="461">
        <v>-137959.88</v>
      </c>
      <c r="E348" s="460">
        <v>0</v>
      </c>
      <c r="F348" s="460">
        <v>0</v>
      </c>
      <c r="G348" s="461">
        <v>-137959.88</v>
      </c>
    </row>
    <row r="349" spans="2:7" ht="15" customHeight="1" x14ac:dyDescent="0.3">
      <c r="B349" s="455" t="s">
        <v>5438</v>
      </c>
      <c r="C349" s="459" t="s">
        <v>1101</v>
      </c>
      <c r="D349" s="461">
        <v>-125789.69</v>
      </c>
      <c r="E349" s="460">
        <v>0</v>
      </c>
      <c r="F349" s="460">
        <v>0</v>
      </c>
      <c r="G349" s="461">
        <v>-125789.69</v>
      </c>
    </row>
    <row r="350" spans="2:7" ht="15" customHeight="1" x14ac:dyDescent="0.3">
      <c r="B350" s="455" t="s">
        <v>5439</v>
      </c>
      <c r="C350" s="459" t="s">
        <v>1105</v>
      </c>
      <c r="D350" s="461">
        <v>-13894.5</v>
      </c>
      <c r="E350" s="460">
        <v>0</v>
      </c>
      <c r="F350" s="460">
        <v>0</v>
      </c>
      <c r="G350" s="461">
        <v>-13894.5</v>
      </c>
    </row>
    <row r="351" spans="2:7" ht="15" customHeight="1" x14ac:dyDescent="0.3">
      <c r="B351" s="455" t="s">
        <v>5440</v>
      </c>
      <c r="C351" s="459" t="s">
        <v>1108</v>
      </c>
      <c r="D351" s="461">
        <v>-93503.8</v>
      </c>
      <c r="E351" s="460">
        <v>0</v>
      </c>
      <c r="F351" s="460">
        <v>0</v>
      </c>
      <c r="G351" s="461">
        <v>-93503.8</v>
      </c>
    </row>
    <row r="352" spans="2:7" ht="15" customHeight="1" x14ac:dyDescent="0.3">
      <c r="B352" s="455" t="s">
        <v>5441</v>
      </c>
      <c r="C352" s="459" t="s">
        <v>5442</v>
      </c>
      <c r="D352" s="460">
        <v>0</v>
      </c>
      <c r="E352" s="461">
        <v>25339.5</v>
      </c>
      <c r="F352" s="461">
        <v>25339.5</v>
      </c>
      <c r="G352" s="460">
        <v>0</v>
      </c>
    </row>
    <row r="353" spans="2:7" ht="15" customHeight="1" x14ac:dyDescent="0.3">
      <c r="B353" s="455" t="s">
        <v>5443</v>
      </c>
      <c r="C353" s="459" t="s">
        <v>1111</v>
      </c>
      <c r="D353" s="461">
        <v>-41935.82</v>
      </c>
      <c r="E353" s="460">
        <v>0</v>
      </c>
      <c r="F353" s="460">
        <v>0</v>
      </c>
      <c r="G353" s="461">
        <v>-41935.82</v>
      </c>
    </row>
    <row r="354" spans="2:7" ht="15" customHeight="1" x14ac:dyDescent="0.3">
      <c r="B354" s="455" t="s">
        <v>5444</v>
      </c>
      <c r="C354" s="459" t="s">
        <v>1115</v>
      </c>
      <c r="D354" s="461">
        <v>-4377.46</v>
      </c>
      <c r="E354" s="460">
        <v>0</v>
      </c>
      <c r="F354" s="460">
        <v>0</v>
      </c>
      <c r="G354" s="461">
        <v>-4377.46</v>
      </c>
    </row>
    <row r="355" spans="2:7" ht="15" customHeight="1" x14ac:dyDescent="0.3">
      <c r="B355" s="455" t="s">
        <v>5445</v>
      </c>
      <c r="C355" s="459" t="s">
        <v>1118</v>
      </c>
      <c r="D355" s="461">
        <v>-7498.61</v>
      </c>
      <c r="E355" s="460">
        <v>0</v>
      </c>
      <c r="F355" s="460">
        <v>0</v>
      </c>
      <c r="G355" s="461">
        <v>-7498.61</v>
      </c>
    </row>
    <row r="356" spans="2:7" ht="15" customHeight="1" x14ac:dyDescent="0.3">
      <c r="B356" s="455" t="s">
        <v>5446</v>
      </c>
      <c r="C356" s="459" t="s">
        <v>1121</v>
      </c>
      <c r="D356" s="461">
        <v>-57733.22</v>
      </c>
      <c r="E356" s="460">
        <v>0</v>
      </c>
      <c r="F356" s="460">
        <v>0</v>
      </c>
      <c r="G356" s="461">
        <v>-57733.22</v>
      </c>
    </row>
    <row r="357" spans="2:7" ht="15" customHeight="1" x14ac:dyDescent="0.3">
      <c r="B357" s="455" t="s">
        <v>5447</v>
      </c>
      <c r="C357" s="459" t="s">
        <v>1124</v>
      </c>
      <c r="D357" s="461">
        <v>-3140</v>
      </c>
      <c r="E357" s="460">
        <v>0</v>
      </c>
      <c r="F357" s="460">
        <v>0</v>
      </c>
      <c r="G357" s="461">
        <v>-3140</v>
      </c>
    </row>
    <row r="358" spans="2:7" ht="15" customHeight="1" x14ac:dyDescent="0.3">
      <c r="B358" s="455" t="s">
        <v>5448</v>
      </c>
      <c r="C358" s="459" t="s">
        <v>1127</v>
      </c>
      <c r="D358" s="461">
        <v>-8101.4</v>
      </c>
      <c r="E358" s="461">
        <v>8101.4</v>
      </c>
      <c r="F358" s="460">
        <v>0</v>
      </c>
      <c r="G358" s="460">
        <v>0</v>
      </c>
    </row>
    <row r="359" spans="2:7" ht="15" customHeight="1" x14ac:dyDescent="0.3">
      <c r="B359" s="455" t="s">
        <v>5449</v>
      </c>
      <c r="C359" s="459" t="s">
        <v>1137</v>
      </c>
      <c r="D359" s="461">
        <v>-21663.5</v>
      </c>
      <c r="E359" s="460">
        <v>0</v>
      </c>
      <c r="F359" s="460">
        <v>0</v>
      </c>
      <c r="G359" s="461">
        <v>-21663.5</v>
      </c>
    </row>
    <row r="360" spans="2:7" ht="15" customHeight="1" x14ac:dyDescent="0.3">
      <c r="B360" s="455" t="s">
        <v>5450</v>
      </c>
      <c r="C360" s="459" t="s">
        <v>1142</v>
      </c>
      <c r="D360" s="460">
        <v>0</v>
      </c>
      <c r="E360" s="461">
        <v>11502.4</v>
      </c>
      <c r="F360" s="461">
        <v>11502.4</v>
      </c>
      <c r="G360" s="460">
        <v>0</v>
      </c>
    </row>
    <row r="361" spans="2:7" ht="15" customHeight="1" x14ac:dyDescent="0.3">
      <c r="B361" s="455" t="s">
        <v>5451</v>
      </c>
      <c r="C361" s="459" t="s">
        <v>1148</v>
      </c>
      <c r="D361" s="461">
        <v>-6860</v>
      </c>
      <c r="E361" s="460">
        <v>0</v>
      </c>
      <c r="F361" s="460">
        <v>0</v>
      </c>
      <c r="G361" s="461">
        <v>-6860</v>
      </c>
    </row>
    <row r="362" spans="2:7" ht="15" customHeight="1" x14ac:dyDescent="0.3">
      <c r="B362" s="455" t="s">
        <v>5452</v>
      </c>
      <c r="C362" s="459" t="s">
        <v>1151</v>
      </c>
      <c r="D362" s="460">
        <v>0</v>
      </c>
      <c r="E362" s="460">
        <v>0</v>
      </c>
      <c r="F362" s="461">
        <v>8126.96</v>
      </c>
      <c r="G362" s="461">
        <v>-8126.96</v>
      </c>
    </row>
    <row r="363" spans="2:7" ht="15" customHeight="1" x14ac:dyDescent="0.3">
      <c r="B363" s="455" t="s">
        <v>5453</v>
      </c>
      <c r="C363" s="459" t="s">
        <v>1154</v>
      </c>
      <c r="D363" s="461">
        <v>-6400.35</v>
      </c>
      <c r="E363" s="460">
        <v>0</v>
      </c>
      <c r="F363" s="460">
        <v>0</v>
      </c>
      <c r="G363" s="461">
        <v>-6400.35</v>
      </c>
    </row>
    <row r="364" spans="2:7" ht="15" customHeight="1" x14ac:dyDescent="0.3">
      <c r="B364" s="455" t="s">
        <v>5454</v>
      </c>
      <c r="C364" s="459" t="s">
        <v>1157</v>
      </c>
      <c r="D364" s="461">
        <v>-5880</v>
      </c>
      <c r="E364" s="460">
        <v>0</v>
      </c>
      <c r="F364" s="460">
        <v>0</v>
      </c>
      <c r="G364" s="461">
        <v>-5880</v>
      </c>
    </row>
    <row r="365" spans="2:7" ht="15" customHeight="1" x14ac:dyDescent="0.3">
      <c r="B365" s="455" t="s">
        <v>5455</v>
      </c>
      <c r="C365" s="459" t="s">
        <v>1163</v>
      </c>
      <c r="D365" s="461">
        <v>-16000</v>
      </c>
      <c r="E365" s="460">
        <v>0</v>
      </c>
      <c r="F365" s="460">
        <v>0</v>
      </c>
      <c r="G365" s="461">
        <v>-16000</v>
      </c>
    </row>
    <row r="366" spans="2:7" ht="15" customHeight="1" x14ac:dyDescent="0.3">
      <c r="B366" s="455" t="s">
        <v>5456</v>
      </c>
      <c r="C366" s="459" t="s">
        <v>1166</v>
      </c>
      <c r="D366" s="461">
        <v>-20834.7</v>
      </c>
      <c r="E366" s="460">
        <v>0</v>
      </c>
      <c r="F366" s="460">
        <v>0</v>
      </c>
      <c r="G366" s="461">
        <v>-20834.7</v>
      </c>
    </row>
    <row r="367" spans="2:7" ht="15" customHeight="1" x14ac:dyDescent="0.3">
      <c r="B367" s="455" t="s">
        <v>5457</v>
      </c>
      <c r="C367" s="459" t="s">
        <v>1169</v>
      </c>
      <c r="D367" s="461">
        <v>-8108.32</v>
      </c>
      <c r="E367" s="460">
        <v>0</v>
      </c>
      <c r="F367" s="460">
        <v>0</v>
      </c>
      <c r="G367" s="461">
        <v>-8108.32</v>
      </c>
    </row>
    <row r="368" spans="2:7" ht="15" customHeight="1" x14ac:dyDescent="0.3">
      <c r="B368" s="455" t="s">
        <v>5458</v>
      </c>
      <c r="C368" s="459" t="s">
        <v>1176</v>
      </c>
      <c r="D368" s="461">
        <v>-4000</v>
      </c>
      <c r="E368" s="460">
        <v>0</v>
      </c>
      <c r="F368" s="460">
        <v>0</v>
      </c>
      <c r="G368" s="461">
        <v>-4000</v>
      </c>
    </row>
    <row r="369" spans="2:7" ht="15" customHeight="1" x14ac:dyDescent="0.3">
      <c r="B369" s="455" t="s">
        <v>5459</v>
      </c>
      <c r="C369" s="459" t="s">
        <v>5460</v>
      </c>
      <c r="D369" s="460">
        <v>0</v>
      </c>
      <c r="E369" s="461">
        <v>9810</v>
      </c>
      <c r="F369" s="461">
        <v>9810</v>
      </c>
      <c r="G369" s="460">
        <v>0</v>
      </c>
    </row>
    <row r="370" spans="2:7" ht="15" customHeight="1" x14ac:dyDescent="0.3">
      <c r="B370" s="455" t="s">
        <v>5461</v>
      </c>
      <c r="C370" s="459" t="s">
        <v>1182</v>
      </c>
      <c r="D370" s="461">
        <v>-11074.28</v>
      </c>
      <c r="E370" s="460">
        <v>0</v>
      </c>
      <c r="F370" s="460">
        <v>0</v>
      </c>
      <c r="G370" s="461">
        <v>-11074.28</v>
      </c>
    </row>
    <row r="371" spans="2:7" ht="15" customHeight="1" x14ac:dyDescent="0.3">
      <c r="B371" s="455" t="s">
        <v>5462</v>
      </c>
      <c r="C371" s="459" t="s">
        <v>1196</v>
      </c>
      <c r="D371" s="461">
        <v>-1668.6</v>
      </c>
      <c r="E371" s="460">
        <v>0</v>
      </c>
      <c r="F371" s="460">
        <v>0</v>
      </c>
      <c r="G371" s="461">
        <v>-1668.6</v>
      </c>
    </row>
    <row r="372" spans="2:7" ht="15" customHeight="1" x14ac:dyDescent="0.3">
      <c r="B372" s="455" t="s">
        <v>5463</v>
      </c>
      <c r="C372" s="459" t="s">
        <v>1206</v>
      </c>
      <c r="D372" s="460">
        <v>0</v>
      </c>
      <c r="E372" s="461">
        <v>30015</v>
      </c>
      <c r="F372" s="461">
        <v>30015</v>
      </c>
      <c r="G372" s="460">
        <v>0</v>
      </c>
    </row>
    <row r="373" spans="2:7" ht="15" customHeight="1" x14ac:dyDescent="0.3">
      <c r="B373" s="455" t="s">
        <v>5464</v>
      </c>
      <c r="C373" s="459" t="s">
        <v>1212</v>
      </c>
      <c r="D373" s="460">
        <v>0</v>
      </c>
      <c r="E373" s="461">
        <v>24276.99</v>
      </c>
      <c r="F373" s="461">
        <v>25869.279999999999</v>
      </c>
      <c r="G373" s="461">
        <v>-1592.29</v>
      </c>
    </row>
    <row r="374" spans="2:7" ht="15" customHeight="1" x14ac:dyDescent="0.3">
      <c r="B374" s="455" t="s">
        <v>5465</v>
      </c>
      <c r="C374" s="459" t="s">
        <v>1219</v>
      </c>
      <c r="D374" s="460">
        <v>-32.07</v>
      </c>
      <c r="E374" s="460">
        <v>89.39</v>
      </c>
      <c r="F374" s="460">
        <v>57.32</v>
      </c>
      <c r="G374" s="460">
        <v>0</v>
      </c>
    </row>
    <row r="375" spans="2:7" ht="15" customHeight="1" x14ac:dyDescent="0.3">
      <c r="B375" s="455" t="s">
        <v>5466</v>
      </c>
      <c r="C375" s="459" t="s">
        <v>1226</v>
      </c>
      <c r="D375" s="460">
        <v>0</v>
      </c>
      <c r="E375" s="461">
        <v>44161.17</v>
      </c>
      <c r="F375" s="461">
        <v>54264.39</v>
      </c>
      <c r="G375" s="461">
        <v>-10103.219999999999</v>
      </c>
    </row>
    <row r="376" spans="2:7" ht="15" customHeight="1" x14ac:dyDescent="0.3">
      <c r="B376" s="455" t="s">
        <v>5467</v>
      </c>
      <c r="C376" s="459" t="s">
        <v>5468</v>
      </c>
      <c r="D376" s="460">
        <v>0</v>
      </c>
      <c r="E376" s="461">
        <v>5218.6000000000004</v>
      </c>
      <c r="F376" s="461">
        <v>5218.6000000000004</v>
      </c>
      <c r="G376" s="460">
        <v>0</v>
      </c>
    </row>
    <row r="377" spans="2:7" ht="15" customHeight="1" x14ac:dyDescent="0.3">
      <c r="B377" s="455" t="s">
        <v>5469</v>
      </c>
      <c r="C377" s="459" t="s">
        <v>5470</v>
      </c>
      <c r="D377" s="460">
        <v>0</v>
      </c>
      <c r="E377" s="460">
        <v>350</v>
      </c>
      <c r="F377" s="460">
        <v>350</v>
      </c>
      <c r="G377" s="460">
        <v>0</v>
      </c>
    </row>
    <row r="378" spans="2:7" ht="15" customHeight="1" x14ac:dyDescent="0.3">
      <c r="B378" s="455" t="s">
        <v>5471</v>
      </c>
      <c r="C378" s="459" t="s">
        <v>5472</v>
      </c>
      <c r="D378" s="460">
        <v>0</v>
      </c>
      <c r="E378" s="461">
        <v>4434.3</v>
      </c>
      <c r="F378" s="461">
        <v>4434.3</v>
      </c>
      <c r="G378" s="460">
        <v>0</v>
      </c>
    </row>
    <row r="379" spans="2:7" ht="15" customHeight="1" x14ac:dyDescent="0.3">
      <c r="B379" s="455" t="s">
        <v>5473</v>
      </c>
      <c r="C379" s="459" t="s">
        <v>3493</v>
      </c>
      <c r="D379" s="460">
        <v>0</v>
      </c>
      <c r="E379" s="461">
        <v>622759.05000000005</v>
      </c>
      <c r="F379" s="461">
        <v>622759.05000000005</v>
      </c>
      <c r="G379" s="460">
        <v>0</v>
      </c>
    </row>
    <row r="380" spans="2:7" ht="15" customHeight="1" x14ac:dyDescent="0.3">
      <c r="B380" s="455" t="s">
        <v>5474</v>
      </c>
      <c r="C380" s="459" t="s">
        <v>3494</v>
      </c>
      <c r="D380" s="460">
        <v>0</v>
      </c>
      <c r="E380" s="461">
        <v>122298.41</v>
      </c>
      <c r="F380" s="461">
        <v>122298.41</v>
      </c>
      <c r="G380" s="460">
        <v>0</v>
      </c>
    </row>
    <row r="381" spans="2:7" ht="15" customHeight="1" x14ac:dyDescent="0.3">
      <c r="B381" s="455" t="s">
        <v>5475</v>
      </c>
      <c r="C381" s="459" t="s">
        <v>3496</v>
      </c>
      <c r="D381" s="460">
        <v>0</v>
      </c>
      <c r="E381" s="461">
        <v>461694.4</v>
      </c>
      <c r="F381" s="461">
        <v>461694.4</v>
      </c>
      <c r="G381" s="460">
        <v>0</v>
      </c>
    </row>
    <row r="382" spans="2:7" ht="15" customHeight="1" x14ac:dyDescent="0.3">
      <c r="B382" s="455" t="s">
        <v>5476</v>
      </c>
      <c r="C382" s="459" t="s">
        <v>5477</v>
      </c>
      <c r="D382" s="460">
        <v>0</v>
      </c>
      <c r="E382" s="461">
        <v>886806.45</v>
      </c>
      <c r="F382" s="461">
        <v>886806.45</v>
      </c>
      <c r="G382" s="460">
        <v>0</v>
      </c>
    </row>
    <row r="383" spans="2:7" ht="15" customHeight="1" x14ac:dyDescent="0.3">
      <c r="B383" s="455" t="s">
        <v>5478</v>
      </c>
      <c r="C383" s="459" t="s">
        <v>3500</v>
      </c>
      <c r="D383" s="460">
        <v>0</v>
      </c>
      <c r="E383" s="461">
        <v>5218.6000000000004</v>
      </c>
      <c r="F383" s="461">
        <v>5218.6000000000004</v>
      </c>
      <c r="G383" s="460">
        <v>0</v>
      </c>
    </row>
    <row r="384" spans="2:7" ht="15" customHeight="1" x14ac:dyDescent="0.3">
      <c r="B384" s="455" t="s">
        <v>5479</v>
      </c>
      <c r="C384" s="459" t="s">
        <v>3502</v>
      </c>
      <c r="D384" s="460">
        <v>0</v>
      </c>
      <c r="E384" s="461">
        <v>166616.85999999999</v>
      </c>
      <c r="F384" s="461">
        <v>166616.85999999999</v>
      </c>
      <c r="G384" s="460">
        <v>0</v>
      </c>
    </row>
    <row r="385" spans="2:7" ht="15" customHeight="1" x14ac:dyDescent="0.3">
      <c r="B385" s="455" t="s">
        <v>5480</v>
      </c>
      <c r="C385" s="459" t="s">
        <v>3504</v>
      </c>
      <c r="D385" s="460">
        <v>0</v>
      </c>
      <c r="E385" s="461">
        <v>40177.51</v>
      </c>
      <c r="F385" s="461">
        <v>40177.51</v>
      </c>
      <c r="G385" s="460">
        <v>0</v>
      </c>
    </row>
    <row r="386" spans="2:7" ht="15" customHeight="1" x14ac:dyDescent="0.3">
      <c r="B386" s="455" t="s">
        <v>5481</v>
      </c>
      <c r="C386" s="459" t="s">
        <v>3505</v>
      </c>
      <c r="D386" s="460">
        <v>0</v>
      </c>
      <c r="E386" s="461">
        <v>13771.75</v>
      </c>
      <c r="F386" s="461">
        <v>13771.75</v>
      </c>
      <c r="G386" s="460">
        <v>0</v>
      </c>
    </row>
    <row r="387" spans="2:7" ht="15" customHeight="1" x14ac:dyDescent="0.3">
      <c r="B387" s="455" t="s">
        <v>5482</v>
      </c>
      <c r="C387" s="459" t="s">
        <v>3507</v>
      </c>
      <c r="D387" s="460">
        <v>0</v>
      </c>
      <c r="E387" s="461">
        <v>2910.6</v>
      </c>
      <c r="F387" s="461">
        <v>2910.6</v>
      </c>
      <c r="G387" s="460">
        <v>0</v>
      </c>
    </row>
    <row r="388" spans="2:7" ht="15" customHeight="1" x14ac:dyDescent="0.3">
      <c r="B388" s="455" t="s">
        <v>5483</v>
      </c>
      <c r="C388" s="459" t="s">
        <v>3509</v>
      </c>
      <c r="D388" s="460">
        <v>0</v>
      </c>
      <c r="E388" s="461">
        <v>143683.63</v>
      </c>
      <c r="F388" s="461">
        <v>155704.53</v>
      </c>
      <c r="G388" s="461">
        <v>-12020.9</v>
      </c>
    </row>
    <row r="389" spans="2:7" ht="15" customHeight="1" x14ac:dyDescent="0.3">
      <c r="B389" s="455" t="s">
        <v>5484</v>
      </c>
      <c r="C389" s="459" t="s">
        <v>5485</v>
      </c>
      <c r="D389" s="460">
        <v>0</v>
      </c>
      <c r="E389" s="461">
        <v>18863.52</v>
      </c>
      <c r="F389" s="461">
        <v>18863.52</v>
      </c>
      <c r="G389" s="460">
        <v>0</v>
      </c>
    </row>
    <row r="390" spans="2:7" ht="15" customHeight="1" x14ac:dyDescent="0.3">
      <c r="B390" s="455" t="s">
        <v>5486</v>
      </c>
      <c r="C390" s="459" t="s">
        <v>3511</v>
      </c>
      <c r="D390" s="460">
        <v>0</v>
      </c>
      <c r="E390" s="461">
        <v>2971.4</v>
      </c>
      <c r="F390" s="461">
        <v>2971.4</v>
      </c>
      <c r="G390" s="460">
        <v>0</v>
      </c>
    </row>
    <row r="391" spans="2:7" ht="15" customHeight="1" x14ac:dyDescent="0.3">
      <c r="B391" s="455" t="s">
        <v>5487</v>
      </c>
      <c r="C391" s="459" t="s">
        <v>5488</v>
      </c>
      <c r="D391" s="460">
        <v>0</v>
      </c>
      <c r="E391" s="461">
        <v>2993.52</v>
      </c>
      <c r="F391" s="461">
        <v>2993.52</v>
      </c>
      <c r="G391" s="460">
        <v>0</v>
      </c>
    </row>
    <row r="392" spans="2:7" ht="15" customHeight="1" x14ac:dyDescent="0.3">
      <c r="B392" s="455" t="s">
        <v>5489</v>
      </c>
      <c r="C392" s="459" t="s">
        <v>5490</v>
      </c>
      <c r="D392" s="460">
        <v>0</v>
      </c>
      <c r="E392" s="461">
        <v>978305.55</v>
      </c>
      <c r="F392" s="461">
        <v>978305.55</v>
      </c>
      <c r="G392" s="460">
        <v>0</v>
      </c>
    </row>
    <row r="393" spans="2:7" ht="15" customHeight="1" x14ac:dyDescent="0.3">
      <c r="B393" s="455" t="s">
        <v>5491</v>
      </c>
      <c r="C393" s="459" t="s">
        <v>3513</v>
      </c>
      <c r="D393" s="461">
        <v>-1785.98</v>
      </c>
      <c r="E393" s="461">
        <v>20947.3</v>
      </c>
      <c r="F393" s="461">
        <v>25820.78</v>
      </c>
      <c r="G393" s="461">
        <v>-6659.46</v>
      </c>
    </row>
    <row r="394" spans="2:7" ht="15" customHeight="1" x14ac:dyDescent="0.3">
      <c r="B394" s="455" t="s">
        <v>5492</v>
      </c>
      <c r="C394" s="459" t="s">
        <v>5493</v>
      </c>
      <c r="D394" s="460">
        <v>0</v>
      </c>
      <c r="E394" s="461">
        <v>31528.6</v>
      </c>
      <c r="F394" s="461">
        <v>31528.6</v>
      </c>
      <c r="G394" s="460">
        <v>0</v>
      </c>
    </row>
    <row r="395" spans="2:7" ht="15" customHeight="1" x14ac:dyDescent="0.3">
      <c r="B395" s="455" t="s">
        <v>5494</v>
      </c>
      <c r="C395" s="459" t="s">
        <v>3490</v>
      </c>
      <c r="D395" s="460">
        <v>0</v>
      </c>
      <c r="E395" s="461">
        <v>2082508.06</v>
      </c>
      <c r="F395" s="461">
        <v>2082508.06</v>
      </c>
      <c r="G395" s="460">
        <v>0</v>
      </c>
    </row>
    <row r="396" spans="2:7" ht="15" customHeight="1" x14ac:dyDescent="0.3">
      <c r="B396" s="455" t="s">
        <v>5495</v>
      </c>
      <c r="C396" s="459" t="s">
        <v>3515</v>
      </c>
      <c r="D396" s="460">
        <v>0</v>
      </c>
      <c r="E396" s="461">
        <v>32126.43</v>
      </c>
      <c r="F396" s="461">
        <v>32126.43</v>
      </c>
      <c r="G396" s="460">
        <v>0</v>
      </c>
    </row>
    <row r="397" spans="2:7" ht="15" customHeight="1" x14ac:dyDescent="0.3">
      <c r="B397" s="455" t="s">
        <v>5496</v>
      </c>
      <c r="C397" s="459" t="s">
        <v>3517</v>
      </c>
      <c r="D397" s="460">
        <v>0</v>
      </c>
      <c r="E397" s="461">
        <v>2790459.4</v>
      </c>
      <c r="F397" s="461">
        <v>2790459.4</v>
      </c>
      <c r="G397" s="460">
        <v>0</v>
      </c>
    </row>
    <row r="398" spans="2:7" ht="15" customHeight="1" x14ac:dyDescent="0.3">
      <c r="B398" s="455" t="s">
        <v>5497</v>
      </c>
      <c r="C398" s="459" t="s">
        <v>3519</v>
      </c>
      <c r="D398" s="460">
        <v>0</v>
      </c>
      <c r="E398" s="461">
        <v>62145.8</v>
      </c>
      <c r="F398" s="461">
        <v>62145.8</v>
      </c>
      <c r="G398" s="460">
        <v>0</v>
      </c>
    </row>
    <row r="399" spans="2:7" ht="15" customHeight="1" x14ac:dyDescent="0.3">
      <c r="B399" s="455" t="s">
        <v>5498</v>
      </c>
      <c r="C399" s="459" t="s">
        <v>3522</v>
      </c>
      <c r="D399" s="460">
        <v>0</v>
      </c>
      <c r="E399" s="461">
        <v>21120</v>
      </c>
      <c r="F399" s="461">
        <v>21120</v>
      </c>
      <c r="G399" s="460">
        <v>0</v>
      </c>
    </row>
    <row r="400" spans="2:7" ht="15" customHeight="1" x14ac:dyDescent="0.3">
      <c r="B400" s="455" t="s">
        <v>5499</v>
      </c>
      <c r="C400" s="459" t="s">
        <v>5500</v>
      </c>
      <c r="D400" s="460">
        <v>0</v>
      </c>
      <c r="E400" s="461">
        <v>52416</v>
      </c>
      <c r="F400" s="461">
        <v>52416</v>
      </c>
      <c r="G400" s="460">
        <v>0</v>
      </c>
    </row>
    <row r="401" spans="2:7" ht="15" customHeight="1" x14ac:dyDescent="0.3">
      <c r="B401" s="455" t="s">
        <v>5501</v>
      </c>
      <c r="C401" s="459" t="s">
        <v>5502</v>
      </c>
      <c r="D401" s="460">
        <v>0</v>
      </c>
      <c r="E401" s="461">
        <v>24500</v>
      </c>
      <c r="F401" s="461">
        <v>24500</v>
      </c>
      <c r="G401" s="460">
        <v>0</v>
      </c>
    </row>
    <row r="402" spans="2:7" ht="15" customHeight="1" x14ac:dyDescent="0.3">
      <c r="B402" s="455" t="s">
        <v>5503</v>
      </c>
      <c r="C402" s="459" t="s">
        <v>5504</v>
      </c>
      <c r="D402" s="460">
        <v>0</v>
      </c>
      <c r="E402" s="461">
        <v>6718.07</v>
      </c>
      <c r="F402" s="461">
        <v>6718.07</v>
      </c>
      <c r="G402" s="460">
        <v>0</v>
      </c>
    </row>
    <row r="403" spans="2:7" ht="15" customHeight="1" x14ac:dyDescent="0.3">
      <c r="B403" s="455" t="s">
        <v>5505</v>
      </c>
      <c r="C403" s="459" t="s">
        <v>5506</v>
      </c>
      <c r="D403" s="460">
        <v>0</v>
      </c>
      <c r="E403" s="461">
        <v>1964</v>
      </c>
      <c r="F403" s="461">
        <v>1964</v>
      </c>
      <c r="G403" s="460">
        <v>0</v>
      </c>
    </row>
    <row r="404" spans="2:7" ht="15" customHeight="1" x14ac:dyDescent="0.3">
      <c r="B404" s="455" t="s">
        <v>5507</v>
      </c>
      <c r="C404" s="459" t="s">
        <v>5508</v>
      </c>
      <c r="D404" s="460">
        <v>0</v>
      </c>
      <c r="E404" s="461">
        <v>6255.75</v>
      </c>
      <c r="F404" s="461">
        <v>6255.75</v>
      </c>
      <c r="G404" s="460">
        <v>0</v>
      </c>
    </row>
    <row r="405" spans="2:7" ht="15" customHeight="1" x14ac:dyDescent="0.3">
      <c r="B405" s="455" t="s">
        <v>5509</v>
      </c>
      <c r="C405" s="459" t="s">
        <v>5510</v>
      </c>
      <c r="D405" s="460">
        <v>0</v>
      </c>
      <c r="E405" s="461">
        <v>73377.36</v>
      </c>
      <c r="F405" s="461">
        <v>73377.36</v>
      </c>
      <c r="G405" s="460">
        <v>0</v>
      </c>
    </row>
    <row r="406" spans="2:7" ht="15" customHeight="1" x14ac:dyDescent="0.3">
      <c r="B406" s="455" t="s">
        <v>5511</v>
      </c>
      <c r="C406" s="459" t="s">
        <v>5512</v>
      </c>
      <c r="D406" s="460">
        <v>0</v>
      </c>
      <c r="E406" s="460">
        <v>350</v>
      </c>
      <c r="F406" s="460">
        <v>350</v>
      </c>
      <c r="G406" s="460">
        <v>0</v>
      </c>
    </row>
    <row r="407" spans="2:7" ht="15" customHeight="1" x14ac:dyDescent="0.3">
      <c r="B407" s="455" t="s">
        <v>5513</v>
      </c>
      <c r="C407" s="459" t="s">
        <v>5514</v>
      </c>
      <c r="D407" s="460">
        <v>0</v>
      </c>
      <c r="E407" s="461">
        <v>15100</v>
      </c>
      <c r="F407" s="461">
        <v>15100</v>
      </c>
      <c r="G407" s="460">
        <v>0</v>
      </c>
    </row>
    <row r="408" spans="2:7" ht="15" customHeight="1" x14ac:dyDescent="0.3">
      <c r="B408" s="455" t="s">
        <v>5515</v>
      </c>
      <c r="C408" s="459" t="s">
        <v>1200</v>
      </c>
      <c r="D408" s="461">
        <v>-13500</v>
      </c>
      <c r="E408" s="460">
        <v>0</v>
      </c>
      <c r="F408" s="460">
        <v>0</v>
      </c>
      <c r="G408" s="461">
        <v>-13500</v>
      </c>
    </row>
    <row r="409" spans="2:7" ht="15" customHeight="1" x14ac:dyDescent="0.3">
      <c r="B409" s="455" t="s">
        <v>5516</v>
      </c>
      <c r="C409" s="459" t="s">
        <v>5517</v>
      </c>
      <c r="D409" s="460">
        <v>0</v>
      </c>
      <c r="E409" s="460">
        <v>979.9</v>
      </c>
      <c r="F409" s="460">
        <v>979.9</v>
      </c>
      <c r="G409" s="460">
        <v>0</v>
      </c>
    </row>
    <row r="410" spans="2:7" ht="15" customHeight="1" x14ac:dyDescent="0.3">
      <c r="B410" s="455" t="s">
        <v>5518</v>
      </c>
      <c r="C410" s="459" t="s">
        <v>3499</v>
      </c>
      <c r="D410" s="460">
        <v>0</v>
      </c>
      <c r="E410" s="461">
        <v>10196.799999999999</v>
      </c>
      <c r="F410" s="461">
        <v>10196.799999999999</v>
      </c>
      <c r="G410" s="460">
        <v>0</v>
      </c>
    </row>
    <row r="411" spans="2:7" ht="15" customHeight="1" x14ac:dyDescent="0.3">
      <c r="B411" s="455" t="s">
        <v>5519</v>
      </c>
      <c r="C411" s="459" t="s">
        <v>3514</v>
      </c>
      <c r="D411" s="460">
        <v>0</v>
      </c>
      <c r="E411" s="460">
        <v>444.63</v>
      </c>
      <c r="F411" s="460">
        <v>444.63</v>
      </c>
      <c r="G411" s="460">
        <v>0</v>
      </c>
    </row>
    <row r="412" spans="2:7" ht="15" customHeight="1" x14ac:dyDescent="0.3">
      <c r="B412" s="455" t="s">
        <v>5520</v>
      </c>
      <c r="C412" s="459" t="s">
        <v>5521</v>
      </c>
      <c r="D412" s="460">
        <v>0</v>
      </c>
      <c r="E412" s="461">
        <v>1994</v>
      </c>
      <c r="F412" s="461">
        <v>1994</v>
      </c>
      <c r="G412" s="460">
        <v>0</v>
      </c>
    </row>
    <row r="413" spans="2:7" ht="15" customHeight="1" x14ac:dyDescent="0.3">
      <c r="B413" s="455" t="s">
        <v>5522</v>
      </c>
      <c r="C413" s="459" t="s">
        <v>5523</v>
      </c>
      <c r="D413" s="460">
        <v>0</v>
      </c>
      <c r="E413" s="461">
        <v>50548.14</v>
      </c>
      <c r="F413" s="461">
        <v>50548.14</v>
      </c>
      <c r="G413" s="460">
        <v>0</v>
      </c>
    </row>
    <row r="414" spans="2:7" ht="15" customHeight="1" x14ac:dyDescent="0.3">
      <c r="B414" s="455" t="s">
        <v>5524</v>
      </c>
      <c r="C414" s="459" t="s">
        <v>5525</v>
      </c>
      <c r="D414" s="460">
        <v>0</v>
      </c>
      <c r="E414" s="461">
        <v>8427.5</v>
      </c>
      <c r="F414" s="461">
        <v>8427.5</v>
      </c>
      <c r="G414" s="460">
        <v>0</v>
      </c>
    </row>
    <row r="415" spans="2:7" ht="15" customHeight="1" x14ac:dyDescent="0.3">
      <c r="B415" s="455" t="s">
        <v>5526</v>
      </c>
      <c r="C415" s="459" t="s">
        <v>5527</v>
      </c>
      <c r="D415" s="460">
        <v>0</v>
      </c>
      <c r="E415" s="461">
        <v>3407.7</v>
      </c>
      <c r="F415" s="461">
        <v>3407.7</v>
      </c>
      <c r="G415" s="460">
        <v>0</v>
      </c>
    </row>
    <row r="416" spans="2:7" ht="15" customHeight="1" x14ac:dyDescent="0.3">
      <c r="B416" s="455" t="s">
        <v>5528</v>
      </c>
      <c r="C416" s="459" t="s">
        <v>5529</v>
      </c>
      <c r="D416" s="460">
        <v>0</v>
      </c>
      <c r="E416" s="461">
        <v>3084.47</v>
      </c>
      <c r="F416" s="461">
        <v>3084.47</v>
      </c>
      <c r="G416" s="460">
        <v>0</v>
      </c>
    </row>
    <row r="417" spans="2:7" ht="15" customHeight="1" x14ac:dyDescent="0.3">
      <c r="B417" s="455" t="s">
        <v>5530</v>
      </c>
      <c r="C417" s="459" t="s">
        <v>5531</v>
      </c>
      <c r="D417" s="460">
        <v>0</v>
      </c>
      <c r="E417" s="461">
        <v>12628</v>
      </c>
      <c r="F417" s="461">
        <v>12628</v>
      </c>
      <c r="G417" s="460">
        <v>0</v>
      </c>
    </row>
    <row r="418" spans="2:7" ht="15" customHeight="1" x14ac:dyDescent="0.3">
      <c r="B418" s="455" t="s">
        <v>5532</v>
      </c>
      <c r="C418" s="459" t="s">
        <v>5533</v>
      </c>
      <c r="D418" s="460">
        <v>0</v>
      </c>
      <c r="E418" s="461">
        <v>2400</v>
      </c>
      <c r="F418" s="461">
        <v>2400</v>
      </c>
      <c r="G418" s="460">
        <v>0</v>
      </c>
    </row>
    <row r="419" spans="2:7" ht="15" customHeight="1" x14ac:dyDescent="0.3">
      <c r="B419" s="455" t="s">
        <v>5534</v>
      </c>
      <c r="C419" s="459" t="s">
        <v>5535</v>
      </c>
      <c r="D419" s="460">
        <v>0</v>
      </c>
      <c r="E419" s="460">
        <v>830</v>
      </c>
      <c r="F419" s="460">
        <v>830</v>
      </c>
      <c r="G419" s="460">
        <v>0</v>
      </c>
    </row>
    <row r="420" spans="2:7" ht="15" customHeight="1" x14ac:dyDescent="0.3">
      <c r="B420" s="455" t="s">
        <v>5536</v>
      </c>
      <c r="C420" s="459" t="s">
        <v>5537</v>
      </c>
      <c r="D420" s="460">
        <v>0</v>
      </c>
      <c r="E420" s="461">
        <v>15219</v>
      </c>
      <c r="F420" s="461">
        <v>27189</v>
      </c>
      <c r="G420" s="461">
        <v>-11970</v>
      </c>
    </row>
    <row r="421" spans="2:7" ht="15" customHeight="1" x14ac:dyDescent="0.3">
      <c r="B421" s="455" t="s">
        <v>5538</v>
      </c>
      <c r="C421" s="459" t="s">
        <v>5539</v>
      </c>
      <c r="D421" s="460">
        <v>0</v>
      </c>
      <c r="E421" s="461">
        <v>12557.86</v>
      </c>
      <c r="F421" s="461">
        <v>20515.12</v>
      </c>
      <c r="G421" s="461">
        <v>-7957.26</v>
      </c>
    </row>
    <row r="422" spans="2:7" ht="15" customHeight="1" x14ac:dyDescent="0.3">
      <c r="B422" s="455" t="s">
        <v>5540</v>
      </c>
      <c r="C422" s="459" t="s">
        <v>5541</v>
      </c>
      <c r="D422" s="460">
        <v>0</v>
      </c>
      <c r="E422" s="461">
        <v>12175.47</v>
      </c>
      <c r="F422" s="461">
        <v>12175.47</v>
      </c>
      <c r="G422" s="460">
        <v>0</v>
      </c>
    </row>
    <row r="423" spans="2:7" ht="15" customHeight="1" x14ac:dyDescent="0.3">
      <c r="B423" s="455" t="s">
        <v>5542</v>
      </c>
      <c r="C423" s="459" t="s">
        <v>5543</v>
      </c>
      <c r="D423" s="460">
        <v>0</v>
      </c>
      <c r="E423" s="461">
        <v>91130.7</v>
      </c>
      <c r="F423" s="461">
        <v>91130.7</v>
      </c>
      <c r="G423" s="460">
        <v>0</v>
      </c>
    </row>
    <row r="424" spans="2:7" ht="15" customHeight="1" x14ac:dyDescent="0.3">
      <c r="B424" s="455" t="s">
        <v>5544</v>
      </c>
      <c r="C424" s="459" t="s">
        <v>5545</v>
      </c>
      <c r="D424" s="460">
        <v>0</v>
      </c>
      <c r="E424" s="461">
        <v>6409.2</v>
      </c>
      <c r="F424" s="461">
        <v>6409.2</v>
      </c>
      <c r="G424" s="460">
        <v>0</v>
      </c>
    </row>
    <row r="425" spans="2:7" ht="15" customHeight="1" x14ac:dyDescent="0.3">
      <c r="B425" s="455" t="s">
        <v>5546</v>
      </c>
      <c r="C425" s="459" t="s">
        <v>5547</v>
      </c>
      <c r="D425" s="460">
        <v>0</v>
      </c>
      <c r="E425" s="461">
        <v>9540</v>
      </c>
      <c r="F425" s="461">
        <v>9540</v>
      </c>
      <c r="G425" s="460">
        <v>0</v>
      </c>
    </row>
    <row r="426" spans="2:7" ht="15" customHeight="1" x14ac:dyDescent="0.3">
      <c r="B426" s="455" t="s">
        <v>5548</v>
      </c>
      <c r="C426" s="459" t="s">
        <v>5549</v>
      </c>
      <c r="D426" s="460">
        <v>0</v>
      </c>
      <c r="E426" s="461">
        <v>19000</v>
      </c>
      <c r="F426" s="461">
        <v>19000</v>
      </c>
      <c r="G426" s="460">
        <v>0</v>
      </c>
    </row>
    <row r="427" spans="2:7" ht="15" customHeight="1" x14ac:dyDescent="0.3">
      <c r="B427" s="455" t="s">
        <v>5550</v>
      </c>
      <c r="C427" s="459" t="s">
        <v>5551</v>
      </c>
      <c r="D427" s="460">
        <v>0</v>
      </c>
      <c r="E427" s="461">
        <v>7960</v>
      </c>
      <c r="F427" s="461">
        <v>7960</v>
      </c>
      <c r="G427" s="460">
        <v>0</v>
      </c>
    </row>
    <row r="428" spans="2:7" ht="15" customHeight="1" x14ac:dyDescent="0.3">
      <c r="B428" s="455" t="s">
        <v>5552</v>
      </c>
      <c r="C428" s="459" t="s">
        <v>5553</v>
      </c>
      <c r="D428" s="460">
        <v>0</v>
      </c>
      <c r="E428" s="461">
        <v>75069.34</v>
      </c>
      <c r="F428" s="461">
        <v>75069.34</v>
      </c>
      <c r="G428" s="460">
        <v>0</v>
      </c>
    </row>
    <row r="429" spans="2:7" ht="15" customHeight="1" x14ac:dyDescent="0.3">
      <c r="B429" s="455" t="s">
        <v>5554</v>
      </c>
      <c r="C429" s="456" t="s">
        <v>5555</v>
      </c>
      <c r="D429" s="462">
        <v>0</v>
      </c>
      <c r="E429" s="457">
        <v>139183.22</v>
      </c>
      <c r="F429" s="457">
        <v>139183.22</v>
      </c>
      <c r="G429" s="462">
        <v>0</v>
      </c>
    </row>
    <row r="430" spans="2:7" ht="15" customHeight="1" x14ac:dyDescent="0.3">
      <c r="B430" s="455" t="s">
        <v>5556</v>
      </c>
      <c r="C430" s="459" t="s">
        <v>5557</v>
      </c>
      <c r="D430" s="460">
        <v>0</v>
      </c>
      <c r="E430" s="461">
        <v>139183.22</v>
      </c>
      <c r="F430" s="461">
        <v>139183.22</v>
      </c>
      <c r="G430" s="460">
        <v>0</v>
      </c>
    </row>
    <row r="431" spans="2:7" ht="15" customHeight="1" x14ac:dyDescent="0.3">
      <c r="B431" s="455" t="s">
        <v>5558</v>
      </c>
      <c r="C431" s="456" t="s">
        <v>1236</v>
      </c>
      <c r="D431" s="457">
        <v>-22971.95</v>
      </c>
      <c r="E431" s="457">
        <v>67620.28</v>
      </c>
      <c r="F431" s="457">
        <v>67620.28</v>
      </c>
      <c r="G431" s="457">
        <v>-22971.95</v>
      </c>
    </row>
    <row r="432" spans="2:7" ht="15" customHeight="1" x14ac:dyDescent="0.3">
      <c r="B432" s="455" t="s">
        <v>5559</v>
      </c>
      <c r="C432" s="459" t="s">
        <v>1240</v>
      </c>
      <c r="D432" s="461">
        <v>-2206.9499999999998</v>
      </c>
      <c r="E432" s="460">
        <v>0</v>
      </c>
      <c r="F432" s="460">
        <v>0</v>
      </c>
      <c r="G432" s="461">
        <v>-2206.9499999999998</v>
      </c>
    </row>
    <row r="433" spans="2:9" ht="15" customHeight="1" x14ac:dyDescent="0.3">
      <c r="B433" s="455" t="s">
        <v>5560</v>
      </c>
      <c r="C433" s="459" t="s">
        <v>1243</v>
      </c>
      <c r="D433" s="461">
        <v>-20765</v>
      </c>
      <c r="E433" s="460">
        <v>0</v>
      </c>
      <c r="F433" s="460">
        <v>0</v>
      </c>
      <c r="G433" s="461">
        <v>-20765</v>
      </c>
    </row>
    <row r="434" spans="2:9" ht="15" customHeight="1" x14ac:dyDescent="0.3">
      <c r="B434" s="455" t="s">
        <v>5561</v>
      </c>
      <c r="C434" s="459" t="s">
        <v>5562</v>
      </c>
      <c r="D434" s="460">
        <v>0</v>
      </c>
      <c r="E434" s="461">
        <v>8860</v>
      </c>
      <c r="F434" s="461">
        <v>8860</v>
      </c>
      <c r="G434" s="460">
        <v>0</v>
      </c>
    </row>
    <row r="435" spans="2:9" ht="15" customHeight="1" x14ac:dyDescent="0.3">
      <c r="B435" s="455" t="s">
        <v>5563</v>
      </c>
      <c r="C435" s="459" t="s">
        <v>3527</v>
      </c>
      <c r="D435" s="460">
        <v>0</v>
      </c>
      <c r="E435" s="461">
        <v>41786.28</v>
      </c>
      <c r="F435" s="461">
        <v>41786.28</v>
      </c>
      <c r="G435" s="460">
        <v>0</v>
      </c>
    </row>
    <row r="436" spans="2:9" ht="15" customHeight="1" x14ac:dyDescent="0.3">
      <c r="B436" s="455" t="s">
        <v>5564</v>
      </c>
      <c r="C436" s="459" t="s">
        <v>3529</v>
      </c>
      <c r="D436" s="460">
        <v>0</v>
      </c>
      <c r="E436" s="461">
        <v>14994</v>
      </c>
      <c r="F436" s="461">
        <v>14994</v>
      </c>
      <c r="G436" s="460">
        <v>0</v>
      </c>
    </row>
    <row r="437" spans="2:9" ht="15" customHeight="1" x14ac:dyDescent="0.3">
      <c r="B437" s="455" t="s">
        <v>5565</v>
      </c>
      <c r="C437" s="459" t="s">
        <v>5566</v>
      </c>
      <c r="D437" s="460">
        <v>0</v>
      </c>
      <c r="E437" s="461">
        <v>1980</v>
      </c>
      <c r="F437" s="461">
        <v>1980</v>
      </c>
      <c r="G437" s="460">
        <v>0</v>
      </c>
    </row>
    <row r="438" spans="2:9" ht="15" customHeight="1" x14ac:dyDescent="0.3">
      <c r="B438" s="455" t="s">
        <v>5567</v>
      </c>
      <c r="C438" s="456" t="s">
        <v>1246</v>
      </c>
      <c r="D438" s="457">
        <v>-4019487.02</v>
      </c>
      <c r="E438" s="457">
        <v>38750692.82</v>
      </c>
      <c r="F438" s="457">
        <v>39142004.850000001</v>
      </c>
      <c r="G438" s="457">
        <v>-4410799.05</v>
      </c>
      <c r="I438" s="302">
        <v>13</v>
      </c>
    </row>
    <row r="439" spans="2:9" ht="15" customHeight="1" x14ac:dyDescent="0.3">
      <c r="B439" s="455" t="s">
        <v>5568</v>
      </c>
      <c r="C439" s="456" t="s">
        <v>1249</v>
      </c>
      <c r="D439" s="457">
        <v>-3961552.71</v>
      </c>
      <c r="E439" s="457">
        <v>38650119.740000002</v>
      </c>
      <c r="F439" s="457">
        <v>39042586.210000001</v>
      </c>
      <c r="G439" s="457">
        <v>-4354019.18</v>
      </c>
    </row>
    <row r="440" spans="2:9" ht="15" customHeight="1" x14ac:dyDescent="0.3">
      <c r="B440" s="455" t="s">
        <v>5569</v>
      </c>
      <c r="C440" s="459" t="s">
        <v>5570</v>
      </c>
      <c r="D440" s="460">
        <v>0</v>
      </c>
      <c r="E440" s="460">
        <v>436.48</v>
      </c>
      <c r="F440" s="460">
        <v>436.48</v>
      </c>
      <c r="G440" s="460">
        <v>0</v>
      </c>
    </row>
    <row r="441" spans="2:9" ht="15" customHeight="1" x14ac:dyDescent="0.3">
      <c r="B441" s="455" t="s">
        <v>5571</v>
      </c>
      <c r="C441" s="459" t="s">
        <v>1255</v>
      </c>
      <c r="D441" s="460">
        <v>0</v>
      </c>
      <c r="E441" s="461">
        <v>1778396.28</v>
      </c>
      <c r="F441" s="461">
        <v>1778396.28</v>
      </c>
      <c r="G441" s="460">
        <v>0</v>
      </c>
    </row>
    <row r="442" spans="2:9" ht="15" customHeight="1" x14ac:dyDescent="0.3">
      <c r="B442" s="455" t="s">
        <v>5572</v>
      </c>
      <c r="C442" s="459" t="s">
        <v>1257</v>
      </c>
      <c r="D442" s="460">
        <v>0</v>
      </c>
      <c r="E442" s="461">
        <v>16097144.279999999</v>
      </c>
      <c r="F442" s="461">
        <v>16097144.279999999</v>
      </c>
      <c r="G442" s="460">
        <v>0</v>
      </c>
    </row>
    <row r="443" spans="2:9" ht="15" customHeight="1" x14ac:dyDescent="0.3">
      <c r="B443" s="455" t="s">
        <v>5573</v>
      </c>
      <c r="C443" s="459" t="s">
        <v>1260</v>
      </c>
      <c r="D443" s="460">
        <v>0</v>
      </c>
      <c r="E443" s="461">
        <v>7609818.5899999999</v>
      </c>
      <c r="F443" s="461">
        <v>7609818.5899999999</v>
      </c>
      <c r="G443" s="460">
        <v>0</v>
      </c>
    </row>
    <row r="444" spans="2:9" ht="15" customHeight="1" x14ac:dyDescent="0.3">
      <c r="B444" s="455" t="s">
        <v>5574</v>
      </c>
      <c r="C444" s="459" t="s">
        <v>1264</v>
      </c>
      <c r="D444" s="460">
        <v>0</v>
      </c>
      <c r="E444" s="461">
        <v>839105.45</v>
      </c>
      <c r="F444" s="461">
        <v>839105.45</v>
      </c>
      <c r="G444" s="460">
        <v>0</v>
      </c>
    </row>
    <row r="445" spans="2:9" ht="15" customHeight="1" x14ac:dyDescent="0.3">
      <c r="B445" s="455" t="s">
        <v>5575</v>
      </c>
      <c r="C445" s="459" t="s">
        <v>5576</v>
      </c>
      <c r="D445" s="460">
        <v>0</v>
      </c>
      <c r="E445" s="461">
        <v>1469.15</v>
      </c>
      <c r="F445" s="461">
        <v>1469.15</v>
      </c>
      <c r="G445" s="460">
        <v>0</v>
      </c>
    </row>
    <row r="446" spans="2:9" ht="15" customHeight="1" x14ac:dyDescent="0.3">
      <c r="B446" s="455" t="s">
        <v>5577</v>
      </c>
      <c r="C446" s="459" t="s">
        <v>1267</v>
      </c>
      <c r="D446" s="461">
        <v>-15118.65</v>
      </c>
      <c r="E446" s="461">
        <v>223734.35</v>
      </c>
      <c r="F446" s="461">
        <v>208615.7</v>
      </c>
      <c r="G446" s="460">
        <v>0</v>
      </c>
    </row>
    <row r="447" spans="2:9" ht="15" customHeight="1" x14ac:dyDescent="0.3">
      <c r="B447" s="455" t="s">
        <v>5578</v>
      </c>
      <c r="C447" s="459" t="s">
        <v>1270</v>
      </c>
      <c r="D447" s="461">
        <v>-22677.99</v>
      </c>
      <c r="E447" s="461">
        <v>335601.55</v>
      </c>
      <c r="F447" s="461">
        <v>312923.56</v>
      </c>
      <c r="G447" s="460">
        <v>0</v>
      </c>
    </row>
    <row r="448" spans="2:9" ht="15" customHeight="1" x14ac:dyDescent="0.3">
      <c r="B448" s="455" t="s">
        <v>5579</v>
      </c>
      <c r="C448" s="459" t="s">
        <v>1273</v>
      </c>
      <c r="D448" s="460">
        <v>0</v>
      </c>
      <c r="E448" s="461">
        <v>507873.25</v>
      </c>
      <c r="F448" s="461">
        <v>507873.25</v>
      </c>
      <c r="G448" s="460">
        <v>0</v>
      </c>
    </row>
    <row r="449" spans="2:9" ht="15" customHeight="1" x14ac:dyDescent="0.3">
      <c r="B449" s="455" t="s">
        <v>5580</v>
      </c>
      <c r="C449" s="459" t="s">
        <v>1275</v>
      </c>
      <c r="D449" s="460">
        <v>0</v>
      </c>
      <c r="E449" s="461">
        <v>3540309.64</v>
      </c>
      <c r="F449" s="461">
        <v>3540309.64</v>
      </c>
      <c r="G449" s="460">
        <v>0</v>
      </c>
    </row>
    <row r="450" spans="2:9" ht="15" customHeight="1" x14ac:dyDescent="0.3">
      <c r="B450" s="455" t="s">
        <v>5581</v>
      </c>
      <c r="C450" s="459" t="s">
        <v>3532</v>
      </c>
      <c r="D450" s="461">
        <v>-3923756.07</v>
      </c>
      <c r="E450" s="461">
        <v>7066330.9699999997</v>
      </c>
      <c r="F450" s="461">
        <v>7493081.6399999997</v>
      </c>
      <c r="G450" s="461">
        <v>-4350506.74</v>
      </c>
    </row>
    <row r="451" spans="2:9" ht="15" customHeight="1" x14ac:dyDescent="0.3">
      <c r="B451" s="455" t="s">
        <v>5582</v>
      </c>
      <c r="C451" s="459" t="s">
        <v>3533</v>
      </c>
      <c r="D451" s="460">
        <v>0</v>
      </c>
      <c r="E451" s="461">
        <v>604064.14</v>
      </c>
      <c r="F451" s="461">
        <v>604064.14</v>
      </c>
      <c r="G451" s="460">
        <v>0</v>
      </c>
    </row>
    <row r="452" spans="2:9" ht="15" customHeight="1" x14ac:dyDescent="0.3">
      <c r="B452" s="455" t="s">
        <v>5583</v>
      </c>
      <c r="C452" s="459" t="s">
        <v>5584</v>
      </c>
      <c r="D452" s="460">
        <v>0</v>
      </c>
      <c r="E452" s="460">
        <v>923.24</v>
      </c>
      <c r="F452" s="461">
        <v>1234.02</v>
      </c>
      <c r="G452" s="460">
        <v>-310.77999999999997</v>
      </c>
    </row>
    <row r="453" spans="2:9" ht="15" customHeight="1" x14ac:dyDescent="0.3">
      <c r="B453" s="455" t="s">
        <v>5585</v>
      </c>
      <c r="C453" s="459" t="s">
        <v>5586</v>
      </c>
      <c r="D453" s="460">
        <v>0</v>
      </c>
      <c r="E453" s="461">
        <v>40935.51</v>
      </c>
      <c r="F453" s="461">
        <v>44137.17</v>
      </c>
      <c r="G453" s="461">
        <v>-3201.66</v>
      </c>
    </row>
    <row r="454" spans="2:9" ht="15" customHeight="1" x14ac:dyDescent="0.3">
      <c r="B454" s="455" t="s">
        <v>5587</v>
      </c>
      <c r="C454" s="459" t="s">
        <v>5588</v>
      </c>
      <c r="D454" s="460">
        <v>0</v>
      </c>
      <c r="E454" s="461">
        <v>3976.86</v>
      </c>
      <c r="F454" s="461">
        <v>3976.86</v>
      </c>
      <c r="G454" s="460">
        <v>0</v>
      </c>
    </row>
    <row r="455" spans="2:9" ht="15" customHeight="1" x14ac:dyDescent="0.3">
      <c r="B455" s="455" t="s">
        <v>5589</v>
      </c>
      <c r="C455" s="456" t="s">
        <v>1279</v>
      </c>
      <c r="D455" s="462">
        <v>-269.08999999999997</v>
      </c>
      <c r="E455" s="457">
        <v>46865.17</v>
      </c>
      <c r="F455" s="457">
        <v>46596.08</v>
      </c>
      <c r="G455" s="462">
        <v>0</v>
      </c>
    </row>
    <row r="456" spans="2:9" ht="15" customHeight="1" x14ac:dyDescent="0.3">
      <c r="B456" s="455" t="s">
        <v>5590</v>
      </c>
      <c r="C456" s="459" t="s">
        <v>1283</v>
      </c>
      <c r="D456" s="460">
        <v>0</v>
      </c>
      <c r="E456" s="461">
        <v>25127.72</v>
      </c>
      <c r="F456" s="461">
        <v>25127.72</v>
      </c>
      <c r="G456" s="460">
        <v>0</v>
      </c>
    </row>
    <row r="457" spans="2:9" ht="15" customHeight="1" x14ac:dyDescent="0.3">
      <c r="B457" s="455" t="s">
        <v>5591</v>
      </c>
      <c r="C457" s="459" t="s">
        <v>1290</v>
      </c>
      <c r="D457" s="460">
        <v>0</v>
      </c>
      <c r="E457" s="461">
        <v>19139.78</v>
      </c>
      <c r="F457" s="461">
        <v>19139.78</v>
      </c>
      <c r="G457" s="460">
        <v>0</v>
      </c>
    </row>
    <row r="458" spans="2:9" ht="15" customHeight="1" x14ac:dyDescent="0.3">
      <c r="B458" s="455" t="s">
        <v>5592</v>
      </c>
      <c r="C458" s="459" t="s">
        <v>3534</v>
      </c>
      <c r="D458" s="460">
        <v>-269.08999999999997</v>
      </c>
      <c r="E458" s="461">
        <v>2597.67</v>
      </c>
      <c r="F458" s="461">
        <v>2328.58</v>
      </c>
      <c r="G458" s="460">
        <v>0</v>
      </c>
    </row>
    <row r="459" spans="2:9" ht="15" customHeight="1" x14ac:dyDescent="0.3">
      <c r="B459" s="455" t="s">
        <v>5593</v>
      </c>
      <c r="C459" s="456" t="s">
        <v>1297</v>
      </c>
      <c r="D459" s="457">
        <v>-57665.22</v>
      </c>
      <c r="E459" s="457">
        <v>53707.91</v>
      </c>
      <c r="F459" s="457">
        <v>52822.559999999998</v>
      </c>
      <c r="G459" s="457">
        <v>-56779.87</v>
      </c>
    </row>
    <row r="460" spans="2:9" ht="15" customHeight="1" x14ac:dyDescent="0.3">
      <c r="B460" s="455" t="s">
        <v>5594</v>
      </c>
      <c r="C460" s="459" t="s">
        <v>1301</v>
      </c>
      <c r="D460" s="461">
        <v>-57665.22</v>
      </c>
      <c r="E460" s="461">
        <v>53707.91</v>
      </c>
      <c r="F460" s="461">
        <v>52822.559999999998</v>
      </c>
      <c r="G460" s="461">
        <v>-56779.87</v>
      </c>
    </row>
    <row r="461" spans="2:9" ht="15" customHeight="1" x14ac:dyDescent="0.3">
      <c r="B461" s="455" t="s">
        <v>5595</v>
      </c>
      <c r="C461" s="456" t="s">
        <v>1304</v>
      </c>
      <c r="D461" s="457">
        <v>-1020273.72</v>
      </c>
      <c r="E461" s="457">
        <v>2491768.29</v>
      </c>
      <c r="F461" s="457">
        <v>2356095.11</v>
      </c>
      <c r="G461" s="457">
        <v>-884600.54</v>
      </c>
      <c r="I461" s="302">
        <v>14</v>
      </c>
    </row>
    <row r="462" spans="2:9" ht="15" customHeight="1" x14ac:dyDescent="0.3">
      <c r="B462" s="455" t="s">
        <v>5596</v>
      </c>
      <c r="C462" s="456" t="s">
        <v>1307</v>
      </c>
      <c r="D462" s="457">
        <v>-34357.449999999997</v>
      </c>
      <c r="E462" s="457">
        <v>666278.94999999995</v>
      </c>
      <c r="F462" s="457">
        <v>669664.56000000006</v>
      </c>
      <c r="G462" s="457">
        <v>-37743.06</v>
      </c>
    </row>
    <row r="463" spans="2:9" ht="15" customHeight="1" x14ac:dyDescent="0.3">
      <c r="B463" s="455" t="s">
        <v>5597</v>
      </c>
      <c r="C463" s="459" t="s">
        <v>1311</v>
      </c>
      <c r="D463" s="460">
        <v>0</v>
      </c>
      <c r="E463" s="461">
        <v>178858.26</v>
      </c>
      <c r="F463" s="461">
        <v>178858.26</v>
      </c>
      <c r="G463" s="460">
        <v>0</v>
      </c>
    </row>
    <row r="464" spans="2:9" ht="15" customHeight="1" x14ac:dyDescent="0.3">
      <c r="B464" s="455" t="s">
        <v>5598</v>
      </c>
      <c r="C464" s="459" t="s">
        <v>1318</v>
      </c>
      <c r="D464" s="461">
        <v>-17700.3</v>
      </c>
      <c r="E464" s="461">
        <v>54161.07</v>
      </c>
      <c r="F464" s="461">
        <v>40130.9</v>
      </c>
      <c r="G464" s="461">
        <v>-3670.13</v>
      </c>
    </row>
    <row r="465" spans="2:9" ht="15" customHeight="1" x14ac:dyDescent="0.3">
      <c r="B465" s="455" t="s">
        <v>5599</v>
      </c>
      <c r="C465" s="459" t="s">
        <v>1325</v>
      </c>
      <c r="D465" s="460">
        <v>0</v>
      </c>
      <c r="E465" s="461">
        <v>38788.910000000003</v>
      </c>
      <c r="F465" s="461">
        <v>38788.910000000003</v>
      </c>
      <c r="G465" s="460">
        <v>0</v>
      </c>
    </row>
    <row r="466" spans="2:9" ht="15" customHeight="1" x14ac:dyDescent="0.3">
      <c r="B466" s="455" t="s">
        <v>5600</v>
      </c>
      <c r="C466" s="459" t="s">
        <v>1327</v>
      </c>
      <c r="D466" s="461">
        <v>-3880.03</v>
      </c>
      <c r="E466" s="461">
        <v>129163.2</v>
      </c>
      <c r="F466" s="461">
        <v>139401.95000000001</v>
      </c>
      <c r="G466" s="461">
        <v>-14118.78</v>
      </c>
    </row>
    <row r="467" spans="2:9" ht="15" customHeight="1" x14ac:dyDescent="0.3">
      <c r="B467" s="455" t="s">
        <v>5601</v>
      </c>
      <c r="C467" s="459" t="s">
        <v>1331</v>
      </c>
      <c r="D467" s="461">
        <v>-6567.39</v>
      </c>
      <c r="E467" s="461">
        <v>102027.56</v>
      </c>
      <c r="F467" s="461">
        <v>104467.93</v>
      </c>
      <c r="G467" s="461">
        <v>-9007.76</v>
      </c>
    </row>
    <row r="468" spans="2:9" ht="15" customHeight="1" x14ac:dyDescent="0.3">
      <c r="B468" s="455" t="s">
        <v>5602</v>
      </c>
      <c r="C468" s="459" t="s">
        <v>1337</v>
      </c>
      <c r="D468" s="461">
        <v>-6209.73</v>
      </c>
      <c r="E468" s="461">
        <v>163279.95000000001</v>
      </c>
      <c r="F468" s="461">
        <v>168016.61</v>
      </c>
      <c r="G468" s="461">
        <v>-10946.39</v>
      </c>
    </row>
    <row r="469" spans="2:9" ht="15" customHeight="1" x14ac:dyDescent="0.3">
      <c r="B469" s="455" t="s">
        <v>5603</v>
      </c>
      <c r="C469" s="456" t="s">
        <v>1341</v>
      </c>
      <c r="D469" s="457">
        <v>-985916.27</v>
      </c>
      <c r="E469" s="457">
        <v>1825489.34</v>
      </c>
      <c r="F469" s="457">
        <v>1686430.55</v>
      </c>
      <c r="G469" s="457">
        <v>-846857.48</v>
      </c>
    </row>
    <row r="470" spans="2:9" ht="15" customHeight="1" x14ac:dyDescent="0.3">
      <c r="B470" s="455" t="s">
        <v>5604</v>
      </c>
      <c r="C470" s="459" t="s">
        <v>1357</v>
      </c>
      <c r="D470" s="461">
        <v>-75653.759999999995</v>
      </c>
      <c r="E470" s="461">
        <v>80753.399999999994</v>
      </c>
      <c r="F470" s="461">
        <v>44158.080000000002</v>
      </c>
      <c r="G470" s="461">
        <v>-39058.44</v>
      </c>
    </row>
    <row r="471" spans="2:9" ht="15" customHeight="1" x14ac:dyDescent="0.3">
      <c r="B471" s="455" t="s">
        <v>5605</v>
      </c>
      <c r="C471" s="459" t="s">
        <v>1361</v>
      </c>
      <c r="D471" s="461">
        <v>-506903.72</v>
      </c>
      <c r="E471" s="461">
        <v>906608.41</v>
      </c>
      <c r="F471" s="461">
        <v>831351.53</v>
      </c>
      <c r="G471" s="461">
        <v>-431646.84</v>
      </c>
    </row>
    <row r="472" spans="2:9" ht="15" customHeight="1" x14ac:dyDescent="0.3">
      <c r="B472" s="455" t="s">
        <v>5606</v>
      </c>
      <c r="C472" s="459" t="s">
        <v>1364</v>
      </c>
      <c r="D472" s="461">
        <v>-35147.870000000003</v>
      </c>
      <c r="E472" s="461">
        <v>46309.82</v>
      </c>
      <c r="F472" s="461">
        <v>43605.39</v>
      </c>
      <c r="G472" s="461">
        <v>-32443.439999999999</v>
      </c>
    </row>
    <row r="473" spans="2:9" ht="15" customHeight="1" x14ac:dyDescent="0.3">
      <c r="B473" s="455" t="s">
        <v>5607</v>
      </c>
      <c r="C473" s="459" t="s">
        <v>3540</v>
      </c>
      <c r="D473" s="461">
        <v>-368210.92</v>
      </c>
      <c r="E473" s="461">
        <v>791817.71</v>
      </c>
      <c r="F473" s="461">
        <v>767315.55</v>
      </c>
      <c r="G473" s="461">
        <v>-343708.76</v>
      </c>
    </row>
    <row r="474" spans="2:9" ht="15" customHeight="1" x14ac:dyDescent="0.3">
      <c r="B474" s="455" t="s">
        <v>5608</v>
      </c>
      <c r="C474" s="456" t="s">
        <v>1367</v>
      </c>
      <c r="D474" s="457">
        <v>-6055386.2400000002</v>
      </c>
      <c r="E474" s="457">
        <v>2437968.36</v>
      </c>
      <c r="F474" s="457">
        <v>75743.59</v>
      </c>
      <c r="G474" s="457">
        <v>-3693161.47</v>
      </c>
    </row>
    <row r="475" spans="2:9" ht="15" customHeight="1" x14ac:dyDescent="0.3">
      <c r="B475" s="455" t="s">
        <v>5609</v>
      </c>
      <c r="C475" s="456" t="s">
        <v>1371</v>
      </c>
      <c r="D475" s="457">
        <v>-6041959.0499999998</v>
      </c>
      <c r="E475" s="457">
        <v>2425028.89</v>
      </c>
      <c r="F475" s="457">
        <v>75693.19</v>
      </c>
      <c r="G475" s="457">
        <v>-3692623.35</v>
      </c>
      <c r="I475" s="302">
        <v>15</v>
      </c>
    </row>
    <row r="476" spans="2:9" ht="15" customHeight="1" x14ac:dyDescent="0.3">
      <c r="B476" s="455" t="s">
        <v>5610</v>
      </c>
      <c r="C476" s="459" t="s">
        <v>1374</v>
      </c>
      <c r="D476" s="461">
        <v>-3132447.7</v>
      </c>
      <c r="E476" s="461">
        <v>2425028.89</v>
      </c>
      <c r="F476" s="461">
        <v>75693.19</v>
      </c>
      <c r="G476" s="461">
        <v>-783112</v>
      </c>
    </row>
    <row r="477" spans="2:9" ht="15" customHeight="1" x14ac:dyDescent="0.3">
      <c r="B477" s="455" t="s">
        <v>5611</v>
      </c>
      <c r="C477" s="459" t="s">
        <v>1380</v>
      </c>
      <c r="D477" s="461">
        <v>-2808928.22</v>
      </c>
      <c r="E477" s="460">
        <v>0</v>
      </c>
      <c r="F477" s="460">
        <v>0</v>
      </c>
      <c r="G477" s="461">
        <v>-2808928.22</v>
      </c>
    </row>
    <row r="478" spans="2:9" ht="15" customHeight="1" x14ac:dyDescent="0.3">
      <c r="B478" s="455" t="s">
        <v>5612</v>
      </c>
      <c r="C478" s="459" t="s">
        <v>1385</v>
      </c>
      <c r="D478" s="461">
        <v>-100583.13</v>
      </c>
      <c r="E478" s="460">
        <v>0</v>
      </c>
      <c r="F478" s="460">
        <v>0</v>
      </c>
      <c r="G478" s="461">
        <v>-100583.13</v>
      </c>
    </row>
    <row r="479" spans="2:9" ht="15" customHeight="1" x14ac:dyDescent="0.3">
      <c r="B479" s="455" t="s">
        <v>5613</v>
      </c>
      <c r="C479" s="456" t="s">
        <v>1388</v>
      </c>
      <c r="D479" s="457">
        <v>-13427.19</v>
      </c>
      <c r="E479" s="457">
        <v>12939.47</v>
      </c>
      <c r="F479" s="462">
        <v>50.4</v>
      </c>
      <c r="G479" s="462">
        <v>-538.12</v>
      </c>
      <c r="I479" s="302">
        <v>16</v>
      </c>
    </row>
    <row r="480" spans="2:9" ht="15" customHeight="1" x14ac:dyDescent="0.3">
      <c r="B480" s="455" t="s">
        <v>5614</v>
      </c>
      <c r="C480" s="459" t="s">
        <v>1391</v>
      </c>
      <c r="D480" s="461">
        <v>-13427.19</v>
      </c>
      <c r="E480" s="461">
        <v>12939.47</v>
      </c>
      <c r="F480" s="460">
        <v>50.4</v>
      </c>
      <c r="G480" s="460">
        <v>-538.12</v>
      </c>
    </row>
    <row r="481" spans="2:9" ht="15" customHeight="1" x14ac:dyDescent="0.3">
      <c r="B481" s="455" t="s">
        <v>5615</v>
      </c>
      <c r="C481" s="456" t="s">
        <v>1399</v>
      </c>
      <c r="D481" s="457">
        <v>-200943.6</v>
      </c>
      <c r="E481" s="457">
        <v>452577.35</v>
      </c>
      <c r="F481" s="457">
        <v>372397.43</v>
      </c>
      <c r="G481" s="457">
        <v>-120763.68</v>
      </c>
      <c r="I481" s="302">
        <v>16</v>
      </c>
    </row>
    <row r="482" spans="2:9" ht="15" customHeight="1" x14ac:dyDescent="0.3">
      <c r="B482" s="455" t="s">
        <v>5616</v>
      </c>
      <c r="C482" s="456" t="s">
        <v>1402</v>
      </c>
      <c r="D482" s="457">
        <v>-200943.6</v>
      </c>
      <c r="E482" s="457">
        <v>452577.35</v>
      </c>
      <c r="F482" s="457">
        <v>372397.43</v>
      </c>
      <c r="G482" s="457">
        <v>-120763.68</v>
      </c>
    </row>
    <row r="483" spans="2:9" ht="15" customHeight="1" x14ac:dyDescent="0.3">
      <c r="B483" s="455" t="s">
        <v>5617</v>
      </c>
      <c r="C483" s="459" t="s">
        <v>1412</v>
      </c>
      <c r="D483" s="461">
        <v>-200943.6</v>
      </c>
      <c r="E483" s="461">
        <v>452577.35</v>
      </c>
      <c r="F483" s="461">
        <v>372397.43</v>
      </c>
      <c r="G483" s="461">
        <v>-120763.68</v>
      </c>
    </row>
    <row r="484" spans="2:9" ht="15" customHeight="1" x14ac:dyDescent="0.3">
      <c r="B484" s="455" t="s">
        <v>5618</v>
      </c>
      <c r="C484" s="456" t="s">
        <v>1418</v>
      </c>
      <c r="D484" s="457">
        <v>-2972436.91</v>
      </c>
      <c r="E484" s="457">
        <v>5273231.8499999996</v>
      </c>
      <c r="F484" s="457">
        <v>6869224.9400000004</v>
      </c>
      <c r="G484" s="457">
        <v>-4568430</v>
      </c>
      <c r="I484" s="302">
        <v>13</v>
      </c>
    </row>
    <row r="485" spans="2:9" ht="15" customHeight="1" x14ac:dyDescent="0.3">
      <c r="B485" s="455" t="s">
        <v>5619</v>
      </c>
      <c r="C485" s="456" t="s">
        <v>1421</v>
      </c>
      <c r="D485" s="457">
        <v>-2972436.91</v>
      </c>
      <c r="E485" s="457">
        <v>5273231.8499999996</v>
      </c>
      <c r="F485" s="457">
        <v>6869224.9400000004</v>
      </c>
      <c r="G485" s="457">
        <v>-4568430</v>
      </c>
    </row>
    <row r="486" spans="2:9" ht="15" customHeight="1" x14ac:dyDescent="0.3">
      <c r="B486" s="455" t="s">
        <v>5620</v>
      </c>
      <c r="C486" s="459" t="s">
        <v>1424</v>
      </c>
      <c r="D486" s="461">
        <v>-2201922.85</v>
      </c>
      <c r="E486" s="461">
        <v>2645174.7599999998</v>
      </c>
      <c r="F486" s="461">
        <v>3842557.3</v>
      </c>
      <c r="G486" s="461">
        <v>-3399305.39</v>
      </c>
    </row>
    <row r="487" spans="2:9" ht="15" customHeight="1" x14ac:dyDescent="0.3">
      <c r="B487" s="455" t="s">
        <v>5621</v>
      </c>
      <c r="C487" s="459" t="s">
        <v>1428</v>
      </c>
      <c r="D487" s="461">
        <v>-770514.06</v>
      </c>
      <c r="E487" s="461">
        <v>458467.38</v>
      </c>
      <c r="F487" s="461">
        <v>857077.93</v>
      </c>
      <c r="G487" s="461">
        <v>-1169124.6100000001</v>
      </c>
    </row>
    <row r="488" spans="2:9" ht="15" customHeight="1" x14ac:dyDescent="0.3">
      <c r="B488" s="455" t="s">
        <v>5622</v>
      </c>
      <c r="C488" s="459" t="s">
        <v>1432</v>
      </c>
      <c r="D488" s="460">
        <v>0</v>
      </c>
      <c r="E488" s="461">
        <v>1616942.53</v>
      </c>
      <c r="F488" s="461">
        <v>1616942.53</v>
      </c>
      <c r="G488" s="460">
        <v>0</v>
      </c>
    </row>
    <row r="489" spans="2:9" ht="15" customHeight="1" x14ac:dyDescent="0.3">
      <c r="B489" s="455" t="s">
        <v>5623</v>
      </c>
      <c r="C489" s="459" t="s">
        <v>1434</v>
      </c>
      <c r="D489" s="460">
        <v>0</v>
      </c>
      <c r="E489" s="461">
        <v>552647.18000000005</v>
      </c>
      <c r="F489" s="461">
        <v>552647.18000000005</v>
      </c>
      <c r="G489" s="460">
        <v>0</v>
      </c>
    </row>
    <row r="490" spans="2:9" ht="15" customHeight="1" x14ac:dyDescent="0.3">
      <c r="B490" s="455" t="s">
        <v>5624</v>
      </c>
      <c r="C490" s="456" t="s">
        <v>1437</v>
      </c>
      <c r="D490" s="457">
        <v>-12692436.619999999</v>
      </c>
      <c r="E490" s="457">
        <v>18064494.84</v>
      </c>
      <c r="F490" s="457">
        <v>53435906.700000003</v>
      </c>
      <c r="G490" s="457">
        <v>-48063848.479999997</v>
      </c>
      <c r="I490" s="302">
        <v>16</v>
      </c>
    </row>
    <row r="491" spans="2:9" ht="15" customHeight="1" x14ac:dyDescent="0.3">
      <c r="B491" s="455" t="s">
        <v>5625</v>
      </c>
      <c r="C491" s="456" t="s">
        <v>1440</v>
      </c>
      <c r="D491" s="457">
        <v>-12692436.619999999</v>
      </c>
      <c r="E491" s="457">
        <v>18064494.84</v>
      </c>
      <c r="F491" s="457">
        <v>46855779.009999998</v>
      </c>
      <c r="G491" s="457">
        <v>-41483720.789999999</v>
      </c>
    </row>
    <row r="492" spans="2:9" ht="15" customHeight="1" x14ac:dyDescent="0.3">
      <c r="B492" s="455" t="s">
        <v>5626</v>
      </c>
      <c r="C492" s="459" t="s">
        <v>1446</v>
      </c>
      <c r="D492" s="461">
        <v>-124737.01</v>
      </c>
      <c r="E492" s="461">
        <v>124737.01</v>
      </c>
      <c r="F492" s="460">
        <v>0</v>
      </c>
      <c r="G492" s="460">
        <v>0</v>
      </c>
    </row>
    <row r="493" spans="2:9" ht="15" customHeight="1" x14ac:dyDescent="0.3">
      <c r="B493" s="455" t="s">
        <v>5627</v>
      </c>
      <c r="C493" s="459" t="s">
        <v>3550</v>
      </c>
      <c r="D493" s="461">
        <v>-12075522.060000001</v>
      </c>
      <c r="E493" s="461">
        <v>17434550.280000001</v>
      </c>
      <c r="F493" s="461">
        <v>46842749.009999998</v>
      </c>
      <c r="G493" s="461">
        <v>-41483720.789999999</v>
      </c>
    </row>
    <row r="494" spans="2:9" ht="15" customHeight="1" x14ac:dyDescent="0.3">
      <c r="B494" s="455" t="s">
        <v>5628</v>
      </c>
      <c r="C494" s="459" t="s">
        <v>3551</v>
      </c>
      <c r="D494" s="461">
        <v>-492177.55</v>
      </c>
      <c r="E494" s="461">
        <v>492177.55</v>
      </c>
      <c r="F494" s="460">
        <v>0</v>
      </c>
      <c r="G494" s="460">
        <v>0</v>
      </c>
    </row>
    <row r="495" spans="2:9" ht="15" customHeight="1" x14ac:dyDescent="0.3">
      <c r="B495" s="455" t="s">
        <v>5629</v>
      </c>
      <c r="C495" s="459" t="s">
        <v>5630</v>
      </c>
      <c r="D495" s="460">
        <v>0</v>
      </c>
      <c r="E495" s="461">
        <v>13030</v>
      </c>
      <c r="F495" s="461">
        <v>13030</v>
      </c>
      <c r="G495" s="460">
        <v>0</v>
      </c>
    </row>
    <row r="496" spans="2:9" ht="15" customHeight="1" x14ac:dyDescent="0.3">
      <c r="B496" s="455" t="s">
        <v>5631</v>
      </c>
      <c r="C496" s="456" t="s">
        <v>5632</v>
      </c>
      <c r="D496" s="462">
        <v>0</v>
      </c>
      <c r="E496" s="462">
        <v>0</v>
      </c>
      <c r="F496" s="457">
        <v>6580127.6900000004</v>
      </c>
      <c r="G496" s="457">
        <v>-6580127.6900000004</v>
      </c>
    </row>
    <row r="497" spans="2:9" ht="15" customHeight="1" x14ac:dyDescent="0.3">
      <c r="B497" s="455" t="s">
        <v>5633</v>
      </c>
      <c r="C497" s="459" t="s">
        <v>5634</v>
      </c>
      <c r="D497" s="460">
        <v>0</v>
      </c>
      <c r="E497" s="460">
        <v>0</v>
      </c>
      <c r="F497" s="461">
        <v>6580127.6900000004</v>
      </c>
      <c r="G497" s="461">
        <v>-6580127.6900000004</v>
      </c>
    </row>
    <row r="498" spans="2:9" ht="15" customHeight="1" x14ac:dyDescent="0.3">
      <c r="B498" s="455" t="s">
        <v>5635</v>
      </c>
      <c r="C498" s="456" t="s">
        <v>5636</v>
      </c>
      <c r="D498" s="457">
        <v>-66658619.729999997</v>
      </c>
      <c r="E498" s="457">
        <v>71733001.870000005</v>
      </c>
      <c r="F498" s="457">
        <v>35060174.359999999</v>
      </c>
      <c r="G498" s="457">
        <v>-29985792.219999999</v>
      </c>
    </row>
    <row r="499" spans="2:9" ht="15" customHeight="1" x14ac:dyDescent="0.3">
      <c r="B499" s="455" t="s">
        <v>5637</v>
      </c>
      <c r="C499" s="456" t="s">
        <v>1456</v>
      </c>
      <c r="D499" s="457">
        <v>-36247460.130000003</v>
      </c>
      <c r="E499" s="457">
        <v>24802201.829999998</v>
      </c>
      <c r="F499" s="457">
        <v>15927798.4</v>
      </c>
      <c r="G499" s="457">
        <v>-27373056.699999999</v>
      </c>
    </row>
    <row r="500" spans="2:9" ht="15" customHeight="1" x14ac:dyDescent="0.3">
      <c r="B500" s="455" t="s">
        <v>5638</v>
      </c>
      <c r="C500" s="456" t="s">
        <v>1460</v>
      </c>
      <c r="D500" s="457">
        <v>-33593236.020000003</v>
      </c>
      <c r="E500" s="457">
        <v>24042659.850000001</v>
      </c>
      <c r="F500" s="457">
        <v>15802499.289999999</v>
      </c>
      <c r="G500" s="457">
        <v>-25353075.460000001</v>
      </c>
      <c r="I500" s="302">
        <v>17</v>
      </c>
    </row>
    <row r="501" spans="2:9" ht="15" customHeight="1" x14ac:dyDescent="0.3">
      <c r="B501" s="455" t="s">
        <v>5639</v>
      </c>
      <c r="C501" s="459" t="s">
        <v>1465</v>
      </c>
      <c r="D501" s="461">
        <v>-275694.75</v>
      </c>
      <c r="E501" s="461">
        <v>154931.07</v>
      </c>
      <c r="F501" s="460">
        <v>0</v>
      </c>
      <c r="G501" s="461">
        <v>-120763.68</v>
      </c>
    </row>
    <row r="502" spans="2:9" ht="15" customHeight="1" x14ac:dyDescent="0.3">
      <c r="B502" s="455" t="s">
        <v>5640</v>
      </c>
      <c r="C502" s="459" t="s">
        <v>3555</v>
      </c>
      <c r="D502" s="461">
        <v>-32515268.66</v>
      </c>
      <c r="E502" s="461">
        <v>19863246.120000001</v>
      </c>
      <c r="F502" s="461">
        <v>9074034.4100000001</v>
      </c>
      <c r="G502" s="461">
        <v>-21726056.949999999</v>
      </c>
    </row>
    <row r="503" spans="2:9" ht="15" customHeight="1" x14ac:dyDescent="0.3">
      <c r="B503" s="455" t="s">
        <v>5641</v>
      </c>
      <c r="C503" s="459" t="s">
        <v>5642</v>
      </c>
      <c r="D503" s="461">
        <v>-802272.61</v>
      </c>
      <c r="E503" s="461">
        <v>4024482.66</v>
      </c>
      <c r="F503" s="461">
        <v>6728464.8799999999</v>
      </c>
      <c r="G503" s="461">
        <v>-3506254.83</v>
      </c>
    </row>
    <row r="504" spans="2:9" ht="15" customHeight="1" x14ac:dyDescent="0.3">
      <c r="B504" s="455" t="s">
        <v>5643</v>
      </c>
      <c r="C504" s="456" t="s">
        <v>1468</v>
      </c>
      <c r="D504" s="457">
        <v>-1286183.6399999999</v>
      </c>
      <c r="E504" s="457">
        <v>759541.98</v>
      </c>
      <c r="F504" s="457">
        <v>125299.11</v>
      </c>
      <c r="G504" s="457">
        <v>-651940.77</v>
      </c>
      <c r="I504" s="302">
        <v>18</v>
      </c>
    </row>
    <row r="505" spans="2:9" ht="15" customHeight="1" x14ac:dyDescent="0.3">
      <c r="B505" s="455" t="s">
        <v>5644</v>
      </c>
      <c r="C505" s="459" t="s">
        <v>1471</v>
      </c>
      <c r="D505" s="461">
        <v>-89741.07</v>
      </c>
      <c r="E505" s="461">
        <v>61836.76</v>
      </c>
      <c r="F505" s="461">
        <v>11061.35</v>
      </c>
      <c r="G505" s="461">
        <v>-38965.660000000003</v>
      </c>
    </row>
    <row r="506" spans="2:9" ht="15" customHeight="1" x14ac:dyDescent="0.3">
      <c r="B506" s="455" t="s">
        <v>5645</v>
      </c>
      <c r="C506" s="459" t="s">
        <v>1487</v>
      </c>
      <c r="D506" s="461">
        <v>-44131.360000000001</v>
      </c>
      <c r="E506" s="461">
        <v>44131.360000000001</v>
      </c>
      <c r="F506" s="460">
        <v>0</v>
      </c>
      <c r="G506" s="460">
        <v>0</v>
      </c>
    </row>
    <row r="507" spans="2:9" ht="15" customHeight="1" x14ac:dyDescent="0.3">
      <c r="B507" s="455" t="s">
        <v>5646</v>
      </c>
      <c r="C507" s="459" t="s">
        <v>1491</v>
      </c>
      <c r="D507" s="461">
        <v>-424957</v>
      </c>
      <c r="E507" s="461">
        <v>281074.71999999997</v>
      </c>
      <c r="F507" s="460">
        <v>0</v>
      </c>
      <c r="G507" s="461">
        <v>-143882.28</v>
      </c>
    </row>
    <row r="508" spans="2:9" ht="15" customHeight="1" x14ac:dyDescent="0.3">
      <c r="B508" s="455" t="s">
        <v>5647</v>
      </c>
      <c r="C508" s="459" t="s">
        <v>1494</v>
      </c>
      <c r="D508" s="461">
        <v>-40553.49</v>
      </c>
      <c r="E508" s="461">
        <v>29739.01</v>
      </c>
      <c r="F508" s="460">
        <v>0</v>
      </c>
      <c r="G508" s="461">
        <v>-10814.48</v>
      </c>
    </row>
    <row r="509" spans="2:9" ht="15" customHeight="1" x14ac:dyDescent="0.3">
      <c r="B509" s="455" t="s">
        <v>5648</v>
      </c>
      <c r="C509" s="459" t="s">
        <v>3558</v>
      </c>
      <c r="D509" s="461">
        <v>-686800.72</v>
      </c>
      <c r="E509" s="461">
        <v>341271.24</v>
      </c>
      <c r="F509" s="461">
        <v>112748.87</v>
      </c>
      <c r="G509" s="461">
        <v>-458278.35</v>
      </c>
    </row>
    <row r="510" spans="2:9" ht="15" customHeight="1" x14ac:dyDescent="0.3">
      <c r="B510" s="455" t="s">
        <v>5649</v>
      </c>
      <c r="C510" s="459" t="s">
        <v>5650</v>
      </c>
      <c r="D510" s="460">
        <v>0</v>
      </c>
      <c r="E510" s="461">
        <v>1488.89</v>
      </c>
      <c r="F510" s="461">
        <v>1488.89</v>
      </c>
      <c r="G510" s="460">
        <v>0</v>
      </c>
    </row>
    <row r="511" spans="2:9" ht="15" customHeight="1" x14ac:dyDescent="0.3">
      <c r="B511" s="455" t="s">
        <v>5651</v>
      </c>
      <c r="C511" s="456" t="s">
        <v>1497</v>
      </c>
      <c r="D511" s="457">
        <v>-1368040.47</v>
      </c>
      <c r="E511" s="462">
        <v>0</v>
      </c>
      <c r="F511" s="462">
        <v>0</v>
      </c>
      <c r="G511" s="457">
        <v>-1368040.47</v>
      </c>
      <c r="I511" s="302">
        <v>17</v>
      </c>
    </row>
    <row r="512" spans="2:9" ht="15" customHeight="1" x14ac:dyDescent="0.3">
      <c r="B512" s="455" t="s">
        <v>5652</v>
      </c>
      <c r="C512" s="459" t="s">
        <v>1500</v>
      </c>
      <c r="D512" s="461">
        <v>-1368040.47</v>
      </c>
      <c r="E512" s="460">
        <v>0</v>
      </c>
      <c r="F512" s="460">
        <v>0</v>
      </c>
      <c r="G512" s="461">
        <v>-1368040.47</v>
      </c>
    </row>
    <row r="513" spans="2:9" ht="15" customHeight="1" x14ac:dyDescent="0.3">
      <c r="B513" s="455" t="s">
        <v>5653</v>
      </c>
      <c r="C513" s="456" t="s">
        <v>1504</v>
      </c>
      <c r="D513" s="457">
        <v>-30411159.600000001</v>
      </c>
      <c r="E513" s="457">
        <v>46930800.039999999</v>
      </c>
      <c r="F513" s="457">
        <v>19132375.960000001</v>
      </c>
      <c r="G513" s="457">
        <v>-2612735.52</v>
      </c>
      <c r="I513" s="302">
        <v>19</v>
      </c>
    </row>
    <row r="514" spans="2:9" ht="15" customHeight="1" x14ac:dyDescent="0.3">
      <c r="B514" s="455" t="s">
        <v>5654</v>
      </c>
      <c r="C514" s="456" t="s">
        <v>1507</v>
      </c>
      <c r="D514" s="457">
        <v>-30411159.600000001</v>
      </c>
      <c r="E514" s="457">
        <v>46930800.039999999</v>
      </c>
      <c r="F514" s="457">
        <v>19132375.960000001</v>
      </c>
      <c r="G514" s="457">
        <v>-2612735.52</v>
      </c>
    </row>
    <row r="515" spans="2:9" ht="15" customHeight="1" x14ac:dyDescent="0.3">
      <c r="B515" s="455" t="s">
        <v>5655</v>
      </c>
      <c r="C515" s="459" t="s">
        <v>1510</v>
      </c>
      <c r="D515" s="461">
        <v>-1540826.93</v>
      </c>
      <c r="E515" s="461">
        <v>10328818.869999999</v>
      </c>
      <c r="F515" s="461">
        <v>10441233.51</v>
      </c>
      <c r="G515" s="461">
        <v>-1653241.57</v>
      </c>
    </row>
    <row r="516" spans="2:9" ht="15" customHeight="1" x14ac:dyDescent="0.3">
      <c r="B516" s="455" t="s">
        <v>5656</v>
      </c>
      <c r="C516" s="459" t="s">
        <v>1514</v>
      </c>
      <c r="D516" s="461">
        <v>-28870332.670000002</v>
      </c>
      <c r="E516" s="461">
        <v>36601981.170000002</v>
      </c>
      <c r="F516" s="461">
        <v>8691142.4499999993</v>
      </c>
      <c r="G516" s="461">
        <v>-959493.95</v>
      </c>
    </row>
    <row r="517" spans="2:9" ht="15" customHeight="1" x14ac:dyDescent="0.3">
      <c r="B517" s="455" t="s">
        <v>5657</v>
      </c>
      <c r="C517" s="456" t="s">
        <v>5658</v>
      </c>
      <c r="D517" s="457">
        <v>41989898.969999999</v>
      </c>
      <c r="E517" s="457">
        <v>34233420.93</v>
      </c>
      <c r="F517" s="457">
        <v>29023842.030000001</v>
      </c>
      <c r="G517" s="457">
        <v>47199477.869999997</v>
      </c>
    </row>
    <row r="518" spans="2:9" ht="15" customHeight="1" x14ac:dyDescent="0.3">
      <c r="B518" s="455" t="s">
        <v>5659</v>
      </c>
      <c r="C518" s="456" t="s">
        <v>1547</v>
      </c>
      <c r="D518" s="457">
        <v>-240000000</v>
      </c>
      <c r="E518" s="462">
        <v>0</v>
      </c>
      <c r="F518" s="462">
        <v>0</v>
      </c>
      <c r="G518" s="457">
        <v>-240000000</v>
      </c>
      <c r="I518" s="321">
        <v>20</v>
      </c>
    </row>
    <row r="519" spans="2:9" ht="15" customHeight="1" x14ac:dyDescent="0.3">
      <c r="B519" s="455" t="s">
        <v>5660</v>
      </c>
      <c r="C519" s="456" t="s">
        <v>1550</v>
      </c>
      <c r="D519" s="457">
        <v>-240000000</v>
      </c>
      <c r="E519" s="462">
        <v>0</v>
      </c>
      <c r="F519" s="462">
        <v>0</v>
      </c>
      <c r="G519" s="457">
        <v>-240000000</v>
      </c>
    </row>
    <row r="520" spans="2:9" ht="15" customHeight="1" x14ac:dyDescent="0.3">
      <c r="B520" s="455" t="s">
        <v>5661</v>
      </c>
      <c r="C520" s="459" t="s">
        <v>1553</v>
      </c>
      <c r="D520" s="461">
        <v>-3675</v>
      </c>
      <c r="E520" s="460">
        <v>0</v>
      </c>
      <c r="F520" s="460">
        <v>0</v>
      </c>
      <c r="G520" s="461">
        <v>-3675</v>
      </c>
    </row>
    <row r="521" spans="2:9" ht="15" customHeight="1" x14ac:dyDescent="0.3">
      <c r="B521" s="455" t="s">
        <v>5662</v>
      </c>
      <c r="C521" s="459" t="s">
        <v>1556</v>
      </c>
      <c r="D521" s="460">
        <v>-61</v>
      </c>
      <c r="E521" s="460">
        <v>0</v>
      </c>
      <c r="F521" s="460">
        <v>0</v>
      </c>
      <c r="G521" s="460">
        <v>-61</v>
      </c>
    </row>
    <row r="522" spans="2:9" ht="15" customHeight="1" x14ac:dyDescent="0.3">
      <c r="B522" s="455" t="s">
        <v>5663</v>
      </c>
      <c r="C522" s="459" t="s">
        <v>1559</v>
      </c>
      <c r="D522" s="461">
        <v>-239996264</v>
      </c>
      <c r="E522" s="460">
        <v>0</v>
      </c>
      <c r="F522" s="460">
        <v>0</v>
      </c>
      <c r="G522" s="461">
        <v>-239996264</v>
      </c>
    </row>
    <row r="523" spans="2:9" ht="15" customHeight="1" x14ac:dyDescent="0.3">
      <c r="B523" s="455" t="s">
        <v>5664</v>
      </c>
      <c r="C523" s="456" t="s">
        <v>1587</v>
      </c>
      <c r="D523" s="457">
        <v>265473645.65000001</v>
      </c>
      <c r="E523" s="457">
        <v>34233420.93</v>
      </c>
      <c r="F523" s="457">
        <v>29023842.030000001</v>
      </c>
      <c r="G523" s="457">
        <v>270683224.55000001</v>
      </c>
    </row>
    <row r="524" spans="2:9" ht="15" customHeight="1" x14ac:dyDescent="0.3">
      <c r="B524" s="455" t="s">
        <v>5665</v>
      </c>
      <c r="C524" s="456" t="s">
        <v>1590</v>
      </c>
      <c r="D524" s="457">
        <v>5098404.45</v>
      </c>
      <c r="E524" s="457">
        <v>14729792.84</v>
      </c>
      <c r="F524" s="457">
        <v>14618618.390000001</v>
      </c>
      <c r="G524" s="457">
        <v>5209578.9000000004</v>
      </c>
    </row>
    <row r="525" spans="2:9" ht="15" customHeight="1" x14ac:dyDescent="0.3">
      <c r="B525" s="455" t="s">
        <v>5666</v>
      </c>
      <c r="C525" s="459" t="s">
        <v>1597</v>
      </c>
      <c r="D525" s="461">
        <v>5098404.45</v>
      </c>
      <c r="E525" s="461">
        <v>14729792.84</v>
      </c>
      <c r="F525" s="461">
        <v>14618618.390000001</v>
      </c>
      <c r="G525" s="461">
        <v>5209578.9000000004</v>
      </c>
      <c r="I525" s="322">
        <v>22</v>
      </c>
    </row>
    <row r="526" spans="2:9" ht="15" customHeight="1" x14ac:dyDescent="0.3">
      <c r="B526" s="455" t="s">
        <v>5667</v>
      </c>
      <c r="C526" s="456" t="s">
        <v>1600</v>
      </c>
      <c r="D526" s="457">
        <v>260375241.19999999</v>
      </c>
      <c r="E526" s="457">
        <v>19503628.09</v>
      </c>
      <c r="F526" s="457">
        <v>14405223.640000001</v>
      </c>
      <c r="G526" s="457">
        <v>265473645.65000001</v>
      </c>
    </row>
    <row r="527" spans="2:9" ht="15" customHeight="1" x14ac:dyDescent="0.3">
      <c r="B527" s="455" t="s">
        <v>5668</v>
      </c>
      <c r="C527" s="459" t="s">
        <v>1603</v>
      </c>
      <c r="D527" s="461">
        <v>250483795.00999999</v>
      </c>
      <c r="E527" s="461">
        <v>19503628.09</v>
      </c>
      <c r="F527" s="461">
        <v>4513777.45</v>
      </c>
      <c r="G527" s="461">
        <v>265473645.65000001</v>
      </c>
      <c r="I527" s="322">
        <v>22</v>
      </c>
    </row>
    <row r="528" spans="2:9" ht="15" customHeight="1" x14ac:dyDescent="0.3">
      <c r="B528" s="455" t="s">
        <v>5669</v>
      </c>
      <c r="C528" s="459" t="s">
        <v>1607</v>
      </c>
      <c r="D528" s="461">
        <v>9891446.1899999995</v>
      </c>
      <c r="E528" s="460">
        <v>0</v>
      </c>
      <c r="F528" s="461">
        <v>9891446.1899999995</v>
      </c>
      <c r="G528" s="460">
        <v>0</v>
      </c>
    </row>
    <row r="529" spans="2:10" ht="15" customHeight="1" x14ac:dyDescent="0.3">
      <c r="B529" s="455" t="s">
        <v>5670</v>
      </c>
      <c r="C529" s="456" t="s">
        <v>1610</v>
      </c>
      <c r="D529" s="457">
        <v>16516253.32</v>
      </c>
      <c r="E529" s="462">
        <v>0</v>
      </c>
      <c r="F529" s="462">
        <v>0</v>
      </c>
      <c r="G529" s="457">
        <v>16516253.32</v>
      </c>
      <c r="I529" s="321">
        <v>20</v>
      </c>
    </row>
    <row r="530" spans="2:10" ht="15" customHeight="1" x14ac:dyDescent="0.3">
      <c r="B530" s="455" t="s">
        <v>5671</v>
      </c>
      <c r="C530" s="456" t="s">
        <v>1613</v>
      </c>
      <c r="D530" s="457">
        <v>16516253.32</v>
      </c>
      <c r="E530" s="462">
        <v>0</v>
      </c>
      <c r="F530" s="462">
        <v>0</v>
      </c>
      <c r="G530" s="457">
        <v>16516253.32</v>
      </c>
    </row>
    <row r="531" spans="2:10" ht="15" customHeight="1" x14ac:dyDescent="0.3">
      <c r="B531" s="455" t="s">
        <v>5672</v>
      </c>
      <c r="C531" s="459" t="s">
        <v>1616</v>
      </c>
      <c r="D531" s="461">
        <v>16516253.32</v>
      </c>
      <c r="E531" s="460">
        <v>0</v>
      </c>
      <c r="F531" s="460">
        <v>0</v>
      </c>
      <c r="G531" s="461">
        <v>16516253.32</v>
      </c>
    </row>
    <row r="532" spans="2:10" ht="15" customHeight="1" x14ac:dyDescent="0.3">
      <c r="B532" s="455" t="s">
        <v>5673</v>
      </c>
      <c r="C532" s="456" t="s">
        <v>1633</v>
      </c>
      <c r="D532" s="462">
        <v>0</v>
      </c>
      <c r="E532" s="457">
        <v>83017140.920000002</v>
      </c>
      <c r="F532" s="457">
        <v>5171124.18</v>
      </c>
      <c r="G532" s="457">
        <v>77846016.739999995</v>
      </c>
    </row>
    <row r="533" spans="2:10" ht="15" customHeight="1" x14ac:dyDescent="0.3">
      <c r="B533" s="455" t="s">
        <v>5674</v>
      </c>
      <c r="C533" s="456" t="s">
        <v>1636</v>
      </c>
      <c r="D533" s="462">
        <v>0</v>
      </c>
      <c r="E533" s="457">
        <v>12696152.23</v>
      </c>
      <c r="F533" s="457">
        <v>2288857.13</v>
      </c>
      <c r="G533" s="457">
        <v>10407295.1</v>
      </c>
      <c r="I533" s="458" t="s">
        <v>3569</v>
      </c>
    </row>
    <row r="534" spans="2:10" ht="15" customHeight="1" x14ac:dyDescent="0.3">
      <c r="B534" s="455" t="s">
        <v>5675</v>
      </c>
      <c r="C534" s="456" t="s">
        <v>5676</v>
      </c>
      <c r="D534" s="462">
        <v>0</v>
      </c>
      <c r="E534" s="457">
        <v>5460102.2000000002</v>
      </c>
      <c r="F534" s="457">
        <v>1822423.98</v>
      </c>
      <c r="G534" s="457">
        <v>3637678.22</v>
      </c>
    </row>
    <row r="535" spans="2:10" ht="15" customHeight="1" x14ac:dyDescent="0.3">
      <c r="B535" s="455" t="s">
        <v>5677</v>
      </c>
      <c r="C535" s="456" t="s">
        <v>5678</v>
      </c>
      <c r="D535" s="462">
        <v>0</v>
      </c>
      <c r="E535" s="457">
        <v>5460102.2000000002</v>
      </c>
      <c r="F535" s="457">
        <v>1822423.98</v>
      </c>
      <c r="G535" s="457">
        <v>3637678.22</v>
      </c>
    </row>
    <row r="536" spans="2:10" ht="15" customHeight="1" x14ac:dyDescent="0.3">
      <c r="B536" s="455" t="s">
        <v>5679</v>
      </c>
      <c r="C536" s="459" t="s">
        <v>5680</v>
      </c>
      <c r="D536" s="460">
        <v>0</v>
      </c>
      <c r="E536" s="461">
        <v>5460102.2000000002</v>
      </c>
      <c r="F536" s="460">
        <v>144.4</v>
      </c>
      <c r="G536" s="461">
        <v>5459957.7999999998</v>
      </c>
    </row>
    <row r="537" spans="2:10" ht="15" customHeight="1" x14ac:dyDescent="0.3">
      <c r="B537" s="455" t="s">
        <v>5681</v>
      </c>
      <c r="C537" s="459" t="s">
        <v>5682</v>
      </c>
      <c r="D537" s="460">
        <v>0</v>
      </c>
      <c r="E537" s="460">
        <v>0</v>
      </c>
      <c r="F537" s="461">
        <v>1822279.58</v>
      </c>
      <c r="G537" s="461">
        <v>-1822279.58</v>
      </c>
    </row>
    <row r="538" spans="2:10" ht="15" customHeight="1" x14ac:dyDescent="0.3">
      <c r="B538" s="455" t="s">
        <v>5683</v>
      </c>
      <c r="C538" s="456" t="s">
        <v>1638</v>
      </c>
      <c r="D538" s="462">
        <v>0</v>
      </c>
      <c r="E538" s="457">
        <v>4940075.84</v>
      </c>
      <c r="F538" s="457">
        <v>461636.54</v>
      </c>
      <c r="G538" s="457">
        <v>4478439.3</v>
      </c>
    </row>
    <row r="539" spans="2:10" ht="15" customHeight="1" x14ac:dyDescent="0.3">
      <c r="B539" s="455" t="s">
        <v>5684</v>
      </c>
      <c r="C539" s="456" t="s">
        <v>1641</v>
      </c>
      <c r="D539" s="462">
        <v>0</v>
      </c>
      <c r="E539" s="457">
        <v>175496.19</v>
      </c>
      <c r="F539" s="457">
        <v>175496.19</v>
      </c>
      <c r="G539" s="462">
        <v>0</v>
      </c>
    </row>
    <row r="540" spans="2:10" ht="15" customHeight="1" x14ac:dyDescent="0.3">
      <c r="B540" s="455" t="s">
        <v>5685</v>
      </c>
      <c r="C540" s="459" t="s">
        <v>5686</v>
      </c>
      <c r="D540" s="460">
        <v>0</v>
      </c>
      <c r="E540" s="461">
        <v>175496.19</v>
      </c>
      <c r="F540" s="461">
        <v>175496.19</v>
      </c>
      <c r="G540" s="460">
        <v>0</v>
      </c>
    </row>
    <row r="541" spans="2:10" ht="15" customHeight="1" x14ac:dyDescent="0.3">
      <c r="B541" s="455" t="s">
        <v>5687</v>
      </c>
      <c r="C541" s="456" t="s">
        <v>5688</v>
      </c>
      <c r="D541" s="462">
        <v>0</v>
      </c>
      <c r="E541" s="457">
        <v>1586.47</v>
      </c>
      <c r="F541" s="457">
        <v>1586.47</v>
      </c>
      <c r="G541" s="462">
        <v>0</v>
      </c>
    </row>
    <row r="542" spans="2:10" ht="15" customHeight="1" x14ac:dyDescent="0.3">
      <c r="B542" s="455" t="s">
        <v>5689</v>
      </c>
      <c r="C542" s="459" t="s">
        <v>5690</v>
      </c>
      <c r="D542" s="460">
        <v>0</v>
      </c>
      <c r="E542" s="461">
        <v>1586.47</v>
      </c>
      <c r="F542" s="461">
        <v>1586.47</v>
      </c>
      <c r="G542" s="460">
        <v>0</v>
      </c>
    </row>
    <row r="543" spans="2:10" ht="15" customHeight="1" x14ac:dyDescent="0.3">
      <c r="B543" s="455" t="s">
        <v>5691</v>
      </c>
      <c r="C543" s="456" t="s">
        <v>1646</v>
      </c>
      <c r="D543" s="462">
        <v>0</v>
      </c>
      <c r="E543" s="457">
        <v>4762993.18</v>
      </c>
      <c r="F543" s="457">
        <v>284553.88</v>
      </c>
      <c r="G543" s="457">
        <v>4478439.3</v>
      </c>
      <c r="J543" s="745">
        <v>23431470.329999998</v>
      </c>
    </row>
    <row r="544" spans="2:10" ht="15" customHeight="1" x14ac:dyDescent="0.3">
      <c r="B544" s="455" t="s">
        <v>5692</v>
      </c>
      <c r="C544" s="459" t="s">
        <v>5693</v>
      </c>
      <c r="D544" s="460">
        <v>0</v>
      </c>
      <c r="E544" s="461">
        <v>4459</v>
      </c>
      <c r="F544" s="461">
        <v>4459</v>
      </c>
      <c r="G544" s="460">
        <v>0</v>
      </c>
      <c r="J544" s="745">
        <f>G545</f>
        <v>3851457.65</v>
      </c>
    </row>
    <row r="545" spans="2:10" ht="15" customHeight="1" x14ac:dyDescent="0.3">
      <c r="B545" s="493" t="s">
        <v>5694</v>
      </c>
      <c r="C545" s="494" t="s">
        <v>1654</v>
      </c>
      <c r="D545" s="495">
        <v>0</v>
      </c>
      <c r="E545" s="496">
        <v>3851457.65</v>
      </c>
      <c r="F545" s="495">
        <v>0</v>
      </c>
      <c r="G545" s="496">
        <v>3851457.65</v>
      </c>
    </row>
    <row r="546" spans="2:10" ht="15" customHeight="1" x14ac:dyDescent="0.3">
      <c r="B546" s="455" t="s">
        <v>5695</v>
      </c>
      <c r="C546" s="459" t="s">
        <v>1656</v>
      </c>
      <c r="D546" s="460">
        <v>0</v>
      </c>
      <c r="E546" s="461">
        <v>52007.25</v>
      </c>
      <c r="F546" s="460">
        <v>0</v>
      </c>
      <c r="G546" s="461">
        <v>52007.25</v>
      </c>
      <c r="J546" s="745">
        <v>2954653.8</v>
      </c>
    </row>
    <row r="547" spans="2:10" ht="15" customHeight="1" x14ac:dyDescent="0.3">
      <c r="B547" s="455" t="s">
        <v>5696</v>
      </c>
      <c r="C547" s="459" t="s">
        <v>5697</v>
      </c>
      <c r="D547" s="460">
        <v>0</v>
      </c>
      <c r="E547" s="461">
        <v>398192.05</v>
      </c>
      <c r="F547" s="460">
        <v>0</v>
      </c>
      <c r="G547" s="461">
        <v>398192.05</v>
      </c>
      <c r="J547" s="745">
        <v>-1972802.98</v>
      </c>
    </row>
    <row r="548" spans="2:10" ht="15" customHeight="1" x14ac:dyDescent="0.3">
      <c r="B548" s="455" t="s">
        <v>5698</v>
      </c>
      <c r="C548" s="459" t="s">
        <v>1662</v>
      </c>
      <c r="D548" s="460">
        <v>0</v>
      </c>
      <c r="E548" s="460">
        <v>0</v>
      </c>
      <c r="F548" s="461">
        <v>271084.15999999997</v>
      </c>
      <c r="G548" s="461">
        <v>-271084.15999999997</v>
      </c>
    </row>
    <row r="549" spans="2:10" ht="15" customHeight="1" x14ac:dyDescent="0.3">
      <c r="B549" s="455" t="s">
        <v>5699</v>
      </c>
      <c r="C549" s="459" t="s">
        <v>1665</v>
      </c>
      <c r="D549" s="460">
        <v>0</v>
      </c>
      <c r="E549" s="461">
        <v>442101.09</v>
      </c>
      <c r="F549" s="461">
        <v>1942.65</v>
      </c>
      <c r="G549" s="461">
        <v>440158.44</v>
      </c>
    </row>
    <row r="550" spans="2:10" ht="15" customHeight="1" x14ac:dyDescent="0.3">
      <c r="B550" s="455" t="s">
        <v>5700</v>
      </c>
      <c r="C550" s="459" t="s">
        <v>5701</v>
      </c>
      <c r="D550" s="460">
        <v>0</v>
      </c>
      <c r="E550" s="460">
        <v>350</v>
      </c>
      <c r="F550" s="460">
        <v>350</v>
      </c>
      <c r="G550" s="460">
        <v>0</v>
      </c>
    </row>
    <row r="551" spans="2:10" ht="15" customHeight="1" x14ac:dyDescent="0.3">
      <c r="B551" s="455" t="s">
        <v>5702</v>
      </c>
      <c r="C551" s="459" t="s">
        <v>5703</v>
      </c>
      <c r="D551" s="460">
        <v>0</v>
      </c>
      <c r="E551" s="461">
        <v>14426.14</v>
      </c>
      <c r="F551" s="461">
        <v>6718.07</v>
      </c>
      <c r="G551" s="461">
        <v>7708.07</v>
      </c>
    </row>
    <row r="552" spans="2:10" ht="15" customHeight="1" x14ac:dyDescent="0.3">
      <c r="B552" s="455" t="s">
        <v>5704</v>
      </c>
      <c r="C552" s="456" t="s">
        <v>1667</v>
      </c>
      <c r="D552" s="462">
        <v>0</v>
      </c>
      <c r="E552" s="457">
        <v>2295974.19</v>
      </c>
      <c r="F552" s="457">
        <v>4796.6099999999997</v>
      </c>
      <c r="G552" s="457">
        <v>2291177.58</v>
      </c>
      <c r="H552" s="646"/>
    </row>
    <row r="553" spans="2:10" ht="15" customHeight="1" x14ac:dyDescent="0.3">
      <c r="B553" s="455" t="s">
        <v>5705</v>
      </c>
      <c r="C553" s="456" t="s">
        <v>1670</v>
      </c>
      <c r="D553" s="462">
        <v>0</v>
      </c>
      <c r="E553" s="462">
        <v>892.93</v>
      </c>
      <c r="F553" s="462">
        <v>892.93</v>
      </c>
      <c r="G553" s="462">
        <v>0</v>
      </c>
    </row>
    <row r="554" spans="2:10" ht="15" customHeight="1" x14ac:dyDescent="0.3">
      <c r="B554" s="455" t="s">
        <v>5706</v>
      </c>
      <c r="C554" s="459" t="s">
        <v>5707</v>
      </c>
      <c r="D554" s="460">
        <v>0</v>
      </c>
      <c r="E554" s="460">
        <v>892.93</v>
      </c>
      <c r="F554" s="460">
        <v>892.93</v>
      </c>
      <c r="G554" s="460">
        <v>0</v>
      </c>
    </row>
    <row r="555" spans="2:10" ht="15" customHeight="1" x14ac:dyDescent="0.3">
      <c r="B555" s="455" t="s">
        <v>5708</v>
      </c>
      <c r="C555" s="456" t="s">
        <v>5709</v>
      </c>
      <c r="D555" s="462">
        <v>0</v>
      </c>
      <c r="E555" s="457">
        <v>1000.57</v>
      </c>
      <c r="F555" s="457">
        <v>1000.57</v>
      </c>
      <c r="G555" s="462">
        <v>0</v>
      </c>
    </row>
    <row r="556" spans="2:10" ht="15" customHeight="1" x14ac:dyDescent="0.3">
      <c r="B556" s="455" t="s">
        <v>5710</v>
      </c>
      <c r="C556" s="459" t="s">
        <v>5711</v>
      </c>
      <c r="D556" s="460">
        <v>0</v>
      </c>
      <c r="E556" s="461">
        <v>1000.57</v>
      </c>
      <c r="F556" s="461">
        <v>1000.57</v>
      </c>
      <c r="G556" s="460">
        <v>0</v>
      </c>
    </row>
    <row r="557" spans="2:10" ht="15" customHeight="1" x14ac:dyDescent="0.3">
      <c r="B557" s="455" t="s">
        <v>5712</v>
      </c>
      <c r="C557" s="456" t="s">
        <v>2301</v>
      </c>
      <c r="D557" s="462">
        <v>0</v>
      </c>
      <c r="E557" s="457">
        <v>208315.11</v>
      </c>
      <c r="F557" s="457">
        <v>2893.76</v>
      </c>
      <c r="G557" s="645">
        <v>205421.35</v>
      </c>
    </row>
    <row r="558" spans="2:10" ht="15" customHeight="1" x14ac:dyDescent="0.3">
      <c r="B558" s="455" t="s">
        <v>5713</v>
      </c>
      <c r="C558" s="459" t="s">
        <v>2307</v>
      </c>
      <c r="D558" s="460">
        <v>0</v>
      </c>
      <c r="E558" s="461">
        <v>208315.11</v>
      </c>
      <c r="F558" s="461">
        <v>2893.76</v>
      </c>
      <c r="G558" s="461">
        <v>205421.35</v>
      </c>
    </row>
    <row r="559" spans="2:10" ht="15" customHeight="1" x14ac:dyDescent="0.3">
      <c r="B559" s="455" t="s">
        <v>5714</v>
      </c>
      <c r="C559" s="456" t="s">
        <v>1675</v>
      </c>
      <c r="D559" s="462">
        <v>0</v>
      </c>
      <c r="E559" s="457">
        <v>1890290.91</v>
      </c>
      <c r="F559" s="462">
        <v>9.35</v>
      </c>
      <c r="G559" s="645">
        <v>1890281.56</v>
      </c>
    </row>
    <row r="560" spans="2:10" ht="15" customHeight="1" x14ac:dyDescent="0.3">
      <c r="B560" s="455" t="s">
        <v>5715</v>
      </c>
      <c r="C560" s="459" t="s">
        <v>5716</v>
      </c>
      <c r="D560" s="460">
        <v>0</v>
      </c>
      <c r="E560" s="461">
        <v>1120511.19</v>
      </c>
      <c r="F560" s="460">
        <v>0</v>
      </c>
      <c r="G560" s="461">
        <v>1120511.19</v>
      </c>
    </row>
    <row r="561" spans="2:9" ht="15" customHeight="1" x14ac:dyDescent="0.3">
      <c r="B561" s="455" t="s">
        <v>5717</v>
      </c>
      <c r="C561" s="459" t="s">
        <v>5718</v>
      </c>
      <c r="D561" s="460">
        <v>0</v>
      </c>
      <c r="E561" s="461">
        <v>3454.26</v>
      </c>
      <c r="F561" s="460">
        <v>0</v>
      </c>
      <c r="G561" s="461">
        <v>3454.26</v>
      </c>
    </row>
    <row r="562" spans="2:9" ht="15" customHeight="1" x14ac:dyDescent="0.3">
      <c r="B562" s="455" t="s">
        <v>5719</v>
      </c>
      <c r="C562" s="459" t="s">
        <v>5720</v>
      </c>
      <c r="D562" s="460">
        <v>0</v>
      </c>
      <c r="E562" s="461">
        <v>1908.71</v>
      </c>
      <c r="F562" s="460">
        <v>0</v>
      </c>
      <c r="G562" s="461">
        <v>1908.71</v>
      </c>
    </row>
    <row r="563" spans="2:9" ht="15" customHeight="1" x14ac:dyDescent="0.3">
      <c r="B563" s="455" t="s">
        <v>5721</v>
      </c>
      <c r="C563" s="459" t="s">
        <v>1678</v>
      </c>
      <c r="D563" s="460">
        <v>0</v>
      </c>
      <c r="E563" s="461">
        <v>1399.63</v>
      </c>
      <c r="F563" s="460">
        <v>0</v>
      </c>
      <c r="G563" s="461">
        <v>1399.63</v>
      </c>
    </row>
    <row r="564" spans="2:9" ht="15" customHeight="1" x14ac:dyDescent="0.3">
      <c r="B564" s="455" t="s">
        <v>5722</v>
      </c>
      <c r="C564" s="459" t="s">
        <v>1681</v>
      </c>
      <c r="D564" s="460">
        <v>0</v>
      </c>
      <c r="E564" s="461">
        <v>761513.16</v>
      </c>
      <c r="F564" s="460">
        <v>0</v>
      </c>
      <c r="G564" s="461">
        <v>761513.16</v>
      </c>
    </row>
    <row r="565" spans="2:9" ht="15" customHeight="1" x14ac:dyDescent="0.3">
      <c r="B565" s="455" t="s">
        <v>5723</v>
      </c>
      <c r="C565" s="459" t="s">
        <v>1684</v>
      </c>
      <c r="D565" s="460">
        <v>0</v>
      </c>
      <c r="E565" s="460">
        <v>810.04</v>
      </c>
      <c r="F565" s="460">
        <v>9.07</v>
      </c>
      <c r="G565" s="460">
        <v>800.97</v>
      </c>
    </row>
    <row r="566" spans="2:9" ht="15" customHeight="1" x14ac:dyDescent="0.3">
      <c r="B566" s="455" t="s">
        <v>5724</v>
      </c>
      <c r="C566" s="459" t="s">
        <v>1687</v>
      </c>
      <c r="D566" s="460">
        <v>0</v>
      </c>
      <c r="E566" s="460">
        <v>451.58</v>
      </c>
      <c r="F566" s="460">
        <v>0</v>
      </c>
      <c r="G566" s="460">
        <v>451.58</v>
      </c>
    </row>
    <row r="567" spans="2:9" ht="15" customHeight="1" x14ac:dyDescent="0.3">
      <c r="B567" s="455" t="s">
        <v>5725</v>
      </c>
      <c r="C567" s="459" t="s">
        <v>1690</v>
      </c>
      <c r="D567" s="460">
        <v>0</v>
      </c>
      <c r="E567" s="460">
        <v>241.5</v>
      </c>
      <c r="F567" s="460">
        <v>0</v>
      </c>
      <c r="G567" s="460">
        <v>241.5</v>
      </c>
    </row>
    <row r="568" spans="2:9" ht="15" customHeight="1" x14ac:dyDescent="0.3">
      <c r="B568" s="455" t="s">
        <v>5726</v>
      </c>
      <c r="C568" s="459" t="s">
        <v>2309</v>
      </c>
      <c r="D568" s="460">
        <v>0</v>
      </c>
      <c r="E568" s="460">
        <v>0.84</v>
      </c>
      <c r="F568" s="460">
        <v>0.28000000000000003</v>
      </c>
      <c r="G568" s="460">
        <v>0.56000000000000005</v>
      </c>
    </row>
    <row r="569" spans="2:9" ht="15" customHeight="1" x14ac:dyDescent="0.3">
      <c r="B569" s="455" t="s">
        <v>5727</v>
      </c>
      <c r="C569" s="456" t="s">
        <v>5728</v>
      </c>
      <c r="D569" s="462">
        <v>0</v>
      </c>
      <c r="E569" s="457">
        <v>195474.67</v>
      </c>
      <c r="F569" s="462">
        <v>0</v>
      </c>
      <c r="G569" s="645">
        <v>195474.67</v>
      </c>
    </row>
    <row r="570" spans="2:9" ht="15" customHeight="1" x14ac:dyDescent="0.3">
      <c r="B570" s="455" t="s">
        <v>5729</v>
      </c>
      <c r="C570" s="459" t="s">
        <v>5730</v>
      </c>
      <c r="D570" s="460">
        <v>0</v>
      </c>
      <c r="E570" s="461">
        <v>9810</v>
      </c>
      <c r="F570" s="460">
        <v>0</v>
      </c>
      <c r="G570" s="461">
        <v>9810</v>
      </c>
    </row>
    <row r="571" spans="2:9" ht="15" customHeight="1" x14ac:dyDescent="0.3">
      <c r="B571" s="455" t="s">
        <v>5731</v>
      </c>
      <c r="C571" s="459" t="s">
        <v>5732</v>
      </c>
      <c r="D571" s="460">
        <v>0</v>
      </c>
      <c r="E571" s="461">
        <v>185664.67</v>
      </c>
      <c r="F571" s="460">
        <v>0</v>
      </c>
      <c r="G571" s="461">
        <v>185664.67</v>
      </c>
    </row>
    <row r="572" spans="2:9" ht="15" customHeight="1" x14ac:dyDescent="0.3">
      <c r="B572" s="455" t="s">
        <v>5733</v>
      </c>
      <c r="C572" s="456" t="s">
        <v>1693</v>
      </c>
      <c r="D572" s="462">
        <v>0</v>
      </c>
      <c r="E572" s="457">
        <v>70320988.689999998</v>
      </c>
      <c r="F572" s="457">
        <v>2882267.05</v>
      </c>
      <c r="G572" s="457">
        <v>67438721.640000001</v>
      </c>
    </row>
    <row r="573" spans="2:9" ht="15" customHeight="1" x14ac:dyDescent="0.3">
      <c r="B573" s="455" t="s">
        <v>5734</v>
      </c>
      <c r="C573" s="456" t="s">
        <v>1696</v>
      </c>
      <c r="D573" s="462">
        <v>0</v>
      </c>
      <c r="E573" s="457">
        <v>70309777.989999995</v>
      </c>
      <c r="F573" s="457">
        <v>2875409.94</v>
      </c>
      <c r="G573" s="457">
        <v>67434368.049999997</v>
      </c>
    </row>
    <row r="574" spans="2:9" ht="15" customHeight="1" x14ac:dyDescent="0.3">
      <c r="B574" s="455" t="s">
        <v>5735</v>
      </c>
      <c r="C574" s="456" t="s">
        <v>1698</v>
      </c>
      <c r="D574" s="462">
        <v>0</v>
      </c>
      <c r="E574" s="457">
        <v>25947714.43</v>
      </c>
      <c r="F574" s="457">
        <v>791427.79</v>
      </c>
      <c r="G574" s="457">
        <v>25156286.640000001</v>
      </c>
      <c r="I574" s="458" t="s">
        <v>3604</v>
      </c>
    </row>
    <row r="575" spans="2:9" ht="15" customHeight="1" x14ac:dyDescent="0.3">
      <c r="B575" s="455" t="s">
        <v>5736</v>
      </c>
      <c r="C575" s="459" t="s">
        <v>1701</v>
      </c>
      <c r="D575" s="460">
        <v>0</v>
      </c>
      <c r="E575" s="461">
        <v>900050.44</v>
      </c>
      <c r="F575" s="460">
        <v>838.7</v>
      </c>
      <c r="G575" s="461">
        <v>899211.74</v>
      </c>
    </row>
    <row r="576" spans="2:9" ht="15" customHeight="1" x14ac:dyDescent="0.3">
      <c r="B576" s="455" t="s">
        <v>5737</v>
      </c>
      <c r="C576" s="459" t="s">
        <v>1704</v>
      </c>
      <c r="D576" s="460">
        <v>0</v>
      </c>
      <c r="E576" s="461">
        <v>628072.87</v>
      </c>
      <c r="F576" s="461">
        <v>22135.56</v>
      </c>
      <c r="G576" s="461">
        <v>605937.31000000006</v>
      </c>
    </row>
    <row r="577" spans="2:7" ht="15" customHeight="1" x14ac:dyDescent="0.3">
      <c r="B577" s="455" t="s">
        <v>5738</v>
      </c>
      <c r="C577" s="459" t="s">
        <v>1707</v>
      </c>
      <c r="D577" s="460">
        <v>0</v>
      </c>
      <c r="E577" s="461">
        <v>35385.93</v>
      </c>
      <c r="F577" s="461">
        <v>18390.32</v>
      </c>
      <c r="G577" s="461">
        <v>16995.61</v>
      </c>
    </row>
    <row r="578" spans="2:7" ht="15" customHeight="1" x14ac:dyDescent="0.3">
      <c r="B578" s="455" t="s">
        <v>5739</v>
      </c>
      <c r="C578" s="459" t="s">
        <v>1710</v>
      </c>
      <c r="D578" s="460">
        <v>0</v>
      </c>
      <c r="E578" s="461">
        <v>177925.43</v>
      </c>
      <c r="F578" s="460">
        <v>759.36</v>
      </c>
      <c r="G578" s="461">
        <v>177166.07</v>
      </c>
    </row>
    <row r="579" spans="2:7" ht="15" customHeight="1" x14ac:dyDescent="0.3">
      <c r="B579" s="455" t="s">
        <v>5740</v>
      </c>
      <c r="C579" s="459" t="s">
        <v>1713</v>
      </c>
      <c r="D579" s="460">
        <v>0</v>
      </c>
      <c r="E579" s="461">
        <v>13671.63</v>
      </c>
      <c r="F579" s="460">
        <v>0</v>
      </c>
      <c r="G579" s="461">
        <v>13671.63</v>
      </c>
    </row>
    <row r="580" spans="2:7" ht="15" customHeight="1" x14ac:dyDescent="0.3">
      <c r="B580" s="455" t="s">
        <v>5741</v>
      </c>
      <c r="C580" s="459" t="s">
        <v>3605</v>
      </c>
      <c r="D580" s="460">
        <v>0</v>
      </c>
      <c r="E580" s="461">
        <v>99124.14</v>
      </c>
      <c r="F580" s="460">
        <v>0</v>
      </c>
      <c r="G580" s="461">
        <v>99124.14</v>
      </c>
    </row>
    <row r="581" spans="2:7" ht="15" customHeight="1" x14ac:dyDescent="0.3">
      <c r="B581" s="455" t="s">
        <v>5742</v>
      </c>
      <c r="C581" s="459" t="s">
        <v>1716</v>
      </c>
      <c r="D581" s="460">
        <v>0</v>
      </c>
      <c r="E581" s="461">
        <v>7490336.9100000001</v>
      </c>
      <c r="F581" s="460">
        <v>393.55</v>
      </c>
      <c r="G581" s="461">
        <v>7489943.3600000003</v>
      </c>
    </row>
    <row r="582" spans="2:7" ht="15" customHeight="1" x14ac:dyDescent="0.3">
      <c r="B582" s="455" t="s">
        <v>5743</v>
      </c>
      <c r="C582" s="459" t="s">
        <v>5744</v>
      </c>
      <c r="D582" s="460">
        <v>0</v>
      </c>
      <c r="E582" s="461">
        <v>5148.5</v>
      </c>
      <c r="F582" s="460">
        <v>0</v>
      </c>
      <c r="G582" s="461">
        <v>5148.5</v>
      </c>
    </row>
    <row r="583" spans="2:7" ht="15" customHeight="1" x14ac:dyDescent="0.3">
      <c r="B583" s="455" t="s">
        <v>5745</v>
      </c>
      <c r="C583" s="459" t="s">
        <v>1719</v>
      </c>
      <c r="D583" s="460">
        <v>0</v>
      </c>
      <c r="E583" s="461">
        <v>2961378.81</v>
      </c>
      <c r="F583" s="461">
        <v>112319.39</v>
      </c>
      <c r="G583" s="461">
        <v>2849059.42</v>
      </c>
    </row>
    <row r="584" spans="2:7" ht="15" customHeight="1" x14ac:dyDescent="0.3">
      <c r="B584" s="455" t="s">
        <v>5746</v>
      </c>
      <c r="C584" s="459" t="s">
        <v>1722</v>
      </c>
      <c r="D584" s="460">
        <v>0</v>
      </c>
      <c r="E584" s="461">
        <v>148258.81</v>
      </c>
      <c r="F584" s="461">
        <v>13411.48</v>
      </c>
      <c r="G584" s="461">
        <v>134847.32999999999</v>
      </c>
    </row>
    <row r="585" spans="2:7" ht="15" customHeight="1" x14ac:dyDescent="0.3">
      <c r="B585" s="455" t="s">
        <v>5747</v>
      </c>
      <c r="C585" s="459" t="s">
        <v>1725</v>
      </c>
      <c r="D585" s="460">
        <v>0</v>
      </c>
      <c r="E585" s="461">
        <v>1471895.8</v>
      </c>
      <c r="F585" s="460">
        <v>0</v>
      </c>
      <c r="G585" s="461">
        <v>1471895.8</v>
      </c>
    </row>
    <row r="586" spans="2:7" ht="15" customHeight="1" x14ac:dyDescent="0.3">
      <c r="B586" s="455" t="s">
        <v>5748</v>
      </c>
      <c r="C586" s="459" t="s">
        <v>1728</v>
      </c>
      <c r="D586" s="460">
        <v>0</v>
      </c>
      <c r="E586" s="461">
        <v>10507205.02</v>
      </c>
      <c r="F586" s="461">
        <v>471557.07</v>
      </c>
      <c r="G586" s="461">
        <v>10035647.949999999</v>
      </c>
    </row>
    <row r="587" spans="2:7" ht="15" customHeight="1" x14ac:dyDescent="0.3">
      <c r="B587" s="455" t="s">
        <v>5749</v>
      </c>
      <c r="C587" s="459" t="s">
        <v>3608</v>
      </c>
      <c r="D587" s="460">
        <v>0</v>
      </c>
      <c r="E587" s="461">
        <v>3562.6</v>
      </c>
      <c r="F587" s="460">
        <v>807.13</v>
      </c>
      <c r="G587" s="461">
        <v>2755.47</v>
      </c>
    </row>
    <row r="588" spans="2:7" ht="15" customHeight="1" x14ac:dyDescent="0.3">
      <c r="B588" s="455" t="s">
        <v>5750</v>
      </c>
      <c r="C588" s="459" t="s">
        <v>1731</v>
      </c>
      <c r="D588" s="460">
        <v>0</v>
      </c>
      <c r="E588" s="461">
        <v>195137.21</v>
      </c>
      <c r="F588" s="461">
        <v>83712.2</v>
      </c>
      <c r="G588" s="461">
        <v>111425.01</v>
      </c>
    </row>
    <row r="589" spans="2:7" ht="15" customHeight="1" x14ac:dyDescent="0.3">
      <c r="B589" s="455" t="s">
        <v>5751</v>
      </c>
      <c r="C589" s="459" t="s">
        <v>1734</v>
      </c>
      <c r="D589" s="460">
        <v>0</v>
      </c>
      <c r="E589" s="461">
        <v>649449.44999999995</v>
      </c>
      <c r="F589" s="460">
        <v>914.76</v>
      </c>
      <c r="G589" s="461">
        <v>648534.68999999994</v>
      </c>
    </row>
    <row r="590" spans="2:7" ht="15" customHeight="1" x14ac:dyDescent="0.3">
      <c r="B590" s="455" t="s">
        <v>5752</v>
      </c>
      <c r="C590" s="459" t="s">
        <v>5753</v>
      </c>
      <c r="D590" s="460">
        <v>0</v>
      </c>
      <c r="E590" s="461">
        <v>547792.21</v>
      </c>
      <c r="F590" s="461">
        <v>60438.35</v>
      </c>
      <c r="G590" s="461">
        <v>487353.86</v>
      </c>
    </row>
    <row r="591" spans="2:7" ht="15" customHeight="1" x14ac:dyDescent="0.3">
      <c r="B591" s="455" t="s">
        <v>5754</v>
      </c>
      <c r="C591" s="459" t="s">
        <v>5755</v>
      </c>
      <c r="D591" s="460">
        <v>0</v>
      </c>
      <c r="E591" s="461">
        <v>7862.45</v>
      </c>
      <c r="F591" s="460">
        <v>0</v>
      </c>
      <c r="G591" s="461">
        <v>7862.45</v>
      </c>
    </row>
    <row r="592" spans="2:7" ht="15" customHeight="1" x14ac:dyDescent="0.3">
      <c r="B592" s="455" t="s">
        <v>5756</v>
      </c>
      <c r="C592" s="459" t="s">
        <v>1740</v>
      </c>
      <c r="D592" s="460">
        <v>0</v>
      </c>
      <c r="E592" s="461">
        <v>96751.13</v>
      </c>
      <c r="F592" s="461">
        <v>5749.92</v>
      </c>
      <c r="G592" s="461">
        <v>91001.21</v>
      </c>
    </row>
    <row r="593" spans="2:9" ht="15" customHeight="1" x14ac:dyDescent="0.3">
      <c r="B593" s="455" t="s">
        <v>5757</v>
      </c>
      <c r="C593" s="459" t="s">
        <v>5758</v>
      </c>
      <c r="D593" s="460">
        <v>0</v>
      </c>
      <c r="E593" s="461">
        <v>8705.09</v>
      </c>
      <c r="F593" s="460">
        <v>0</v>
      </c>
      <c r="G593" s="461">
        <v>8705.09</v>
      </c>
    </row>
    <row r="594" spans="2:9" ht="15" customHeight="1" x14ac:dyDescent="0.3">
      <c r="B594" s="455" t="s">
        <v>5759</v>
      </c>
      <c r="C594" s="456" t="s">
        <v>1743</v>
      </c>
      <c r="D594" s="462">
        <v>0</v>
      </c>
      <c r="E594" s="457">
        <v>8211161.4299999997</v>
      </c>
      <c r="F594" s="457">
        <v>188853.39</v>
      </c>
      <c r="G594" s="457">
        <v>8022308.04</v>
      </c>
      <c r="I594" s="458" t="s">
        <v>3604</v>
      </c>
    </row>
    <row r="595" spans="2:9" ht="15" customHeight="1" x14ac:dyDescent="0.3">
      <c r="B595" s="455" t="s">
        <v>5760</v>
      </c>
      <c r="C595" s="459" t="s">
        <v>1745</v>
      </c>
      <c r="D595" s="460">
        <v>0</v>
      </c>
      <c r="E595" s="461">
        <v>1807295.35</v>
      </c>
      <c r="F595" s="461">
        <v>106798.11</v>
      </c>
      <c r="G595" s="461">
        <v>1700497.24</v>
      </c>
    </row>
    <row r="596" spans="2:9" ht="15" customHeight="1" x14ac:dyDescent="0.3">
      <c r="B596" s="455" t="s">
        <v>5761</v>
      </c>
      <c r="C596" s="459" t="s">
        <v>1748</v>
      </c>
      <c r="D596" s="460">
        <v>0</v>
      </c>
      <c r="E596" s="461">
        <v>5882301.9199999999</v>
      </c>
      <c r="F596" s="461">
        <v>82055.28</v>
      </c>
      <c r="G596" s="461">
        <v>5800246.6399999997</v>
      </c>
    </row>
    <row r="597" spans="2:9" ht="15" customHeight="1" x14ac:dyDescent="0.3">
      <c r="B597" s="455" t="s">
        <v>5762</v>
      </c>
      <c r="C597" s="459" t="s">
        <v>1751</v>
      </c>
      <c r="D597" s="460">
        <v>0</v>
      </c>
      <c r="E597" s="461">
        <v>312948.46000000002</v>
      </c>
      <c r="F597" s="460">
        <v>0</v>
      </c>
      <c r="G597" s="461">
        <v>312948.46000000002</v>
      </c>
    </row>
    <row r="598" spans="2:9" ht="15" customHeight="1" x14ac:dyDescent="0.3">
      <c r="B598" s="455" t="s">
        <v>5763</v>
      </c>
      <c r="C598" s="459" t="s">
        <v>1754</v>
      </c>
      <c r="D598" s="460">
        <v>0</v>
      </c>
      <c r="E598" s="461">
        <v>208615.7</v>
      </c>
      <c r="F598" s="460">
        <v>0</v>
      </c>
      <c r="G598" s="461">
        <v>208615.7</v>
      </c>
    </row>
    <row r="599" spans="2:9" ht="15" customHeight="1" x14ac:dyDescent="0.3">
      <c r="B599" s="455" t="s">
        <v>5764</v>
      </c>
      <c r="C599" s="456" t="s">
        <v>1757</v>
      </c>
      <c r="D599" s="462">
        <v>0</v>
      </c>
      <c r="E599" s="457">
        <v>25924246.690000001</v>
      </c>
      <c r="F599" s="457">
        <v>1403494.34</v>
      </c>
      <c r="G599" s="457">
        <v>24520752.350000001</v>
      </c>
      <c r="I599" s="458" t="s">
        <v>3604</v>
      </c>
    </row>
    <row r="600" spans="2:9" ht="15" customHeight="1" x14ac:dyDescent="0.3">
      <c r="B600" s="455" t="s">
        <v>5765</v>
      </c>
      <c r="C600" s="459" t="s">
        <v>1760</v>
      </c>
      <c r="D600" s="460">
        <v>0</v>
      </c>
      <c r="E600" s="461">
        <v>3852699.29</v>
      </c>
      <c r="F600" s="460">
        <v>0</v>
      </c>
      <c r="G600" s="461">
        <v>3852699.29</v>
      </c>
    </row>
    <row r="601" spans="2:9" ht="15" customHeight="1" x14ac:dyDescent="0.3">
      <c r="B601" s="455" t="s">
        <v>5766</v>
      </c>
      <c r="C601" s="459" t="s">
        <v>1763</v>
      </c>
      <c r="D601" s="460">
        <v>0</v>
      </c>
      <c r="E601" s="461">
        <v>845734.97</v>
      </c>
      <c r="F601" s="460">
        <v>0</v>
      </c>
      <c r="G601" s="461">
        <v>845734.97</v>
      </c>
    </row>
    <row r="602" spans="2:9" ht="15" customHeight="1" x14ac:dyDescent="0.3">
      <c r="B602" s="455" t="s">
        <v>5767</v>
      </c>
      <c r="C602" s="459" t="s">
        <v>1766</v>
      </c>
      <c r="D602" s="460">
        <v>0</v>
      </c>
      <c r="E602" s="461">
        <v>1749079.78</v>
      </c>
      <c r="F602" s="460">
        <v>0</v>
      </c>
      <c r="G602" s="461">
        <v>1749079.78</v>
      </c>
    </row>
    <row r="603" spans="2:9" ht="15" customHeight="1" x14ac:dyDescent="0.3">
      <c r="B603" s="455" t="s">
        <v>5768</v>
      </c>
      <c r="C603" s="459" t="s">
        <v>1769</v>
      </c>
      <c r="D603" s="460">
        <v>0</v>
      </c>
      <c r="E603" s="461">
        <v>431294.41</v>
      </c>
      <c r="F603" s="461">
        <v>182024.42</v>
      </c>
      <c r="G603" s="461">
        <v>249269.99</v>
      </c>
    </row>
    <row r="604" spans="2:9" ht="15" customHeight="1" x14ac:dyDescent="0.3">
      <c r="B604" s="455" t="s">
        <v>5769</v>
      </c>
      <c r="C604" s="459" t="s">
        <v>1772</v>
      </c>
      <c r="D604" s="460">
        <v>0</v>
      </c>
      <c r="E604" s="461">
        <v>10354295.789999999</v>
      </c>
      <c r="F604" s="461">
        <v>1051062.47</v>
      </c>
      <c r="G604" s="461">
        <v>9303233.3200000003</v>
      </c>
    </row>
    <row r="605" spans="2:9" ht="15" customHeight="1" x14ac:dyDescent="0.3">
      <c r="B605" s="455" t="s">
        <v>5770</v>
      </c>
      <c r="C605" s="459" t="s">
        <v>1775</v>
      </c>
      <c r="D605" s="460">
        <v>0</v>
      </c>
      <c r="E605" s="461">
        <v>8691142.4499999993</v>
      </c>
      <c r="F605" s="461">
        <v>170407.45</v>
      </c>
      <c r="G605" s="461">
        <v>8520735</v>
      </c>
    </row>
    <row r="606" spans="2:9" ht="15" customHeight="1" x14ac:dyDescent="0.3">
      <c r="B606" s="455" t="s">
        <v>5771</v>
      </c>
      <c r="C606" s="456" t="s">
        <v>1778</v>
      </c>
      <c r="D606" s="462">
        <v>0</v>
      </c>
      <c r="E606" s="457">
        <v>9320020.7200000007</v>
      </c>
      <c r="F606" s="457">
        <v>474792.75</v>
      </c>
      <c r="G606" s="457">
        <v>8845227.9700000007</v>
      </c>
      <c r="I606" s="458" t="s">
        <v>3604</v>
      </c>
    </row>
    <row r="607" spans="2:9" ht="15" customHeight="1" x14ac:dyDescent="0.3">
      <c r="B607" s="455" t="s">
        <v>5772</v>
      </c>
      <c r="C607" s="459" t="s">
        <v>1781</v>
      </c>
      <c r="D607" s="460">
        <v>0</v>
      </c>
      <c r="E607" s="461">
        <v>108952.41</v>
      </c>
      <c r="F607" s="460">
        <v>0</v>
      </c>
      <c r="G607" s="461">
        <v>108952.41</v>
      </c>
    </row>
    <row r="608" spans="2:9" ht="15" customHeight="1" x14ac:dyDescent="0.3">
      <c r="B608" s="455" t="s">
        <v>5773</v>
      </c>
      <c r="C608" s="459" t="s">
        <v>1784</v>
      </c>
      <c r="D608" s="460">
        <v>0</v>
      </c>
      <c r="E608" s="461">
        <v>250759.85</v>
      </c>
      <c r="F608" s="461">
        <v>18951.919999999998</v>
      </c>
      <c r="G608" s="461">
        <v>231807.93</v>
      </c>
    </row>
    <row r="609" spans="2:7" ht="15" customHeight="1" x14ac:dyDescent="0.3">
      <c r="B609" s="455" t="s">
        <v>5774</v>
      </c>
      <c r="C609" s="459" t="s">
        <v>5775</v>
      </c>
      <c r="D609" s="460">
        <v>0</v>
      </c>
      <c r="E609" s="461">
        <v>8379.98</v>
      </c>
      <c r="F609" s="460">
        <v>0</v>
      </c>
      <c r="G609" s="461">
        <v>8379.98</v>
      </c>
    </row>
    <row r="610" spans="2:7" ht="15" customHeight="1" x14ac:dyDescent="0.3">
      <c r="B610" s="455" t="s">
        <v>5776</v>
      </c>
      <c r="C610" s="459" t="s">
        <v>1790</v>
      </c>
      <c r="D610" s="460">
        <v>0</v>
      </c>
      <c r="E610" s="461">
        <v>966466.15</v>
      </c>
      <c r="F610" s="461">
        <v>60790.73</v>
      </c>
      <c r="G610" s="461">
        <v>905675.42</v>
      </c>
    </row>
    <row r="611" spans="2:7" ht="15" customHeight="1" x14ac:dyDescent="0.3">
      <c r="B611" s="455" t="s">
        <v>5777</v>
      </c>
      <c r="C611" s="459" t="s">
        <v>5778</v>
      </c>
      <c r="D611" s="460">
        <v>0</v>
      </c>
      <c r="E611" s="461">
        <v>818574.81</v>
      </c>
      <c r="F611" s="460">
        <v>0</v>
      </c>
      <c r="G611" s="461">
        <v>818574.81</v>
      </c>
    </row>
    <row r="612" spans="2:7" ht="15" customHeight="1" x14ac:dyDescent="0.3">
      <c r="B612" s="455" t="s">
        <v>5779</v>
      </c>
      <c r="C612" s="459" t="s">
        <v>1796</v>
      </c>
      <c r="D612" s="460">
        <v>0</v>
      </c>
      <c r="E612" s="461">
        <v>260462.57</v>
      </c>
      <c r="F612" s="460">
        <v>0</v>
      </c>
      <c r="G612" s="461">
        <v>260462.57</v>
      </c>
    </row>
    <row r="613" spans="2:7" ht="15" customHeight="1" x14ac:dyDescent="0.3">
      <c r="B613" s="455" t="s">
        <v>5780</v>
      </c>
      <c r="C613" s="459" t="s">
        <v>1799</v>
      </c>
      <c r="D613" s="460">
        <v>0</v>
      </c>
      <c r="E613" s="460">
        <v>26.72</v>
      </c>
      <c r="F613" s="460">
        <v>0</v>
      </c>
      <c r="G613" s="460">
        <v>26.72</v>
      </c>
    </row>
    <row r="614" spans="2:7" ht="15" customHeight="1" x14ac:dyDescent="0.3">
      <c r="B614" s="455" t="s">
        <v>5781</v>
      </c>
      <c r="C614" s="459" t="s">
        <v>1802</v>
      </c>
      <c r="D614" s="460">
        <v>0</v>
      </c>
      <c r="E614" s="461">
        <v>34700.01</v>
      </c>
      <c r="F614" s="461">
        <v>3942.72</v>
      </c>
      <c r="G614" s="461">
        <v>30757.29</v>
      </c>
    </row>
    <row r="615" spans="2:7" ht="15" customHeight="1" x14ac:dyDescent="0.3">
      <c r="B615" s="455" t="s">
        <v>5782</v>
      </c>
      <c r="C615" s="459" t="s">
        <v>1808</v>
      </c>
      <c r="D615" s="460">
        <v>0</v>
      </c>
      <c r="E615" s="461">
        <v>27906.52</v>
      </c>
      <c r="F615" s="460">
        <v>0</v>
      </c>
      <c r="G615" s="461">
        <v>27906.52</v>
      </c>
    </row>
    <row r="616" spans="2:7" ht="15" customHeight="1" x14ac:dyDescent="0.3">
      <c r="B616" s="455" t="s">
        <v>5783</v>
      </c>
      <c r="C616" s="459" t="s">
        <v>3614</v>
      </c>
      <c r="D616" s="460">
        <v>0</v>
      </c>
      <c r="E616" s="461">
        <v>70197.23</v>
      </c>
      <c r="F616" s="461">
        <v>7960</v>
      </c>
      <c r="G616" s="461">
        <v>62237.23</v>
      </c>
    </row>
    <row r="617" spans="2:7" ht="15" customHeight="1" x14ac:dyDescent="0.3">
      <c r="B617" s="455" t="s">
        <v>5784</v>
      </c>
      <c r="C617" s="459" t="s">
        <v>1814</v>
      </c>
      <c r="D617" s="460">
        <v>0</v>
      </c>
      <c r="E617" s="461">
        <v>177023.94</v>
      </c>
      <c r="F617" s="461">
        <v>3266.01</v>
      </c>
      <c r="G617" s="461">
        <v>173757.93</v>
      </c>
    </row>
    <row r="618" spans="2:7" ht="15" customHeight="1" x14ac:dyDescent="0.3">
      <c r="B618" s="455" t="s">
        <v>5785</v>
      </c>
      <c r="C618" s="459" t="s">
        <v>5786</v>
      </c>
      <c r="D618" s="460">
        <v>0</v>
      </c>
      <c r="E618" s="461">
        <v>9115.4</v>
      </c>
      <c r="F618" s="460">
        <v>0</v>
      </c>
      <c r="G618" s="461">
        <v>9115.4</v>
      </c>
    </row>
    <row r="619" spans="2:7" ht="15" customHeight="1" x14ac:dyDescent="0.3">
      <c r="B619" s="493" t="s">
        <v>5787</v>
      </c>
      <c r="C619" s="494" t="s">
        <v>1817</v>
      </c>
      <c r="D619" s="495">
        <v>0</v>
      </c>
      <c r="E619" s="496">
        <v>281747.84999999998</v>
      </c>
      <c r="F619" s="495">
        <v>197.12</v>
      </c>
      <c r="G619" s="496">
        <v>281550.73</v>
      </c>
    </row>
    <row r="620" spans="2:7" ht="15" customHeight="1" x14ac:dyDescent="0.3">
      <c r="B620" s="455" t="s">
        <v>5788</v>
      </c>
      <c r="C620" s="459" t="s">
        <v>1819</v>
      </c>
      <c r="D620" s="460">
        <v>0</v>
      </c>
      <c r="E620" s="461">
        <v>33824.01</v>
      </c>
      <c r="F620" s="460">
        <v>0</v>
      </c>
      <c r="G620" s="461">
        <v>33824.01</v>
      </c>
    </row>
    <row r="621" spans="2:7" ht="15" customHeight="1" x14ac:dyDescent="0.3">
      <c r="B621" s="455" t="s">
        <v>5789</v>
      </c>
      <c r="C621" s="459" t="s">
        <v>1822</v>
      </c>
      <c r="D621" s="460">
        <v>0</v>
      </c>
      <c r="E621" s="461">
        <v>23293.88</v>
      </c>
      <c r="F621" s="460">
        <v>0</v>
      </c>
      <c r="G621" s="461">
        <v>23293.88</v>
      </c>
    </row>
    <row r="622" spans="2:7" ht="15" customHeight="1" x14ac:dyDescent="0.3">
      <c r="B622" s="455" t="s">
        <v>5790</v>
      </c>
      <c r="C622" s="459" t="s">
        <v>1825</v>
      </c>
      <c r="D622" s="460">
        <v>0</v>
      </c>
      <c r="E622" s="461">
        <v>47036.88</v>
      </c>
      <c r="F622" s="460">
        <v>0</v>
      </c>
      <c r="G622" s="461">
        <v>47036.88</v>
      </c>
    </row>
    <row r="623" spans="2:7" ht="15" customHeight="1" x14ac:dyDescent="0.3">
      <c r="B623" s="455" t="s">
        <v>5791</v>
      </c>
      <c r="C623" s="459" t="s">
        <v>1831</v>
      </c>
      <c r="D623" s="460">
        <v>0</v>
      </c>
      <c r="E623" s="461">
        <v>3050</v>
      </c>
      <c r="F623" s="460">
        <v>0</v>
      </c>
      <c r="G623" s="461">
        <v>3050</v>
      </c>
    </row>
    <row r="624" spans="2:7" ht="15" customHeight="1" x14ac:dyDescent="0.3">
      <c r="B624" s="455" t="s">
        <v>5792</v>
      </c>
      <c r="C624" s="459" t="s">
        <v>1834</v>
      </c>
      <c r="D624" s="460">
        <v>0</v>
      </c>
      <c r="E624" s="461">
        <v>8395.17</v>
      </c>
      <c r="F624" s="460">
        <v>0</v>
      </c>
      <c r="G624" s="461">
        <v>8395.17</v>
      </c>
    </row>
    <row r="625" spans="2:9" ht="15" customHeight="1" x14ac:dyDescent="0.3">
      <c r="B625" s="455" t="s">
        <v>5793</v>
      </c>
      <c r="C625" s="459" t="s">
        <v>1837</v>
      </c>
      <c r="D625" s="460">
        <v>0</v>
      </c>
      <c r="E625" s="461">
        <v>36145.26</v>
      </c>
      <c r="F625" s="461">
        <v>5927.54</v>
      </c>
      <c r="G625" s="461">
        <v>30217.72</v>
      </c>
    </row>
    <row r="626" spans="2:9" ht="15" customHeight="1" x14ac:dyDescent="0.3">
      <c r="B626" s="455" t="s">
        <v>5794</v>
      </c>
      <c r="C626" s="459" t="s">
        <v>1840</v>
      </c>
      <c r="D626" s="460">
        <v>0</v>
      </c>
      <c r="E626" s="461">
        <v>56138.8</v>
      </c>
      <c r="F626" s="460">
        <v>0</v>
      </c>
      <c r="G626" s="461">
        <v>56138.8</v>
      </c>
    </row>
    <row r="627" spans="2:9" ht="15" customHeight="1" x14ac:dyDescent="0.3">
      <c r="B627" s="455" t="s">
        <v>5795</v>
      </c>
      <c r="C627" s="459" t="s">
        <v>5796</v>
      </c>
      <c r="D627" s="460">
        <v>0</v>
      </c>
      <c r="E627" s="460">
        <v>584.53</v>
      </c>
      <c r="F627" s="460">
        <v>0</v>
      </c>
      <c r="G627" s="460">
        <v>584.53</v>
      </c>
    </row>
    <row r="628" spans="2:9" ht="15" customHeight="1" x14ac:dyDescent="0.3">
      <c r="B628" s="455" t="s">
        <v>5797</v>
      </c>
      <c r="C628" s="459" t="s">
        <v>5798</v>
      </c>
      <c r="D628" s="460">
        <v>0</v>
      </c>
      <c r="E628" s="461">
        <v>39129.449999999997</v>
      </c>
      <c r="F628" s="460">
        <v>0</v>
      </c>
      <c r="G628" s="461">
        <v>39129.449999999997</v>
      </c>
    </row>
    <row r="629" spans="2:9" ht="15" customHeight="1" x14ac:dyDescent="0.3">
      <c r="B629" s="455" t="s">
        <v>5799</v>
      </c>
      <c r="C629" s="459" t="s">
        <v>1843</v>
      </c>
      <c r="D629" s="460">
        <v>0</v>
      </c>
      <c r="E629" s="461">
        <v>168833.69</v>
      </c>
      <c r="F629" s="461">
        <v>1678.82</v>
      </c>
      <c r="G629" s="461">
        <v>167154.87</v>
      </c>
    </row>
    <row r="630" spans="2:9" ht="15" customHeight="1" x14ac:dyDescent="0.3">
      <c r="B630" s="455" t="s">
        <v>5800</v>
      </c>
      <c r="C630" s="459" t="s">
        <v>3622</v>
      </c>
      <c r="D630" s="460">
        <v>0</v>
      </c>
      <c r="E630" s="461">
        <v>762306.03</v>
      </c>
      <c r="F630" s="460">
        <v>0</v>
      </c>
      <c r="G630" s="461">
        <v>762306.03</v>
      </c>
    </row>
    <row r="631" spans="2:9" ht="15" customHeight="1" x14ac:dyDescent="0.3">
      <c r="B631" s="455" t="s">
        <v>5801</v>
      </c>
      <c r="C631" s="459" t="s">
        <v>5802</v>
      </c>
      <c r="D631" s="460">
        <v>0</v>
      </c>
      <c r="E631" s="461">
        <v>204036.58</v>
      </c>
      <c r="F631" s="461">
        <v>23548.560000000001</v>
      </c>
      <c r="G631" s="461">
        <v>180488.02</v>
      </c>
    </row>
    <row r="632" spans="2:9" ht="15" customHeight="1" x14ac:dyDescent="0.3">
      <c r="B632" s="455" t="s">
        <v>5803</v>
      </c>
      <c r="C632" s="459" t="s">
        <v>1849</v>
      </c>
      <c r="D632" s="460">
        <v>0</v>
      </c>
      <c r="E632" s="461">
        <v>111576.25</v>
      </c>
      <c r="F632" s="461">
        <v>1488.89</v>
      </c>
      <c r="G632" s="461">
        <v>110087.36</v>
      </c>
    </row>
    <row r="633" spans="2:9" ht="15" customHeight="1" x14ac:dyDescent="0.3">
      <c r="B633" s="455" t="s">
        <v>5804</v>
      </c>
      <c r="C633" s="459" t="s">
        <v>5805</v>
      </c>
      <c r="D633" s="460">
        <v>0</v>
      </c>
      <c r="E633" s="461">
        <v>780165</v>
      </c>
      <c r="F633" s="460">
        <v>0</v>
      </c>
      <c r="G633" s="461">
        <v>780165</v>
      </c>
    </row>
    <row r="634" spans="2:9" ht="15" customHeight="1" x14ac:dyDescent="0.3">
      <c r="B634" s="455" t="s">
        <v>5806</v>
      </c>
      <c r="C634" s="459" t="s">
        <v>1852</v>
      </c>
      <c r="D634" s="460">
        <v>0</v>
      </c>
      <c r="E634" s="461">
        <v>322828.61</v>
      </c>
      <c r="F634" s="461">
        <v>26504.77</v>
      </c>
      <c r="G634" s="461">
        <v>296323.84000000003</v>
      </c>
    </row>
    <row r="635" spans="2:9" ht="15" customHeight="1" x14ac:dyDescent="0.3">
      <c r="B635" s="455" t="s">
        <v>5807</v>
      </c>
      <c r="C635" s="459" t="s">
        <v>5808</v>
      </c>
      <c r="D635" s="460">
        <v>0</v>
      </c>
      <c r="E635" s="461">
        <v>18799.8</v>
      </c>
      <c r="F635" s="460">
        <v>0</v>
      </c>
      <c r="G635" s="461">
        <v>18799.8</v>
      </c>
    </row>
    <row r="636" spans="2:9" ht="15" customHeight="1" x14ac:dyDescent="0.3">
      <c r="B636" s="455" t="s">
        <v>5809</v>
      </c>
      <c r="C636" s="459" t="s">
        <v>3625</v>
      </c>
      <c r="D636" s="460">
        <v>0</v>
      </c>
      <c r="E636" s="461">
        <v>21203.87</v>
      </c>
      <c r="F636" s="460">
        <v>0</v>
      </c>
      <c r="G636" s="461">
        <v>21203.87</v>
      </c>
    </row>
    <row r="637" spans="2:9" ht="15" customHeight="1" x14ac:dyDescent="0.3">
      <c r="B637" s="455" t="s">
        <v>5810</v>
      </c>
      <c r="C637" s="459" t="s">
        <v>3626</v>
      </c>
      <c r="D637" s="460">
        <v>0</v>
      </c>
      <c r="E637" s="461">
        <v>3610533.72</v>
      </c>
      <c r="F637" s="461">
        <v>320535.67</v>
      </c>
      <c r="G637" s="461">
        <v>3289998.05</v>
      </c>
    </row>
    <row r="638" spans="2:9" ht="15" customHeight="1" x14ac:dyDescent="0.3">
      <c r="B638" s="455" t="s">
        <v>5811</v>
      </c>
      <c r="C638" s="459" t="s">
        <v>5812</v>
      </c>
      <c r="D638" s="460">
        <v>0</v>
      </c>
      <c r="E638" s="461">
        <v>55425.75</v>
      </c>
      <c r="F638" s="460">
        <v>0</v>
      </c>
      <c r="G638" s="461">
        <v>55425.75</v>
      </c>
    </row>
    <row r="639" spans="2:9" ht="15" customHeight="1" x14ac:dyDescent="0.3">
      <c r="B639" s="455" t="s">
        <v>5813</v>
      </c>
      <c r="C639" s="459" t="s">
        <v>5814</v>
      </c>
      <c r="D639" s="460">
        <v>0</v>
      </c>
      <c r="E639" s="461">
        <v>2400</v>
      </c>
      <c r="F639" s="460">
        <v>0</v>
      </c>
      <c r="G639" s="461">
        <v>2400</v>
      </c>
    </row>
    <row r="640" spans="2:9" ht="15" customHeight="1" x14ac:dyDescent="0.3">
      <c r="B640" s="455" t="s">
        <v>5815</v>
      </c>
      <c r="C640" s="456" t="s">
        <v>1858</v>
      </c>
      <c r="D640" s="462">
        <v>0</v>
      </c>
      <c r="E640" s="457">
        <v>229129.73</v>
      </c>
      <c r="F640" s="462">
        <v>960.05</v>
      </c>
      <c r="G640" s="457">
        <v>228169.68</v>
      </c>
      <c r="I640" s="458" t="s">
        <v>3629</v>
      </c>
    </row>
    <row r="641" spans="2:9" ht="15" customHeight="1" x14ac:dyDescent="0.3">
      <c r="B641" s="455" t="s">
        <v>5816</v>
      </c>
      <c r="C641" s="459" t="s">
        <v>1865</v>
      </c>
      <c r="D641" s="460">
        <v>0</v>
      </c>
      <c r="E641" s="461">
        <v>17295.099999999999</v>
      </c>
      <c r="F641" s="460">
        <v>960.05</v>
      </c>
      <c r="G641" s="461">
        <v>16335.05</v>
      </c>
    </row>
    <row r="642" spans="2:9" ht="15" customHeight="1" x14ac:dyDescent="0.3">
      <c r="B642" s="455" t="s">
        <v>5817</v>
      </c>
      <c r="C642" s="459" t="s">
        <v>1868</v>
      </c>
      <c r="D642" s="460">
        <v>0</v>
      </c>
      <c r="E642" s="461">
        <v>211706.41</v>
      </c>
      <c r="F642" s="460">
        <v>0</v>
      </c>
      <c r="G642" s="461">
        <v>211706.41</v>
      </c>
    </row>
    <row r="643" spans="2:9" ht="15" customHeight="1" x14ac:dyDescent="0.3">
      <c r="B643" s="455" t="s">
        <v>5818</v>
      </c>
      <c r="C643" s="459" t="s">
        <v>1874</v>
      </c>
      <c r="D643" s="460">
        <v>0</v>
      </c>
      <c r="E643" s="460">
        <v>128.22</v>
      </c>
      <c r="F643" s="460">
        <v>0</v>
      </c>
      <c r="G643" s="460">
        <v>128.22</v>
      </c>
    </row>
    <row r="644" spans="2:9" ht="15" customHeight="1" x14ac:dyDescent="0.3">
      <c r="B644" s="455" t="s">
        <v>5819</v>
      </c>
      <c r="C644" s="456" t="s">
        <v>3631</v>
      </c>
      <c r="D644" s="462">
        <v>0</v>
      </c>
      <c r="E644" s="457">
        <v>112159.35</v>
      </c>
      <c r="F644" s="462">
        <v>0</v>
      </c>
      <c r="G644" s="457">
        <v>112159.35</v>
      </c>
      <c r="I644" s="458">
        <v>24</v>
      </c>
    </row>
    <row r="645" spans="2:9" ht="15" customHeight="1" x14ac:dyDescent="0.3">
      <c r="B645" s="455" t="s">
        <v>5820</v>
      </c>
      <c r="C645" s="459" t="s">
        <v>5821</v>
      </c>
      <c r="D645" s="460">
        <v>0</v>
      </c>
      <c r="E645" s="461">
        <v>85504.33</v>
      </c>
      <c r="F645" s="460">
        <v>0</v>
      </c>
      <c r="G645" s="461">
        <v>85504.33</v>
      </c>
    </row>
    <row r="646" spans="2:9" ht="15" customHeight="1" x14ac:dyDescent="0.3">
      <c r="B646" s="455" t="s">
        <v>5822</v>
      </c>
      <c r="C646" s="459" t="s">
        <v>5823</v>
      </c>
      <c r="D646" s="460">
        <v>0</v>
      </c>
      <c r="E646" s="461">
        <v>26655.02</v>
      </c>
      <c r="F646" s="460">
        <v>0</v>
      </c>
      <c r="G646" s="461">
        <v>26655.02</v>
      </c>
    </row>
    <row r="647" spans="2:9" ht="15" customHeight="1" x14ac:dyDescent="0.3">
      <c r="B647" s="455" t="s">
        <v>5824</v>
      </c>
      <c r="C647" s="456" t="s">
        <v>1880</v>
      </c>
      <c r="D647" s="462">
        <v>0</v>
      </c>
      <c r="E647" s="457">
        <v>565345.64</v>
      </c>
      <c r="F647" s="457">
        <v>15881.62</v>
      </c>
      <c r="G647" s="457">
        <v>549464.02</v>
      </c>
      <c r="I647" s="458">
        <v>24</v>
      </c>
    </row>
    <row r="648" spans="2:9" ht="15" customHeight="1" x14ac:dyDescent="0.3">
      <c r="B648" s="455" t="s">
        <v>5825</v>
      </c>
      <c r="C648" s="459" t="s">
        <v>1889</v>
      </c>
      <c r="D648" s="460">
        <v>0</v>
      </c>
      <c r="E648" s="461">
        <v>69325.11</v>
      </c>
      <c r="F648" s="460">
        <v>0</v>
      </c>
      <c r="G648" s="461">
        <v>69325.11</v>
      </c>
    </row>
    <row r="649" spans="2:9" ht="15" customHeight="1" x14ac:dyDescent="0.3">
      <c r="B649" s="455" t="s">
        <v>5826</v>
      </c>
      <c r="C649" s="459" t="s">
        <v>1892</v>
      </c>
      <c r="D649" s="460">
        <v>0</v>
      </c>
      <c r="E649" s="461">
        <v>94317.88</v>
      </c>
      <c r="F649" s="461">
        <v>15881.62</v>
      </c>
      <c r="G649" s="461">
        <v>78436.259999999995</v>
      </c>
    </row>
    <row r="650" spans="2:9" ht="15" customHeight="1" x14ac:dyDescent="0.3">
      <c r="B650" s="455" t="s">
        <v>5827</v>
      </c>
      <c r="C650" s="459" t="s">
        <v>1895</v>
      </c>
      <c r="D650" s="460">
        <v>0</v>
      </c>
      <c r="E650" s="461">
        <v>396607.42</v>
      </c>
      <c r="F650" s="460">
        <v>0</v>
      </c>
      <c r="G650" s="461">
        <v>396607.42</v>
      </c>
    </row>
    <row r="651" spans="2:9" ht="15" customHeight="1" x14ac:dyDescent="0.3">
      <c r="B651" s="455" t="s">
        <v>5828</v>
      </c>
      <c r="C651" s="459" t="s">
        <v>5829</v>
      </c>
      <c r="D651" s="460">
        <v>0</v>
      </c>
      <c r="E651" s="461">
        <v>5095.2299999999996</v>
      </c>
      <c r="F651" s="460">
        <v>0</v>
      </c>
      <c r="G651" s="461">
        <v>5095.2299999999996</v>
      </c>
    </row>
    <row r="652" spans="2:9" ht="15" customHeight="1" x14ac:dyDescent="0.3">
      <c r="B652" s="455" t="s">
        <v>5830</v>
      </c>
      <c r="C652" s="456" t="s">
        <v>5831</v>
      </c>
      <c r="D652" s="462">
        <v>0</v>
      </c>
      <c r="E652" s="457">
        <v>11210.7</v>
      </c>
      <c r="F652" s="457">
        <v>6857.11</v>
      </c>
      <c r="G652" s="457">
        <v>4353.59</v>
      </c>
    </row>
    <row r="653" spans="2:9" ht="15" customHeight="1" x14ac:dyDescent="0.3">
      <c r="B653" s="455" t="s">
        <v>5832</v>
      </c>
      <c r="C653" s="456" t="s">
        <v>5833</v>
      </c>
      <c r="D653" s="462">
        <v>0</v>
      </c>
      <c r="E653" s="457">
        <v>11210.7</v>
      </c>
      <c r="F653" s="457">
        <v>6857.11</v>
      </c>
      <c r="G653" s="457">
        <v>4353.59</v>
      </c>
    </row>
    <row r="654" spans="2:9" ht="15" customHeight="1" x14ac:dyDescent="0.3">
      <c r="B654" s="455" t="s">
        <v>5834</v>
      </c>
      <c r="C654" s="456" t="s">
        <v>5835</v>
      </c>
      <c r="D654" s="462">
        <v>0</v>
      </c>
      <c r="E654" s="457">
        <v>11210.7</v>
      </c>
      <c r="F654" s="457">
        <v>6857.11</v>
      </c>
      <c r="G654" s="457">
        <v>4353.59</v>
      </c>
      <c r="I654" s="458" t="s">
        <v>3604</v>
      </c>
    </row>
    <row r="655" spans="2:9" ht="15" customHeight="1" x14ac:dyDescent="0.3">
      <c r="B655" s="455" t="s">
        <v>5836</v>
      </c>
      <c r="C655" s="459" t="s">
        <v>5837</v>
      </c>
      <c r="D655" s="460">
        <v>0</v>
      </c>
      <c r="E655" s="461">
        <v>11210.7</v>
      </c>
      <c r="F655" s="461">
        <v>6857.11</v>
      </c>
      <c r="G655" s="461">
        <v>4353.59</v>
      </c>
    </row>
    <row r="656" spans="2:9" ht="15" customHeight="1" x14ac:dyDescent="0.3">
      <c r="B656" s="455" t="s">
        <v>5838</v>
      </c>
      <c r="C656" s="456" t="s">
        <v>1901</v>
      </c>
      <c r="D656" s="462">
        <v>0</v>
      </c>
      <c r="E656" s="457">
        <v>11061221.029999999</v>
      </c>
      <c r="F656" s="457">
        <v>88722006.450000003</v>
      </c>
      <c r="G656" s="457">
        <v>-77660785.420000002</v>
      </c>
    </row>
    <row r="657" spans="2:9" ht="15" customHeight="1" x14ac:dyDescent="0.3">
      <c r="B657" s="455" t="s">
        <v>5839</v>
      </c>
      <c r="C657" s="456" t="s">
        <v>1903</v>
      </c>
      <c r="D657" s="462">
        <v>0</v>
      </c>
      <c r="E657" s="457">
        <v>62948.97</v>
      </c>
      <c r="F657" s="457">
        <v>3285584.49</v>
      </c>
      <c r="G657" s="457">
        <v>-3222635.52</v>
      </c>
    </row>
    <row r="658" spans="2:9" ht="15" customHeight="1" x14ac:dyDescent="0.3">
      <c r="B658" s="455" t="s">
        <v>5840</v>
      </c>
      <c r="C658" s="456" t="s">
        <v>1906</v>
      </c>
      <c r="D658" s="462">
        <v>0</v>
      </c>
      <c r="E658" s="457">
        <v>62948.97</v>
      </c>
      <c r="F658" s="457">
        <v>3285584.49</v>
      </c>
      <c r="G658" s="629">
        <v>-3222635.52</v>
      </c>
      <c r="I658" s="458" t="s">
        <v>3647</v>
      </c>
    </row>
    <row r="659" spans="2:9" ht="15" customHeight="1" x14ac:dyDescent="0.3">
      <c r="B659" s="455" t="s">
        <v>5841</v>
      </c>
      <c r="C659" s="456" t="s">
        <v>1909</v>
      </c>
      <c r="D659" s="462">
        <v>0</v>
      </c>
      <c r="E659" s="457">
        <v>62948.97</v>
      </c>
      <c r="F659" s="457">
        <v>3285584.49</v>
      </c>
      <c r="G659" s="457">
        <v>-3222635.52</v>
      </c>
    </row>
    <row r="660" spans="2:9" ht="15" customHeight="1" x14ac:dyDescent="0.3">
      <c r="B660" s="455" t="s">
        <v>5842</v>
      </c>
      <c r="C660" s="459" t="s">
        <v>1911</v>
      </c>
      <c r="D660" s="460">
        <v>0</v>
      </c>
      <c r="E660" s="461">
        <v>62948.97</v>
      </c>
      <c r="F660" s="461">
        <v>3279079.73</v>
      </c>
      <c r="G660" s="461">
        <v>-3216130.76</v>
      </c>
    </row>
    <row r="661" spans="2:9" ht="15" customHeight="1" x14ac:dyDescent="0.3">
      <c r="B661" s="455" t="s">
        <v>5843</v>
      </c>
      <c r="C661" s="459" t="s">
        <v>1914</v>
      </c>
      <c r="D661" s="460">
        <v>0</v>
      </c>
      <c r="E661" s="460">
        <v>0</v>
      </c>
      <c r="F661" s="461">
        <v>6504.76</v>
      </c>
      <c r="G661" s="461">
        <v>-6504.76</v>
      </c>
    </row>
    <row r="662" spans="2:9" ht="15" customHeight="1" x14ac:dyDescent="0.3">
      <c r="B662" s="455" t="s">
        <v>5844</v>
      </c>
      <c r="C662" s="456" t="s">
        <v>1925</v>
      </c>
      <c r="D662" s="462">
        <v>0</v>
      </c>
      <c r="E662" s="457">
        <v>10743663.42</v>
      </c>
      <c r="F662" s="457">
        <v>85436421.959999993</v>
      </c>
      <c r="G662" s="457">
        <v>-74692758.540000007</v>
      </c>
    </row>
    <row r="663" spans="2:9" ht="15" customHeight="1" x14ac:dyDescent="0.3">
      <c r="B663" s="455" t="s">
        <v>5845</v>
      </c>
      <c r="C663" s="456" t="s">
        <v>1942</v>
      </c>
      <c r="D663" s="462">
        <v>0</v>
      </c>
      <c r="E663" s="457">
        <v>10743448.779999999</v>
      </c>
      <c r="F663" s="457">
        <v>84844305.840000004</v>
      </c>
      <c r="G663" s="457">
        <v>-74100857.060000002</v>
      </c>
    </row>
    <row r="664" spans="2:9" ht="15" customHeight="1" x14ac:dyDescent="0.3">
      <c r="B664" s="455" t="s">
        <v>5846</v>
      </c>
      <c r="C664" s="456" t="s">
        <v>1945</v>
      </c>
      <c r="D664" s="462">
        <v>0</v>
      </c>
      <c r="E664" s="462">
        <v>0</v>
      </c>
      <c r="F664" s="457">
        <v>13348.44</v>
      </c>
      <c r="G664" s="457">
        <v>-13348.44</v>
      </c>
      <c r="I664" s="458" t="s">
        <v>3655</v>
      </c>
    </row>
    <row r="665" spans="2:9" ht="15" customHeight="1" x14ac:dyDescent="0.3">
      <c r="B665" s="455" t="s">
        <v>5847</v>
      </c>
      <c r="C665" s="459" t="s">
        <v>5848</v>
      </c>
      <c r="D665" s="460">
        <v>0</v>
      </c>
      <c r="E665" s="460">
        <v>0</v>
      </c>
      <c r="F665" s="461">
        <v>11730.78</v>
      </c>
      <c r="G665" s="461">
        <v>-11730.78</v>
      </c>
    </row>
    <row r="666" spans="2:9" ht="15" customHeight="1" x14ac:dyDescent="0.3">
      <c r="B666" s="455" t="s">
        <v>5849</v>
      </c>
      <c r="C666" s="459" t="s">
        <v>3665</v>
      </c>
      <c r="D666" s="460">
        <v>0</v>
      </c>
      <c r="E666" s="460">
        <v>0</v>
      </c>
      <c r="F666" s="461">
        <v>1617.66</v>
      </c>
      <c r="G666" s="461">
        <v>-1617.66</v>
      </c>
    </row>
    <row r="667" spans="2:9" ht="15" customHeight="1" x14ac:dyDescent="0.3">
      <c r="B667" s="455" t="s">
        <v>5850</v>
      </c>
      <c r="C667" s="456" t="s">
        <v>1950</v>
      </c>
      <c r="D667" s="462">
        <v>0</v>
      </c>
      <c r="E667" s="457">
        <v>9986324.6199999992</v>
      </c>
      <c r="F667" s="457">
        <v>84823707.349999994</v>
      </c>
      <c r="G667" s="457">
        <v>-74837382.730000004</v>
      </c>
      <c r="I667" s="458" t="s">
        <v>3655</v>
      </c>
    </row>
    <row r="668" spans="2:9" ht="15" customHeight="1" x14ac:dyDescent="0.3">
      <c r="B668" s="455" t="s">
        <v>5851</v>
      </c>
      <c r="C668" s="459" t="s">
        <v>1953</v>
      </c>
      <c r="D668" s="460">
        <v>0</v>
      </c>
      <c r="E668" s="461">
        <v>9986324.6199999992</v>
      </c>
      <c r="F668" s="461">
        <v>84823707.349999994</v>
      </c>
      <c r="G668" s="461">
        <v>-74837382.730000004</v>
      </c>
    </row>
    <row r="669" spans="2:9" ht="15" customHeight="1" x14ac:dyDescent="0.3">
      <c r="B669" s="455" t="s">
        <v>5852</v>
      </c>
      <c r="C669" s="456" t="s">
        <v>5853</v>
      </c>
      <c r="D669" s="462">
        <v>0</v>
      </c>
      <c r="E669" s="457">
        <v>757124.16</v>
      </c>
      <c r="F669" s="457">
        <v>7250.05</v>
      </c>
      <c r="G669" s="457">
        <v>749874.11</v>
      </c>
      <c r="I669" s="458" t="s">
        <v>3655</v>
      </c>
    </row>
    <row r="670" spans="2:9" ht="15" customHeight="1" x14ac:dyDescent="0.3">
      <c r="B670" s="455" t="s">
        <v>5854</v>
      </c>
      <c r="C670" s="459" t="s">
        <v>5855</v>
      </c>
      <c r="D670" s="460">
        <v>0</v>
      </c>
      <c r="E670" s="461">
        <v>751241.32</v>
      </c>
      <c r="F670" s="461">
        <v>1367.21</v>
      </c>
      <c r="G670" s="461">
        <v>-749874.11</v>
      </c>
    </row>
    <row r="671" spans="2:9" ht="15" customHeight="1" x14ac:dyDescent="0.3">
      <c r="B671" s="455" t="s">
        <v>5856</v>
      </c>
      <c r="C671" s="459" t="s">
        <v>5857</v>
      </c>
      <c r="D671" s="460">
        <v>0</v>
      </c>
      <c r="E671" s="461">
        <v>5882.84</v>
      </c>
      <c r="F671" s="461">
        <v>5882.84</v>
      </c>
      <c r="G671" s="460">
        <v>0</v>
      </c>
    </row>
    <row r="672" spans="2:9" ht="15" customHeight="1" x14ac:dyDescent="0.3">
      <c r="B672" s="455" t="s">
        <v>5858</v>
      </c>
      <c r="C672" s="456" t="s">
        <v>1955</v>
      </c>
      <c r="D672" s="462">
        <v>0</v>
      </c>
      <c r="E672" s="462">
        <v>214.64</v>
      </c>
      <c r="F672" s="457">
        <v>149475.81</v>
      </c>
      <c r="G672" s="457">
        <v>149261.17000000001</v>
      </c>
      <c r="I672" s="458" t="s">
        <v>3668</v>
      </c>
    </row>
    <row r="673" spans="2:9" ht="15" customHeight="1" x14ac:dyDescent="0.3">
      <c r="B673" s="455" t="s">
        <v>5859</v>
      </c>
      <c r="C673" s="456" t="s">
        <v>1958</v>
      </c>
      <c r="D673" s="462">
        <v>0</v>
      </c>
      <c r="E673" s="462">
        <v>214.64</v>
      </c>
      <c r="F673" s="457">
        <v>17437.79</v>
      </c>
      <c r="G673" s="457">
        <v>-17223.150000000001</v>
      </c>
    </row>
    <row r="674" spans="2:9" ht="15" customHeight="1" x14ac:dyDescent="0.3">
      <c r="B674" s="455" t="s">
        <v>5860</v>
      </c>
      <c r="C674" s="459" t="s">
        <v>1961</v>
      </c>
      <c r="D674" s="460">
        <v>0</v>
      </c>
      <c r="E674" s="460">
        <v>214.64</v>
      </c>
      <c r="F674" s="461">
        <v>17437.79</v>
      </c>
      <c r="G674" s="461">
        <v>17223.150000000001</v>
      </c>
    </row>
    <row r="675" spans="2:9" ht="15" customHeight="1" x14ac:dyDescent="0.3">
      <c r="B675" s="455" t="s">
        <v>5861</v>
      </c>
      <c r="C675" s="456" t="s">
        <v>1964</v>
      </c>
      <c r="D675" s="462">
        <v>0</v>
      </c>
      <c r="E675" s="462">
        <v>0</v>
      </c>
      <c r="F675" s="457">
        <v>132038.01999999999</v>
      </c>
      <c r="G675" s="457">
        <v>-132038.01999999999</v>
      </c>
    </row>
    <row r="676" spans="2:9" ht="15" customHeight="1" x14ac:dyDescent="0.3">
      <c r="B676" s="455" t="s">
        <v>5862</v>
      </c>
      <c r="C676" s="459" t="s">
        <v>3671</v>
      </c>
      <c r="D676" s="460">
        <v>0</v>
      </c>
      <c r="E676" s="460">
        <v>0</v>
      </c>
      <c r="F676" s="460">
        <v>147.9</v>
      </c>
      <c r="G676" s="460">
        <v>-147.9</v>
      </c>
    </row>
    <row r="677" spans="2:9" ht="15" customHeight="1" x14ac:dyDescent="0.3">
      <c r="B677" s="455" t="s">
        <v>5863</v>
      </c>
      <c r="C677" s="459" t="s">
        <v>1967</v>
      </c>
      <c r="D677" s="460">
        <v>0</v>
      </c>
      <c r="E677" s="460">
        <v>0</v>
      </c>
      <c r="F677" s="461">
        <v>93840</v>
      </c>
      <c r="G677" s="461">
        <v>-93840</v>
      </c>
    </row>
    <row r="678" spans="2:9" ht="15" customHeight="1" x14ac:dyDescent="0.3">
      <c r="B678" s="455" t="s">
        <v>5864</v>
      </c>
      <c r="C678" s="459" t="s">
        <v>1971</v>
      </c>
      <c r="D678" s="460">
        <v>0</v>
      </c>
      <c r="E678" s="460">
        <v>0</v>
      </c>
      <c r="F678" s="461">
        <v>23153.08</v>
      </c>
      <c r="G678" s="461">
        <v>-23153.08</v>
      </c>
    </row>
    <row r="679" spans="2:9" ht="15" customHeight="1" x14ac:dyDescent="0.3">
      <c r="B679" s="455" t="s">
        <v>5865</v>
      </c>
      <c r="C679" s="459" t="s">
        <v>1974</v>
      </c>
      <c r="D679" s="460">
        <v>0</v>
      </c>
      <c r="E679" s="460">
        <v>0</v>
      </c>
      <c r="F679" s="460">
        <v>898.5</v>
      </c>
      <c r="G679" s="460">
        <v>-898.5</v>
      </c>
    </row>
    <row r="680" spans="2:9" ht="15" customHeight="1" x14ac:dyDescent="0.3">
      <c r="B680" s="455" t="s">
        <v>5866</v>
      </c>
      <c r="C680" s="459" t="s">
        <v>5867</v>
      </c>
      <c r="D680" s="460">
        <v>0</v>
      </c>
      <c r="E680" s="460">
        <v>0</v>
      </c>
      <c r="F680" s="461">
        <v>13998.54</v>
      </c>
      <c r="G680" s="461">
        <v>-13998.54</v>
      </c>
    </row>
    <row r="681" spans="2:9" ht="15" customHeight="1" x14ac:dyDescent="0.3">
      <c r="B681" s="455" t="s">
        <v>5868</v>
      </c>
      <c r="C681" s="456" t="s">
        <v>5869</v>
      </c>
      <c r="D681" s="462">
        <v>0</v>
      </c>
      <c r="E681" s="462">
        <v>0</v>
      </c>
      <c r="F681" s="457">
        <v>442640.31</v>
      </c>
      <c r="G681" s="457">
        <v>-442640.31</v>
      </c>
      <c r="I681" s="458" t="s">
        <v>3655</v>
      </c>
    </row>
    <row r="682" spans="2:9" ht="15" customHeight="1" x14ac:dyDescent="0.3">
      <c r="B682" s="455" t="s">
        <v>5870</v>
      </c>
      <c r="C682" s="456" t="s">
        <v>5871</v>
      </c>
      <c r="D682" s="462">
        <v>0</v>
      </c>
      <c r="E682" s="462">
        <v>0</v>
      </c>
      <c r="F682" s="457">
        <v>442640.31</v>
      </c>
      <c r="G682" s="457">
        <v>-442640.31</v>
      </c>
    </row>
    <row r="683" spans="2:9" ht="15" customHeight="1" x14ac:dyDescent="0.3">
      <c r="B683" s="455" t="s">
        <v>5872</v>
      </c>
      <c r="C683" s="459" t="s">
        <v>5873</v>
      </c>
      <c r="D683" s="460">
        <v>0</v>
      </c>
      <c r="E683" s="460">
        <v>0</v>
      </c>
      <c r="F683" s="461">
        <v>442640.31</v>
      </c>
      <c r="G683" s="461">
        <v>-442640.31</v>
      </c>
    </row>
    <row r="684" spans="2:9" ht="15" customHeight="1" x14ac:dyDescent="0.3">
      <c r="B684" s="455" t="s">
        <v>5874</v>
      </c>
      <c r="C684" s="456" t="s">
        <v>1981</v>
      </c>
      <c r="D684" s="462">
        <v>0</v>
      </c>
      <c r="E684" s="457">
        <v>254608.64000000001</v>
      </c>
      <c r="F684" s="462">
        <v>0</v>
      </c>
      <c r="G684" s="457">
        <v>254608.64000000001</v>
      </c>
      <c r="I684" s="458" t="s">
        <v>5875</v>
      </c>
    </row>
    <row r="685" spans="2:9" ht="15" customHeight="1" x14ac:dyDescent="0.3">
      <c r="B685" s="455" t="s">
        <v>5876</v>
      </c>
      <c r="C685" s="456" t="s">
        <v>1984</v>
      </c>
      <c r="D685" s="462">
        <v>0</v>
      </c>
      <c r="E685" s="457">
        <v>254608.64000000001</v>
      </c>
      <c r="F685" s="462">
        <v>0</v>
      </c>
      <c r="G685" s="457">
        <v>254608.64000000001</v>
      </c>
      <c r="I685" s="458" t="s">
        <v>5889</v>
      </c>
    </row>
    <row r="686" spans="2:9" ht="15" customHeight="1" x14ac:dyDescent="0.3">
      <c r="B686" s="455" t="s">
        <v>5877</v>
      </c>
      <c r="C686" s="456" t="s">
        <v>1987</v>
      </c>
      <c r="D686" s="462">
        <v>0</v>
      </c>
      <c r="E686" s="457">
        <v>32509.47</v>
      </c>
      <c r="F686" s="462">
        <v>0</v>
      </c>
      <c r="G686" s="457">
        <v>32509.47</v>
      </c>
    </row>
    <row r="687" spans="2:9" ht="15" customHeight="1" x14ac:dyDescent="0.3">
      <c r="B687" s="455" t="s">
        <v>5878</v>
      </c>
      <c r="C687" s="459" t="s">
        <v>1990</v>
      </c>
      <c r="D687" s="460">
        <v>0</v>
      </c>
      <c r="E687" s="461">
        <v>32509.47</v>
      </c>
      <c r="F687" s="460">
        <v>0</v>
      </c>
      <c r="G687" s="461">
        <v>32509.47</v>
      </c>
      <c r="I687" s="465"/>
    </row>
    <row r="688" spans="2:9" ht="15" customHeight="1" x14ac:dyDescent="0.3">
      <c r="B688" s="455" t="s">
        <v>5879</v>
      </c>
      <c r="C688" s="456" t="s">
        <v>5880</v>
      </c>
      <c r="D688" s="462">
        <v>0</v>
      </c>
      <c r="E688" s="457">
        <v>217647.17</v>
      </c>
      <c r="F688" s="462">
        <v>0</v>
      </c>
      <c r="G688" s="457">
        <v>217647.17</v>
      </c>
    </row>
    <row r="689" spans="2:9" ht="15" customHeight="1" x14ac:dyDescent="0.3">
      <c r="B689" s="455" t="s">
        <v>5881</v>
      </c>
      <c r="C689" s="459" t="s">
        <v>5882</v>
      </c>
      <c r="D689" s="460">
        <v>0</v>
      </c>
      <c r="E689" s="461">
        <v>178858.26</v>
      </c>
      <c r="F689" s="460">
        <v>0</v>
      </c>
      <c r="G689" s="461">
        <v>178858.26</v>
      </c>
      <c r="I689" s="465"/>
    </row>
    <row r="690" spans="2:9" ht="15" customHeight="1" x14ac:dyDescent="0.3">
      <c r="B690" s="455" t="s">
        <v>5883</v>
      </c>
      <c r="C690" s="459" t="s">
        <v>5884</v>
      </c>
      <c r="D690" s="460">
        <v>0</v>
      </c>
      <c r="E690" s="461">
        <v>38788.910000000003</v>
      </c>
      <c r="F690" s="460">
        <v>0</v>
      </c>
      <c r="G690" s="461">
        <v>38788.910000000003</v>
      </c>
      <c r="I690" s="465"/>
    </row>
    <row r="691" spans="2:9" ht="15" customHeight="1" x14ac:dyDescent="0.3">
      <c r="B691" s="455" t="s">
        <v>5885</v>
      </c>
      <c r="C691" s="456" t="s">
        <v>5886</v>
      </c>
      <c r="D691" s="462">
        <v>0</v>
      </c>
      <c r="E691" s="457">
        <v>4452</v>
      </c>
      <c r="F691" s="462">
        <v>0</v>
      </c>
      <c r="G691" s="457">
        <v>4452</v>
      </c>
    </row>
    <row r="692" spans="2:9" ht="15" customHeight="1" x14ac:dyDescent="0.3">
      <c r="B692" s="455" t="s">
        <v>5887</v>
      </c>
      <c r="C692" s="459" t="s">
        <v>5888</v>
      </c>
      <c r="D692" s="460">
        <v>0</v>
      </c>
      <c r="E692" s="461">
        <v>4452</v>
      </c>
      <c r="F692" s="460">
        <v>0</v>
      </c>
      <c r="G692" s="461">
        <v>4452</v>
      </c>
      <c r="I692" s="465"/>
    </row>
  </sheetData>
  <autoFilter ref="A3:WVO692" xr:uid="{85846D87-DD4E-47FD-905B-77414C8BAE63}"/>
  <mergeCells count="1">
    <mergeCell ref="B2:G2"/>
  </mergeCells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F44AC-6021-4603-9F4C-D064ECC98732}">
  <sheetPr>
    <tabColor rgb="FFFFC000"/>
  </sheetPr>
  <dimension ref="C2:Q145"/>
  <sheetViews>
    <sheetView workbookViewId="0">
      <selection activeCell="P79" sqref="P79"/>
    </sheetView>
  </sheetViews>
  <sheetFormatPr defaultRowHeight="18" x14ac:dyDescent="0.3"/>
  <cols>
    <col min="1" max="1" width="1.44140625" style="519" customWidth="1"/>
    <col min="2" max="2" width="4.109375" style="519" customWidth="1"/>
    <col min="3" max="3" width="16.109375" style="519" bestFit="1" customWidth="1"/>
    <col min="4" max="4" width="62" style="520" customWidth="1"/>
    <col min="5" max="5" width="19.44140625" style="521" hidden="1" customWidth="1"/>
    <col min="6" max="6" width="22.109375" style="521" hidden="1" customWidth="1"/>
    <col min="7" max="7" width="20.33203125" style="521" hidden="1" customWidth="1"/>
    <col min="8" max="8" width="22" style="521" hidden="1" customWidth="1"/>
    <col min="9" max="9" width="15.109375" style="318" customWidth="1"/>
    <col min="10" max="10" width="25.44140625" style="522" customWidth="1"/>
    <col min="11" max="11" width="27.33203125" style="522" customWidth="1"/>
    <col min="12" max="12" width="20.109375" style="522" customWidth="1"/>
    <col min="13" max="13" width="18.33203125" style="523" bestFit="1" customWidth="1"/>
    <col min="14" max="14" width="9.6640625" style="524" customWidth="1"/>
    <col min="15" max="15" width="1.44140625" style="519" customWidth="1"/>
    <col min="16" max="16" width="21" style="519" customWidth="1"/>
    <col min="17" max="252" width="6.88671875" style="519" customWidth="1"/>
    <col min="253" max="253" width="9.109375" style="519"/>
    <col min="254" max="254" width="24.44140625" style="519" customWidth="1"/>
    <col min="255" max="255" width="67.5546875" style="519" customWidth="1"/>
    <col min="256" max="256" width="0" style="519" hidden="1" customWidth="1"/>
    <col min="257" max="259" width="12.88671875" style="519" customWidth="1"/>
    <col min="260" max="260" width="3.88671875" style="519" customWidth="1"/>
    <col min="261" max="261" width="12.88671875" style="519" customWidth="1"/>
    <col min="262" max="508" width="6.88671875" style="519" customWidth="1"/>
    <col min="509" max="509" width="9.109375" style="519"/>
    <col min="510" max="510" width="24.44140625" style="519" customWidth="1"/>
    <col min="511" max="511" width="67.5546875" style="519" customWidth="1"/>
    <col min="512" max="512" width="0" style="519" hidden="1" customWidth="1"/>
    <col min="513" max="515" width="12.88671875" style="519" customWidth="1"/>
    <col min="516" max="516" width="3.88671875" style="519" customWidth="1"/>
    <col min="517" max="517" width="12.88671875" style="519" customWidth="1"/>
    <col min="518" max="764" width="6.88671875" style="519" customWidth="1"/>
    <col min="765" max="765" width="9.109375" style="519"/>
    <col min="766" max="766" width="24.44140625" style="519" customWidth="1"/>
    <col min="767" max="767" width="67.5546875" style="519" customWidth="1"/>
    <col min="768" max="768" width="0" style="519" hidden="1" customWidth="1"/>
    <col min="769" max="771" width="12.88671875" style="519" customWidth="1"/>
    <col min="772" max="772" width="3.88671875" style="519" customWidth="1"/>
    <col min="773" max="773" width="12.88671875" style="519" customWidth="1"/>
    <col min="774" max="1020" width="6.88671875" style="519" customWidth="1"/>
    <col min="1021" max="1021" width="9.109375" style="519"/>
    <col min="1022" max="1022" width="24.44140625" style="519" customWidth="1"/>
    <col min="1023" max="1023" width="67.5546875" style="519" customWidth="1"/>
    <col min="1024" max="1024" width="0" style="519" hidden="1" customWidth="1"/>
    <col min="1025" max="1027" width="12.88671875" style="519" customWidth="1"/>
    <col min="1028" max="1028" width="3.88671875" style="519" customWidth="1"/>
    <col min="1029" max="1029" width="12.88671875" style="519" customWidth="1"/>
    <col min="1030" max="1276" width="6.88671875" style="519" customWidth="1"/>
    <col min="1277" max="1277" width="9.109375" style="519"/>
    <col min="1278" max="1278" width="24.44140625" style="519" customWidth="1"/>
    <col min="1279" max="1279" width="67.5546875" style="519" customWidth="1"/>
    <col min="1280" max="1280" width="0" style="519" hidden="1" customWidth="1"/>
    <col min="1281" max="1283" width="12.88671875" style="519" customWidth="1"/>
    <col min="1284" max="1284" width="3.88671875" style="519" customWidth="1"/>
    <col min="1285" max="1285" width="12.88671875" style="519" customWidth="1"/>
    <col min="1286" max="1532" width="6.88671875" style="519" customWidth="1"/>
    <col min="1533" max="1533" width="9.109375" style="519"/>
    <col min="1534" max="1534" width="24.44140625" style="519" customWidth="1"/>
    <col min="1535" max="1535" width="67.5546875" style="519" customWidth="1"/>
    <col min="1536" max="1536" width="0" style="519" hidden="1" customWidth="1"/>
    <col min="1537" max="1539" width="12.88671875" style="519" customWidth="1"/>
    <col min="1540" max="1540" width="3.88671875" style="519" customWidth="1"/>
    <col min="1541" max="1541" width="12.88671875" style="519" customWidth="1"/>
    <col min="1542" max="1788" width="6.88671875" style="519" customWidth="1"/>
    <col min="1789" max="1789" width="9.109375" style="519"/>
    <col min="1790" max="1790" width="24.44140625" style="519" customWidth="1"/>
    <col min="1791" max="1791" width="67.5546875" style="519" customWidth="1"/>
    <col min="1792" max="1792" width="0" style="519" hidden="1" customWidth="1"/>
    <col min="1793" max="1795" width="12.88671875" style="519" customWidth="1"/>
    <col min="1796" max="1796" width="3.88671875" style="519" customWidth="1"/>
    <col min="1797" max="1797" width="12.88671875" style="519" customWidth="1"/>
    <col min="1798" max="2044" width="6.88671875" style="519" customWidth="1"/>
    <col min="2045" max="2045" width="9.109375" style="519"/>
    <col min="2046" max="2046" width="24.44140625" style="519" customWidth="1"/>
    <col min="2047" max="2047" width="67.5546875" style="519" customWidth="1"/>
    <col min="2048" max="2048" width="0" style="519" hidden="1" customWidth="1"/>
    <col min="2049" max="2051" width="12.88671875" style="519" customWidth="1"/>
    <col min="2052" max="2052" width="3.88671875" style="519" customWidth="1"/>
    <col min="2053" max="2053" width="12.88671875" style="519" customWidth="1"/>
    <col min="2054" max="2300" width="6.88671875" style="519" customWidth="1"/>
    <col min="2301" max="2301" width="9.109375" style="519"/>
    <col min="2302" max="2302" width="24.44140625" style="519" customWidth="1"/>
    <col min="2303" max="2303" width="67.5546875" style="519" customWidth="1"/>
    <col min="2304" max="2304" width="0" style="519" hidden="1" customWidth="1"/>
    <col min="2305" max="2307" width="12.88671875" style="519" customWidth="1"/>
    <col min="2308" max="2308" width="3.88671875" style="519" customWidth="1"/>
    <col min="2309" max="2309" width="12.88671875" style="519" customWidth="1"/>
    <col min="2310" max="2556" width="6.88671875" style="519" customWidth="1"/>
    <col min="2557" max="2557" width="9.109375" style="519"/>
    <col min="2558" max="2558" width="24.44140625" style="519" customWidth="1"/>
    <col min="2559" max="2559" width="67.5546875" style="519" customWidth="1"/>
    <col min="2560" max="2560" width="0" style="519" hidden="1" customWidth="1"/>
    <col min="2561" max="2563" width="12.88671875" style="519" customWidth="1"/>
    <col min="2564" max="2564" width="3.88671875" style="519" customWidth="1"/>
    <col min="2565" max="2565" width="12.88671875" style="519" customWidth="1"/>
    <col min="2566" max="2812" width="6.88671875" style="519" customWidth="1"/>
    <col min="2813" max="2813" width="9.109375" style="519"/>
    <col min="2814" max="2814" width="24.44140625" style="519" customWidth="1"/>
    <col min="2815" max="2815" width="67.5546875" style="519" customWidth="1"/>
    <col min="2816" max="2816" width="0" style="519" hidden="1" customWidth="1"/>
    <col min="2817" max="2819" width="12.88671875" style="519" customWidth="1"/>
    <col min="2820" max="2820" width="3.88671875" style="519" customWidth="1"/>
    <col min="2821" max="2821" width="12.88671875" style="519" customWidth="1"/>
    <col min="2822" max="3068" width="6.88671875" style="519" customWidth="1"/>
    <col min="3069" max="3069" width="9.109375" style="519"/>
    <col min="3070" max="3070" width="24.44140625" style="519" customWidth="1"/>
    <col min="3071" max="3071" width="67.5546875" style="519" customWidth="1"/>
    <col min="3072" max="3072" width="0" style="519" hidden="1" customWidth="1"/>
    <col min="3073" max="3075" width="12.88671875" style="519" customWidth="1"/>
    <col min="3076" max="3076" width="3.88671875" style="519" customWidth="1"/>
    <col min="3077" max="3077" width="12.88671875" style="519" customWidth="1"/>
    <col min="3078" max="3324" width="6.88671875" style="519" customWidth="1"/>
    <col min="3325" max="3325" width="9.109375" style="519"/>
    <col min="3326" max="3326" width="24.44140625" style="519" customWidth="1"/>
    <col min="3327" max="3327" width="67.5546875" style="519" customWidth="1"/>
    <col min="3328" max="3328" width="0" style="519" hidden="1" customWidth="1"/>
    <col min="3329" max="3331" width="12.88671875" style="519" customWidth="1"/>
    <col min="3332" max="3332" width="3.88671875" style="519" customWidth="1"/>
    <col min="3333" max="3333" width="12.88671875" style="519" customWidth="1"/>
    <col min="3334" max="3580" width="6.88671875" style="519" customWidth="1"/>
    <col min="3581" max="3581" width="9.109375" style="519"/>
    <col min="3582" max="3582" width="24.44140625" style="519" customWidth="1"/>
    <col min="3583" max="3583" width="67.5546875" style="519" customWidth="1"/>
    <col min="3584" max="3584" width="0" style="519" hidden="1" customWidth="1"/>
    <col min="3585" max="3587" width="12.88671875" style="519" customWidth="1"/>
    <col min="3588" max="3588" width="3.88671875" style="519" customWidth="1"/>
    <col min="3589" max="3589" width="12.88671875" style="519" customWidth="1"/>
    <col min="3590" max="3836" width="6.88671875" style="519" customWidth="1"/>
    <col min="3837" max="3837" width="9.109375" style="519"/>
    <col min="3838" max="3838" width="24.44140625" style="519" customWidth="1"/>
    <col min="3839" max="3839" width="67.5546875" style="519" customWidth="1"/>
    <col min="3840" max="3840" width="0" style="519" hidden="1" customWidth="1"/>
    <col min="3841" max="3843" width="12.88671875" style="519" customWidth="1"/>
    <col min="3844" max="3844" width="3.88671875" style="519" customWidth="1"/>
    <col min="3845" max="3845" width="12.88671875" style="519" customWidth="1"/>
    <col min="3846" max="4092" width="6.88671875" style="519" customWidth="1"/>
    <col min="4093" max="4093" width="9.109375" style="519"/>
    <col min="4094" max="4094" width="24.44140625" style="519" customWidth="1"/>
    <col min="4095" max="4095" width="67.5546875" style="519" customWidth="1"/>
    <col min="4096" max="4096" width="0" style="519" hidden="1" customWidth="1"/>
    <col min="4097" max="4099" width="12.88671875" style="519" customWidth="1"/>
    <col min="4100" max="4100" width="3.88671875" style="519" customWidth="1"/>
    <col min="4101" max="4101" width="12.88671875" style="519" customWidth="1"/>
    <col min="4102" max="4348" width="6.88671875" style="519" customWidth="1"/>
    <col min="4349" max="4349" width="9.109375" style="519"/>
    <col min="4350" max="4350" width="24.44140625" style="519" customWidth="1"/>
    <col min="4351" max="4351" width="67.5546875" style="519" customWidth="1"/>
    <col min="4352" max="4352" width="0" style="519" hidden="1" customWidth="1"/>
    <col min="4353" max="4355" width="12.88671875" style="519" customWidth="1"/>
    <col min="4356" max="4356" width="3.88671875" style="519" customWidth="1"/>
    <col min="4357" max="4357" width="12.88671875" style="519" customWidth="1"/>
    <col min="4358" max="4604" width="6.88671875" style="519" customWidth="1"/>
    <col min="4605" max="4605" width="9.109375" style="519"/>
    <col min="4606" max="4606" width="24.44140625" style="519" customWidth="1"/>
    <col min="4607" max="4607" width="67.5546875" style="519" customWidth="1"/>
    <col min="4608" max="4608" width="0" style="519" hidden="1" customWidth="1"/>
    <col min="4609" max="4611" width="12.88671875" style="519" customWidth="1"/>
    <col min="4612" max="4612" width="3.88671875" style="519" customWidth="1"/>
    <col min="4613" max="4613" width="12.88671875" style="519" customWidth="1"/>
    <col min="4614" max="4860" width="6.88671875" style="519" customWidth="1"/>
    <col min="4861" max="4861" width="9.109375" style="519"/>
    <col min="4862" max="4862" width="24.44140625" style="519" customWidth="1"/>
    <col min="4863" max="4863" width="67.5546875" style="519" customWidth="1"/>
    <col min="4864" max="4864" width="0" style="519" hidden="1" customWidth="1"/>
    <col min="4865" max="4867" width="12.88671875" style="519" customWidth="1"/>
    <col min="4868" max="4868" width="3.88671875" style="519" customWidth="1"/>
    <col min="4869" max="4869" width="12.88671875" style="519" customWidth="1"/>
    <col min="4870" max="5116" width="6.88671875" style="519" customWidth="1"/>
    <col min="5117" max="5117" width="9.109375" style="519"/>
    <col min="5118" max="5118" width="24.44140625" style="519" customWidth="1"/>
    <col min="5119" max="5119" width="67.5546875" style="519" customWidth="1"/>
    <col min="5120" max="5120" width="0" style="519" hidden="1" customWidth="1"/>
    <col min="5121" max="5123" width="12.88671875" style="519" customWidth="1"/>
    <col min="5124" max="5124" width="3.88671875" style="519" customWidth="1"/>
    <col min="5125" max="5125" width="12.88671875" style="519" customWidth="1"/>
    <col min="5126" max="5372" width="6.88671875" style="519" customWidth="1"/>
    <col min="5373" max="5373" width="9.109375" style="519"/>
    <col min="5374" max="5374" width="24.44140625" style="519" customWidth="1"/>
    <col min="5375" max="5375" width="67.5546875" style="519" customWidth="1"/>
    <col min="5376" max="5376" width="0" style="519" hidden="1" customWidth="1"/>
    <col min="5377" max="5379" width="12.88671875" style="519" customWidth="1"/>
    <col min="5380" max="5380" width="3.88671875" style="519" customWidth="1"/>
    <col min="5381" max="5381" width="12.88671875" style="519" customWidth="1"/>
    <col min="5382" max="5628" width="6.88671875" style="519" customWidth="1"/>
    <col min="5629" max="5629" width="9.109375" style="519"/>
    <col min="5630" max="5630" width="24.44140625" style="519" customWidth="1"/>
    <col min="5631" max="5631" width="67.5546875" style="519" customWidth="1"/>
    <col min="5632" max="5632" width="0" style="519" hidden="1" customWidth="1"/>
    <col min="5633" max="5635" width="12.88671875" style="519" customWidth="1"/>
    <col min="5636" max="5636" width="3.88671875" style="519" customWidth="1"/>
    <col min="5637" max="5637" width="12.88671875" style="519" customWidth="1"/>
    <col min="5638" max="5884" width="6.88671875" style="519" customWidth="1"/>
    <col min="5885" max="5885" width="9.109375" style="519"/>
    <col min="5886" max="5886" width="24.44140625" style="519" customWidth="1"/>
    <col min="5887" max="5887" width="67.5546875" style="519" customWidth="1"/>
    <col min="5888" max="5888" width="0" style="519" hidden="1" customWidth="1"/>
    <col min="5889" max="5891" width="12.88671875" style="519" customWidth="1"/>
    <col min="5892" max="5892" width="3.88671875" style="519" customWidth="1"/>
    <col min="5893" max="5893" width="12.88671875" style="519" customWidth="1"/>
    <col min="5894" max="6140" width="6.88671875" style="519" customWidth="1"/>
    <col min="6141" max="6141" width="9.109375" style="519"/>
    <col min="6142" max="6142" width="24.44140625" style="519" customWidth="1"/>
    <col min="6143" max="6143" width="67.5546875" style="519" customWidth="1"/>
    <col min="6144" max="6144" width="0" style="519" hidden="1" customWidth="1"/>
    <col min="6145" max="6147" width="12.88671875" style="519" customWidth="1"/>
    <col min="6148" max="6148" width="3.88671875" style="519" customWidth="1"/>
    <col min="6149" max="6149" width="12.88671875" style="519" customWidth="1"/>
    <col min="6150" max="6396" width="6.88671875" style="519" customWidth="1"/>
    <col min="6397" max="6397" width="9.109375" style="519"/>
    <col min="6398" max="6398" width="24.44140625" style="519" customWidth="1"/>
    <col min="6399" max="6399" width="67.5546875" style="519" customWidth="1"/>
    <col min="6400" max="6400" width="0" style="519" hidden="1" customWidth="1"/>
    <col min="6401" max="6403" width="12.88671875" style="519" customWidth="1"/>
    <col min="6404" max="6404" width="3.88671875" style="519" customWidth="1"/>
    <col min="6405" max="6405" width="12.88671875" style="519" customWidth="1"/>
    <col min="6406" max="6652" width="6.88671875" style="519" customWidth="1"/>
    <col min="6653" max="6653" width="9.109375" style="519"/>
    <col min="6654" max="6654" width="24.44140625" style="519" customWidth="1"/>
    <col min="6655" max="6655" width="67.5546875" style="519" customWidth="1"/>
    <col min="6656" max="6656" width="0" style="519" hidden="1" customWidth="1"/>
    <col min="6657" max="6659" width="12.88671875" style="519" customWidth="1"/>
    <col min="6660" max="6660" width="3.88671875" style="519" customWidth="1"/>
    <col min="6661" max="6661" width="12.88671875" style="519" customWidth="1"/>
    <col min="6662" max="6908" width="6.88671875" style="519" customWidth="1"/>
    <col min="6909" max="6909" width="9.109375" style="519"/>
    <col min="6910" max="6910" width="24.44140625" style="519" customWidth="1"/>
    <col min="6911" max="6911" width="67.5546875" style="519" customWidth="1"/>
    <col min="6912" max="6912" width="0" style="519" hidden="1" customWidth="1"/>
    <col min="6913" max="6915" width="12.88671875" style="519" customWidth="1"/>
    <col min="6916" max="6916" width="3.88671875" style="519" customWidth="1"/>
    <col min="6917" max="6917" width="12.88671875" style="519" customWidth="1"/>
    <col min="6918" max="7164" width="6.88671875" style="519" customWidth="1"/>
    <col min="7165" max="7165" width="9.109375" style="519"/>
    <col min="7166" max="7166" width="24.44140625" style="519" customWidth="1"/>
    <col min="7167" max="7167" width="67.5546875" style="519" customWidth="1"/>
    <col min="7168" max="7168" width="0" style="519" hidden="1" customWidth="1"/>
    <col min="7169" max="7171" width="12.88671875" style="519" customWidth="1"/>
    <col min="7172" max="7172" width="3.88671875" style="519" customWidth="1"/>
    <col min="7173" max="7173" width="12.88671875" style="519" customWidth="1"/>
    <col min="7174" max="7420" width="6.88671875" style="519" customWidth="1"/>
    <col min="7421" max="7421" width="9.109375" style="519"/>
    <col min="7422" max="7422" width="24.44140625" style="519" customWidth="1"/>
    <col min="7423" max="7423" width="67.5546875" style="519" customWidth="1"/>
    <col min="7424" max="7424" width="0" style="519" hidden="1" customWidth="1"/>
    <col min="7425" max="7427" width="12.88671875" style="519" customWidth="1"/>
    <col min="7428" max="7428" width="3.88671875" style="519" customWidth="1"/>
    <col min="7429" max="7429" width="12.88671875" style="519" customWidth="1"/>
    <col min="7430" max="7676" width="6.88671875" style="519" customWidth="1"/>
    <col min="7677" max="7677" width="9.109375" style="519"/>
    <col min="7678" max="7678" width="24.44140625" style="519" customWidth="1"/>
    <col min="7679" max="7679" width="67.5546875" style="519" customWidth="1"/>
    <col min="7680" max="7680" width="0" style="519" hidden="1" customWidth="1"/>
    <col min="7681" max="7683" width="12.88671875" style="519" customWidth="1"/>
    <col min="7684" max="7684" width="3.88671875" style="519" customWidth="1"/>
    <col min="7685" max="7685" width="12.88671875" style="519" customWidth="1"/>
    <col min="7686" max="7932" width="6.88671875" style="519" customWidth="1"/>
    <col min="7933" max="7933" width="9.109375" style="519"/>
    <col min="7934" max="7934" width="24.44140625" style="519" customWidth="1"/>
    <col min="7935" max="7935" width="67.5546875" style="519" customWidth="1"/>
    <col min="7936" max="7936" width="0" style="519" hidden="1" customWidth="1"/>
    <col min="7937" max="7939" width="12.88671875" style="519" customWidth="1"/>
    <col min="7940" max="7940" width="3.88671875" style="519" customWidth="1"/>
    <col min="7941" max="7941" width="12.88671875" style="519" customWidth="1"/>
    <col min="7942" max="8188" width="6.88671875" style="519" customWidth="1"/>
    <col min="8189" max="8189" width="9.109375" style="519"/>
    <col min="8190" max="8190" width="24.44140625" style="519" customWidth="1"/>
    <col min="8191" max="8191" width="67.5546875" style="519" customWidth="1"/>
    <col min="8192" max="8192" width="0" style="519" hidden="1" customWidth="1"/>
    <col min="8193" max="8195" width="12.88671875" style="519" customWidth="1"/>
    <col min="8196" max="8196" width="3.88671875" style="519" customWidth="1"/>
    <col min="8197" max="8197" width="12.88671875" style="519" customWidth="1"/>
    <col min="8198" max="8444" width="6.88671875" style="519" customWidth="1"/>
    <col min="8445" max="8445" width="9.109375" style="519"/>
    <col min="8446" max="8446" width="24.44140625" style="519" customWidth="1"/>
    <col min="8447" max="8447" width="67.5546875" style="519" customWidth="1"/>
    <col min="8448" max="8448" width="0" style="519" hidden="1" customWidth="1"/>
    <col min="8449" max="8451" width="12.88671875" style="519" customWidth="1"/>
    <col min="8452" max="8452" width="3.88671875" style="519" customWidth="1"/>
    <col min="8453" max="8453" width="12.88671875" style="519" customWidth="1"/>
    <col min="8454" max="8700" width="6.88671875" style="519" customWidth="1"/>
    <col min="8701" max="8701" width="9.109375" style="519"/>
    <col min="8702" max="8702" width="24.44140625" style="519" customWidth="1"/>
    <col min="8703" max="8703" width="67.5546875" style="519" customWidth="1"/>
    <col min="8704" max="8704" width="0" style="519" hidden="1" customWidth="1"/>
    <col min="8705" max="8707" width="12.88671875" style="519" customWidth="1"/>
    <col min="8708" max="8708" width="3.88671875" style="519" customWidth="1"/>
    <col min="8709" max="8709" width="12.88671875" style="519" customWidth="1"/>
    <col min="8710" max="8956" width="6.88671875" style="519" customWidth="1"/>
    <col min="8957" max="8957" width="9.109375" style="519"/>
    <col min="8958" max="8958" width="24.44140625" style="519" customWidth="1"/>
    <col min="8959" max="8959" width="67.5546875" style="519" customWidth="1"/>
    <col min="8960" max="8960" width="0" style="519" hidden="1" customWidth="1"/>
    <col min="8961" max="8963" width="12.88671875" style="519" customWidth="1"/>
    <col min="8964" max="8964" width="3.88671875" style="519" customWidth="1"/>
    <col min="8965" max="8965" width="12.88671875" style="519" customWidth="1"/>
    <col min="8966" max="9212" width="6.88671875" style="519" customWidth="1"/>
    <col min="9213" max="9213" width="9.109375" style="519"/>
    <col min="9214" max="9214" width="24.44140625" style="519" customWidth="1"/>
    <col min="9215" max="9215" width="67.5546875" style="519" customWidth="1"/>
    <col min="9216" max="9216" width="0" style="519" hidden="1" customWidth="1"/>
    <col min="9217" max="9219" width="12.88671875" style="519" customWidth="1"/>
    <col min="9220" max="9220" width="3.88671875" style="519" customWidth="1"/>
    <col min="9221" max="9221" width="12.88671875" style="519" customWidth="1"/>
    <col min="9222" max="9468" width="6.88671875" style="519" customWidth="1"/>
    <col min="9469" max="9469" width="9.109375" style="519"/>
    <col min="9470" max="9470" width="24.44140625" style="519" customWidth="1"/>
    <col min="9471" max="9471" width="67.5546875" style="519" customWidth="1"/>
    <col min="9472" max="9472" width="0" style="519" hidden="1" customWidth="1"/>
    <col min="9473" max="9475" width="12.88671875" style="519" customWidth="1"/>
    <col min="9476" max="9476" width="3.88671875" style="519" customWidth="1"/>
    <col min="9477" max="9477" width="12.88671875" style="519" customWidth="1"/>
    <col min="9478" max="9724" width="6.88671875" style="519" customWidth="1"/>
    <col min="9725" max="9725" width="9.109375" style="519"/>
    <col min="9726" max="9726" width="24.44140625" style="519" customWidth="1"/>
    <col min="9727" max="9727" width="67.5546875" style="519" customWidth="1"/>
    <col min="9728" max="9728" width="0" style="519" hidden="1" customWidth="1"/>
    <col min="9729" max="9731" width="12.88671875" style="519" customWidth="1"/>
    <col min="9732" max="9732" width="3.88671875" style="519" customWidth="1"/>
    <col min="9733" max="9733" width="12.88671875" style="519" customWidth="1"/>
    <col min="9734" max="9980" width="6.88671875" style="519" customWidth="1"/>
    <col min="9981" max="9981" width="9.109375" style="519"/>
    <col min="9982" max="9982" width="24.44140625" style="519" customWidth="1"/>
    <col min="9983" max="9983" width="67.5546875" style="519" customWidth="1"/>
    <col min="9984" max="9984" width="0" style="519" hidden="1" customWidth="1"/>
    <col min="9985" max="9987" width="12.88671875" style="519" customWidth="1"/>
    <col min="9988" max="9988" width="3.88671875" style="519" customWidth="1"/>
    <col min="9989" max="9989" width="12.88671875" style="519" customWidth="1"/>
    <col min="9990" max="10236" width="6.88671875" style="519" customWidth="1"/>
    <col min="10237" max="10237" width="9.109375" style="519"/>
    <col min="10238" max="10238" width="24.44140625" style="519" customWidth="1"/>
    <col min="10239" max="10239" width="67.5546875" style="519" customWidth="1"/>
    <col min="10240" max="10240" width="0" style="519" hidden="1" customWidth="1"/>
    <col min="10241" max="10243" width="12.88671875" style="519" customWidth="1"/>
    <col min="10244" max="10244" width="3.88671875" style="519" customWidth="1"/>
    <col min="10245" max="10245" width="12.88671875" style="519" customWidth="1"/>
    <col min="10246" max="10492" width="6.88671875" style="519" customWidth="1"/>
    <col min="10493" max="10493" width="9.109375" style="519"/>
    <col min="10494" max="10494" width="24.44140625" style="519" customWidth="1"/>
    <col min="10495" max="10495" width="67.5546875" style="519" customWidth="1"/>
    <col min="10496" max="10496" width="0" style="519" hidden="1" customWidth="1"/>
    <col min="10497" max="10499" width="12.88671875" style="519" customWidth="1"/>
    <col min="10500" max="10500" width="3.88671875" style="519" customWidth="1"/>
    <col min="10501" max="10501" width="12.88671875" style="519" customWidth="1"/>
    <col min="10502" max="10748" width="6.88671875" style="519" customWidth="1"/>
    <col min="10749" max="10749" width="9.109375" style="519"/>
    <col min="10750" max="10750" width="24.44140625" style="519" customWidth="1"/>
    <col min="10751" max="10751" width="67.5546875" style="519" customWidth="1"/>
    <col min="10752" max="10752" width="0" style="519" hidden="1" customWidth="1"/>
    <col min="10753" max="10755" width="12.88671875" style="519" customWidth="1"/>
    <col min="10756" max="10756" width="3.88671875" style="519" customWidth="1"/>
    <col min="10757" max="10757" width="12.88671875" style="519" customWidth="1"/>
    <col min="10758" max="11004" width="6.88671875" style="519" customWidth="1"/>
    <col min="11005" max="11005" width="9.109375" style="519"/>
    <col min="11006" max="11006" width="24.44140625" style="519" customWidth="1"/>
    <col min="11007" max="11007" width="67.5546875" style="519" customWidth="1"/>
    <col min="11008" max="11008" width="0" style="519" hidden="1" customWidth="1"/>
    <col min="11009" max="11011" width="12.88671875" style="519" customWidth="1"/>
    <col min="11012" max="11012" width="3.88671875" style="519" customWidth="1"/>
    <col min="11013" max="11013" width="12.88671875" style="519" customWidth="1"/>
    <col min="11014" max="11260" width="6.88671875" style="519" customWidth="1"/>
    <col min="11261" max="11261" width="9.109375" style="519"/>
    <col min="11262" max="11262" width="24.44140625" style="519" customWidth="1"/>
    <col min="11263" max="11263" width="67.5546875" style="519" customWidth="1"/>
    <col min="11264" max="11264" width="0" style="519" hidden="1" customWidth="1"/>
    <col min="11265" max="11267" width="12.88671875" style="519" customWidth="1"/>
    <col min="11268" max="11268" width="3.88671875" style="519" customWidth="1"/>
    <col min="11269" max="11269" width="12.88671875" style="519" customWidth="1"/>
    <col min="11270" max="11516" width="6.88671875" style="519" customWidth="1"/>
    <col min="11517" max="11517" width="9.109375" style="519"/>
    <col min="11518" max="11518" width="24.44140625" style="519" customWidth="1"/>
    <col min="11519" max="11519" width="67.5546875" style="519" customWidth="1"/>
    <col min="11520" max="11520" width="0" style="519" hidden="1" customWidth="1"/>
    <col min="11521" max="11523" width="12.88671875" style="519" customWidth="1"/>
    <col min="11524" max="11524" width="3.88671875" style="519" customWidth="1"/>
    <col min="11525" max="11525" width="12.88671875" style="519" customWidth="1"/>
    <col min="11526" max="11772" width="6.88671875" style="519" customWidth="1"/>
    <col min="11773" max="11773" width="9.109375" style="519"/>
    <col min="11774" max="11774" width="24.44140625" style="519" customWidth="1"/>
    <col min="11775" max="11775" width="67.5546875" style="519" customWidth="1"/>
    <col min="11776" max="11776" width="0" style="519" hidden="1" customWidth="1"/>
    <col min="11777" max="11779" width="12.88671875" style="519" customWidth="1"/>
    <col min="11780" max="11780" width="3.88671875" style="519" customWidth="1"/>
    <col min="11781" max="11781" width="12.88671875" style="519" customWidth="1"/>
    <col min="11782" max="12028" width="6.88671875" style="519" customWidth="1"/>
    <col min="12029" max="12029" width="9.109375" style="519"/>
    <col min="12030" max="12030" width="24.44140625" style="519" customWidth="1"/>
    <col min="12031" max="12031" width="67.5546875" style="519" customWidth="1"/>
    <col min="12032" max="12032" width="0" style="519" hidden="1" customWidth="1"/>
    <col min="12033" max="12035" width="12.88671875" style="519" customWidth="1"/>
    <col min="12036" max="12036" width="3.88671875" style="519" customWidth="1"/>
    <col min="12037" max="12037" width="12.88671875" style="519" customWidth="1"/>
    <col min="12038" max="12284" width="6.88671875" style="519" customWidth="1"/>
    <col min="12285" max="12285" width="9.109375" style="519"/>
    <col min="12286" max="12286" width="24.44140625" style="519" customWidth="1"/>
    <col min="12287" max="12287" width="67.5546875" style="519" customWidth="1"/>
    <col min="12288" max="12288" width="0" style="519" hidden="1" customWidth="1"/>
    <col min="12289" max="12291" width="12.88671875" style="519" customWidth="1"/>
    <col min="12292" max="12292" width="3.88671875" style="519" customWidth="1"/>
    <col min="12293" max="12293" width="12.88671875" style="519" customWidth="1"/>
    <col min="12294" max="12540" width="6.88671875" style="519" customWidth="1"/>
    <col min="12541" max="12541" width="9.109375" style="519"/>
    <col min="12542" max="12542" width="24.44140625" style="519" customWidth="1"/>
    <col min="12543" max="12543" width="67.5546875" style="519" customWidth="1"/>
    <col min="12544" max="12544" width="0" style="519" hidden="1" customWidth="1"/>
    <col min="12545" max="12547" width="12.88671875" style="519" customWidth="1"/>
    <col min="12548" max="12548" width="3.88671875" style="519" customWidth="1"/>
    <col min="12549" max="12549" width="12.88671875" style="519" customWidth="1"/>
    <col min="12550" max="12796" width="6.88671875" style="519" customWidth="1"/>
    <col min="12797" max="12797" width="9.109375" style="519"/>
    <col min="12798" max="12798" width="24.44140625" style="519" customWidth="1"/>
    <col min="12799" max="12799" width="67.5546875" style="519" customWidth="1"/>
    <col min="12800" max="12800" width="0" style="519" hidden="1" customWidth="1"/>
    <col min="12801" max="12803" width="12.88671875" style="519" customWidth="1"/>
    <col min="12804" max="12804" width="3.88671875" style="519" customWidth="1"/>
    <col min="12805" max="12805" width="12.88671875" style="519" customWidth="1"/>
    <col min="12806" max="13052" width="6.88671875" style="519" customWidth="1"/>
    <col min="13053" max="13053" width="9.109375" style="519"/>
    <col min="13054" max="13054" width="24.44140625" style="519" customWidth="1"/>
    <col min="13055" max="13055" width="67.5546875" style="519" customWidth="1"/>
    <col min="13056" max="13056" width="0" style="519" hidden="1" customWidth="1"/>
    <col min="13057" max="13059" width="12.88671875" style="519" customWidth="1"/>
    <col min="13060" max="13060" width="3.88671875" style="519" customWidth="1"/>
    <col min="13061" max="13061" width="12.88671875" style="519" customWidth="1"/>
    <col min="13062" max="13308" width="6.88671875" style="519" customWidth="1"/>
    <col min="13309" max="13309" width="9.109375" style="519"/>
    <col min="13310" max="13310" width="24.44140625" style="519" customWidth="1"/>
    <col min="13311" max="13311" width="67.5546875" style="519" customWidth="1"/>
    <col min="13312" max="13312" width="0" style="519" hidden="1" customWidth="1"/>
    <col min="13313" max="13315" width="12.88671875" style="519" customWidth="1"/>
    <col min="13316" max="13316" width="3.88671875" style="519" customWidth="1"/>
    <col min="13317" max="13317" width="12.88671875" style="519" customWidth="1"/>
    <col min="13318" max="13564" width="6.88671875" style="519" customWidth="1"/>
    <col min="13565" max="13565" width="9.109375" style="519"/>
    <col min="13566" max="13566" width="24.44140625" style="519" customWidth="1"/>
    <col min="13567" max="13567" width="67.5546875" style="519" customWidth="1"/>
    <col min="13568" max="13568" width="0" style="519" hidden="1" customWidth="1"/>
    <col min="13569" max="13571" width="12.88671875" style="519" customWidth="1"/>
    <col min="13572" max="13572" width="3.88671875" style="519" customWidth="1"/>
    <col min="13573" max="13573" width="12.88671875" style="519" customWidth="1"/>
    <col min="13574" max="13820" width="6.88671875" style="519" customWidth="1"/>
    <col min="13821" max="13821" width="9.109375" style="519"/>
    <col min="13822" max="13822" width="24.44140625" style="519" customWidth="1"/>
    <col min="13823" max="13823" width="67.5546875" style="519" customWidth="1"/>
    <col min="13824" max="13824" width="0" style="519" hidden="1" customWidth="1"/>
    <col min="13825" max="13827" width="12.88671875" style="519" customWidth="1"/>
    <col min="13828" max="13828" width="3.88671875" style="519" customWidth="1"/>
    <col min="13829" max="13829" width="12.88671875" style="519" customWidth="1"/>
    <col min="13830" max="14076" width="6.88671875" style="519" customWidth="1"/>
    <col min="14077" max="14077" width="9.109375" style="519"/>
    <col min="14078" max="14078" width="24.44140625" style="519" customWidth="1"/>
    <col min="14079" max="14079" width="67.5546875" style="519" customWidth="1"/>
    <col min="14080" max="14080" width="0" style="519" hidden="1" customWidth="1"/>
    <col min="14081" max="14083" width="12.88671875" style="519" customWidth="1"/>
    <col min="14084" max="14084" width="3.88671875" style="519" customWidth="1"/>
    <col min="14085" max="14085" width="12.88671875" style="519" customWidth="1"/>
    <col min="14086" max="14332" width="6.88671875" style="519" customWidth="1"/>
    <col min="14333" max="14333" width="9.109375" style="519"/>
    <col min="14334" max="14334" width="24.44140625" style="519" customWidth="1"/>
    <col min="14335" max="14335" width="67.5546875" style="519" customWidth="1"/>
    <col min="14336" max="14336" width="0" style="519" hidden="1" customWidth="1"/>
    <col min="14337" max="14339" width="12.88671875" style="519" customWidth="1"/>
    <col min="14340" max="14340" width="3.88671875" style="519" customWidth="1"/>
    <col min="14341" max="14341" width="12.88671875" style="519" customWidth="1"/>
    <col min="14342" max="14588" width="6.88671875" style="519" customWidth="1"/>
    <col min="14589" max="14589" width="9.109375" style="519"/>
    <col min="14590" max="14590" width="24.44140625" style="519" customWidth="1"/>
    <col min="14591" max="14591" width="67.5546875" style="519" customWidth="1"/>
    <col min="14592" max="14592" width="0" style="519" hidden="1" customWidth="1"/>
    <col min="14593" max="14595" width="12.88671875" style="519" customWidth="1"/>
    <col min="14596" max="14596" width="3.88671875" style="519" customWidth="1"/>
    <col min="14597" max="14597" width="12.88671875" style="519" customWidth="1"/>
    <col min="14598" max="14844" width="6.88671875" style="519" customWidth="1"/>
    <col min="14845" max="14845" width="9.109375" style="519"/>
    <col min="14846" max="14846" width="24.44140625" style="519" customWidth="1"/>
    <col min="14847" max="14847" width="67.5546875" style="519" customWidth="1"/>
    <col min="14848" max="14848" width="0" style="519" hidden="1" customWidth="1"/>
    <col min="14849" max="14851" width="12.88671875" style="519" customWidth="1"/>
    <col min="14852" max="14852" width="3.88671875" style="519" customWidth="1"/>
    <col min="14853" max="14853" width="12.88671875" style="519" customWidth="1"/>
    <col min="14854" max="15100" width="6.88671875" style="519" customWidth="1"/>
    <col min="15101" max="15101" width="9.109375" style="519"/>
    <col min="15102" max="15102" width="24.44140625" style="519" customWidth="1"/>
    <col min="15103" max="15103" width="67.5546875" style="519" customWidth="1"/>
    <col min="15104" max="15104" width="0" style="519" hidden="1" customWidth="1"/>
    <col min="15105" max="15107" width="12.88671875" style="519" customWidth="1"/>
    <col min="15108" max="15108" width="3.88671875" style="519" customWidth="1"/>
    <col min="15109" max="15109" width="12.88671875" style="519" customWidth="1"/>
    <col min="15110" max="15356" width="6.88671875" style="519" customWidth="1"/>
    <col min="15357" max="15357" width="9.109375" style="519"/>
    <col min="15358" max="15358" width="24.44140625" style="519" customWidth="1"/>
    <col min="15359" max="15359" width="67.5546875" style="519" customWidth="1"/>
    <col min="15360" max="15360" width="0" style="519" hidden="1" customWidth="1"/>
    <col min="15361" max="15363" width="12.88671875" style="519" customWidth="1"/>
    <col min="15364" max="15364" width="3.88671875" style="519" customWidth="1"/>
    <col min="15365" max="15365" width="12.88671875" style="519" customWidth="1"/>
    <col min="15366" max="15612" width="6.88671875" style="519" customWidth="1"/>
    <col min="15613" max="15613" width="9.109375" style="519"/>
    <col min="15614" max="15614" width="24.44140625" style="519" customWidth="1"/>
    <col min="15615" max="15615" width="67.5546875" style="519" customWidth="1"/>
    <col min="15616" max="15616" width="0" style="519" hidden="1" customWidth="1"/>
    <col min="15617" max="15619" width="12.88671875" style="519" customWidth="1"/>
    <col min="15620" max="15620" width="3.88671875" style="519" customWidth="1"/>
    <col min="15621" max="15621" width="12.88671875" style="519" customWidth="1"/>
    <col min="15622" max="15868" width="6.88671875" style="519" customWidth="1"/>
    <col min="15869" max="15869" width="9.109375" style="519"/>
    <col min="15870" max="15870" width="24.44140625" style="519" customWidth="1"/>
    <col min="15871" max="15871" width="67.5546875" style="519" customWidth="1"/>
    <col min="15872" max="15872" width="0" style="519" hidden="1" customWidth="1"/>
    <col min="15873" max="15875" width="12.88671875" style="519" customWidth="1"/>
    <col min="15876" max="15876" width="3.88671875" style="519" customWidth="1"/>
    <col min="15877" max="15877" width="12.88671875" style="519" customWidth="1"/>
    <col min="15878" max="16124" width="6.88671875" style="519" customWidth="1"/>
    <col min="16125" max="16125" width="9.109375" style="519"/>
    <col min="16126" max="16126" width="24.44140625" style="519" customWidth="1"/>
    <col min="16127" max="16127" width="67.5546875" style="519" customWidth="1"/>
    <col min="16128" max="16128" width="0" style="519" hidden="1" customWidth="1"/>
    <col min="16129" max="16131" width="12.88671875" style="519" customWidth="1"/>
    <col min="16132" max="16132" width="3.88671875" style="519" customWidth="1"/>
    <col min="16133" max="16133" width="12.88671875" style="519" customWidth="1"/>
    <col min="16134" max="16384" width="6.88671875" style="519" customWidth="1"/>
  </cols>
  <sheetData>
    <row r="2" spans="3:17" s="525" customFormat="1" ht="15" customHeight="1" x14ac:dyDescent="0.35">
      <c r="D2" s="526"/>
      <c r="E2" s="527"/>
      <c r="F2" s="527"/>
      <c r="G2" s="527"/>
      <c r="H2" s="527"/>
      <c r="I2" s="288"/>
      <c r="J2" s="531"/>
      <c r="K2" s="531"/>
      <c r="L2" s="531"/>
      <c r="M2" s="532"/>
      <c r="N2" s="530"/>
      <c r="P2" s="519"/>
      <c r="Q2" s="519"/>
    </row>
    <row r="3" spans="3:17" s="525" customFormat="1" ht="15" customHeight="1" x14ac:dyDescent="0.35">
      <c r="C3" s="294" t="s">
        <v>4310</v>
      </c>
      <c r="D3" s="533"/>
      <c r="E3" s="534"/>
      <c r="F3" s="534"/>
      <c r="G3" s="534"/>
      <c r="H3" s="534"/>
      <c r="I3" s="288"/>
      <c r="J3" s="531"/>
      <c r="K3" s="531"/>
      <c r="L3" s="531"/>
      <c r="M3" s="532"/>
      <c r="N3" s="530"/>
      <c r="P3" s="519"/>
      <c r="Q3" s="519"/>
    </row>
    <row r="4" spans="3:17" s="525" customFormat="1" ht="15" customHeight="1" x14ac:dyDescent="0.35">
      <c r="C4" s="535" t="s">
        <v>4311</v>
      </c>
      <c r="D4" s="533"/>
      <c r="E4" s="534"/>
      <c r="F4" s="534"/>
      <c r="G4" s="534"/>
      <c r="H4" s="534"/>
      <c r="I4" s="288"/>
      <c r="J4" s="531"/>
      <c r="K4" s="531"/>
      <c r="L4" s="536">
        <v>45400</v>
      </c>
      <c r="M4" s="532"/>
      <c r="N4" s="530"/>
      <c r="P4" s="519"/>
      <c r="Q4" s="519"/>
    </row>
    <row r="6" spans="3:17" ht="21" customHeight="1" x14ac:dyDescent="0.3">
      <c r="I6" s="537">
        <v>2022</v>
      </c>
      <c r="K6" s="537"/>
      <c r="L6" s="537">
        <v>2023</v>
      </c>
    </row>
    <row r="7" spans="3:17" s="538" customFormat="1" ht="15" customHeight="1" x14ac:dyDescent="0.3">
      <c r="C7" s="539" t="s">
        <v>2</v>
      </c>
      <c r="D7" s="540" t="s">
        <v>3</v>
      </c>
      <c r="E7" s="306" t="s">
        <v>6</v>
      </c>
      <c r="F7" s="541" t="s">
        <v>7</v>
      </c>
      <c r="G7" s="542" t="s">
        <v>8</v>
      </c>
      <c r="H7" s="542" t="s">
        <v>2118</v>
      </c>
      <c r="I7" s="306" t="s">
        <v>6</v>
      </c>
      <c r="J7" s="541" t="s">
        <v>7</v>
      </c>
      <c r="K7" s="542" t="s">
        <v>8</v>
      </c>
      <c r="L7" s="542" t="s">
        <v>2118</v>
      </c>
      <c r="M7" s="523" t="s">
        <v>2406</v>
      </c>
      <c r="N7" s="537" t="s">
        <v>3694</v>
      </c>
      <c r="P7" s="525"/>
      <c r="Q7" s="525"/>
    </row>
    <row r="8" spans="3:17" ht="15" customHeight="1" x14ac:dyDescent="0.3">
      <c r="C8" s="567" t="s">
        <v>4404</v>
      </c>
      <c r="D8" s="568" t="s">
        <v>453</v>
      </c>
      <c r="E8" s="569">
        <v>1587940.03</v>
      </c>
      <c r="F8" s="569">
        <v>6099640.7699999996</v>
      </c>
      <c r="G8" s="569">
        <v>0</v>
      </c>
      <c r="H8" s="569">
        <v>7687580.7999999998</v>
      </c>
      <c r="I8" s="570">
        <v>1587940.03</v>
      </c>
      <c r="J8" s="571">
        <v>6099640.7699999996</v>
      </c>
      <c r="K8" s="571">
        <v>0</v>
      </c>
      <c r="L8" s="571">
        <v>7687580.7999999998</v>
      </c>
    </row>
    <row r="9" spans="3:17" ht="15" customHeight="1" x14ac:dyDescent="0.3">
      <c r="C9" s="567"/>
      <c r="D9" s="568"/>
      <c r="E9" s="569"/>
      <c r="F9" s="569"/>
      <c r="G9" s="569"/>
      <c r="H9" s="569"/>
      <c r="I9" s="586">
        <v>45293</v>
      </c>
      <c r="J9" s="572"/>
      <c r="K9" s="572">
        <v>5829400.5199999996</v>
      </c>
      <c r="L9" s="571"/>
    </row>
    <row r="10" spans="3:17" ht="15" customHeight="1" x14ac:dyDescent="0.3">
      <c r="C10" s="567"/>
      <c r="D10" s="568"/>
      <c r="E10" s="569"/>
      <c r="F10" s="569"/>
      <c r="G10" s="569"/>
      <c r="H10" s="569"/>
      <c r="I10" s="586">
        <v>45293</v>
      </c>
      <c r="J10" s="572"/>
      <c r="K10" s="572">
        <v>270240.25</v>
      </c>
      <c r="L10" s="571"/>
    </row>
    <row r="11" spans="3:17" ht="15" customHeight="1" x14ac:dyDescent="0.3">
      <c r="C11" s="567"/>
      <c r="D11" s="568"/>
      <c r="E11" s="569"/>
      <c r="F11" s="569"/>
      <c r="G11" s="569"/>
      <c r="H11" s="569"/>
      <c r="I11" s="586">
        <v>45657</v>
      </c>
      <c r="J11" s="572"/>
      <c r="K11" s="572">
        <v>1381786.97</v>
      </c>
      <c r="L11" s="571"/>
    </row>
    <row r="12" spans="3:17" ht="15" customHeight="1" x14ac:dyDescent="0.3">
      <c r="C12" s="567" t="s">
        <v>4405</v>
      </c>
      <c r="D12" s="568" t="s">
        <v>457</v>
      </c>
      <c r="E12" s="569">
        <v>344566.26</v>
      </c>
      <c r="F12" s="569">
        <v>1317382.97</v>
      </c>
      <c r="G12" s="569">
        <v>0</v>
      </c>
      <c r="H12" s="569">
        <v>1661949.23</v>
      </c>
      <c r="I12" s="570">
        <v>344566.26</v>
      </c>
      <c r="J12" s="571">
        <v>1317382.97</v>
      </c>
      <c r="K12" s="571">
        <v>0</v>
      </c>
      <c r="L12" s="571">
        <v>1661949.23</v>
      </c>
    </row>
    <row r="13" spans="3:17" ht="15" customHeight="1" x14ac:dyDescent="0.3">
      <c r="C13" s="567"/>
      <c r="D13" s="568"/>
      <c r="E13" s="569"/>
      <c r="F13" s="569"/>
      <c r="G13" s="569"/>
      <c r="H13" s="569"/>
      <c r="I13" s="586">
        <v>45293</v>
      </c>
      <c r="J13" s="571"/>
      <c r="K13" s="572">
        <v>1258574.21</v>
      </c>
      <c r="L13" s="571"/>
    </row>
    <row r="14" spans="3:17" ht="15" customHeight="1" x14ac:dyDescent="0.3">
      <c r="C14" s="567"/>
      <c r="D14" s="568"/>
      <c r="E14" s="569"/>
      <c r="F14" s="569"/>
      <c r="G14" s="569"/>
      <c r="H14" s="569"/>
      <c r="I14" s="586">
        <v>45293</v>
      </c>
      <c r="J14" s="571"/>
      <c r="K14" s="572">
        <v>58808.76</v>
      </c>
      <c r="L14" s="571"/>
    </row>
    <row r="15" spans="3:17" ht="15" customHeight="1" x14ac:dyDescent="0.3">
      <c r="C15" s="567"/>
      <c r="D15" s="568"/>
      <c r="E15" s="569"/>
      <c r="F15" s="569"/>
      <c r="G15" s="569"/>
      <c r="H15" s="569"/>
      <c r="I15" s="586">
        <v>45657</v>
      </c>
      <c r="J15" s="571"/>
      <c r="K15" s="572">
        <v>257385.62</v>
      </c>
      <c r="L15" s="571"/>
    </row>
    <row r="16" spans="3:17" ht="15" customHeight="1" x14ac:dyDescent="0.3">
      <c r="C16" s="567" t="s">
        <v>4415</v>
      </c>
      <c r="D16" s="568" t="s">
        <v>506</v>
      </c>
      <c r="E16" s="569">
        <v>-18391.52</v>
      </c>
      <c r="F16" s="569">
        <v>1701860.96</v>
      </c>
      <c r="G16" s="569">
        <v>1701860.96</v>
      </c>
      <c r="H16" s="569">
        <v>-18391.52</v>
      </c>
      <c r="I16" s="570">
        <v>-18391.52</v>
      </c>
      <c r="J16" s="571">
        <v>1701860.96</v>
      </c>
      <c r="K16" s="571">
        <v>1701860.96</v>
      </c>
      <c r="L16" s="571">
        <v>-18391.52</v>
      </c>
    </row>
    <row r="17" spans="3:12" ht="15" customHeight="1" x14ac:dyDescent="0.3">
      <c r="C17" s="567"/>
      <c r="D17" s="568"/>
      <c r="E17" s="569"/>
      <c r="F17" s="569"/>
      <c r="G17" s="569"/>
      <c r="H17" s="569"/>
      <c r="I17" s="586">
        <v>45322</v>
      </c>
      <c r="J17" s="572">
        <v>5284.57</v>
      </c>
      <c r="K17" s="571"/>
      <c r="L17" s="571"/>
    </row>
    <row r="18" spans="3:12" ht="15" customHeight="1" x14ac:dyDescent="0.3">
      <c r="C18" s="567" t="s">
        <v>4444</v>
      </c>
      <c r="D18" s="568" t="s">
        <v>578</v>
      </c>
      <c r="E18" s="569">
        <v>97115.13</v>
      </c>
      <c r="F18" s="569">
        <v>98265.79</v>
      </c>
      <c r="G18" s="569">
        <v>89265.81</v>
      </c>
      <c r="H18" s="569">
        <v>106115.11</v>
      </c>
      <c r="I18" s="570">
        <v>97115.13</v>
      </c>
      <c r="J18" s="571">
        <v>98265.79</v>
      </c>
      <c r="K18" s="571">
        <v>89265.81</v>
      </c>
      <c r="L18" s="571">
        <v>106115.11</v>
      </c>
    </row>
    <row r="19" spans="3:12" ht="15" customHeight="1" x14ac:dyDescent="0.3">
      <c r="C19" s="567"/>
      <c r="D19" s="568"/>
      <c r="E19" s="569"/>
      <c r="F19" s="569"/>
      <c r="G19" s="569"/>
      <c r="H19" s="569"/>
      <c r="I19" s="586">
        <v>45535</v>
      </c>
      <c r="J19" s="572">
        <v>52393.83</v>
      </c>
      <c r="K19" s="571"/>
      <c r="L19" s="571"/>
    </row>
    <row r="20" spans="3:12" ht="15" customHeight="1" x14ac:dyDescent="0.3">
      <c r="C20" s="567" t="s">
        <v>4456</v>
      </c>
      <c r="D20" s="568" t="s">
        <v>3430</v>
      </c>
      <c r="E20" s="569">
        <v>530.16</v>
      </c>
      <c r="F20" s="569">
        <v>14744.64</v>
      </c>
      <c r="G20" s="569">
        <v>0</v>
      </c>
      <c r="H20" s="569">
        <v>15274.8</v>
      </c>
      <c r="I20" s="570">
        <v>530.16</v>
      </c>
      <c r="J20" s="571">
        <v>14744.64</v>
      </c>
      <c r="K20" s="571">
        <v>0</v>
      </c>
      <c r="L20" s="571">
        <v>15274.8</v>
      </c>
    </row>
    <row r="21" spans="3:12" ht="15" customHeight="1" x14ac:dyDescent="0.3">
      <c r="C21" s="567"/>
      <c r="D21" s="568"/>
      <c r="E21" s="569"/>
      <c r="F21" s="569"/>
      <c r="G21" s="569"/>
      <c r="H21" s="569"/>
      <c r="I21" s="570"/>
      <c r="J21" s="571"/>
      <c r="K21" s="572">
        <v>8965.7999999999993</v>
      </c>
      <c r="L21" s="588">
        <v>45657</v>
      </c>
    </row>
    <row r="22" spans="3:12" ht="15" customHeight="1" x14ac:dyDescent="0.3">
      <c r="C22" s="567" t="s">
        <v>4470</v>
      </c>
      <c r="D22" s="568" t="s">
        <v>654</v>
      </c>
      <c r="E22" s="569">
        <v>3864.04</v>
      </c>
      <c r="F22" s="569">
        <v>0</v>
      </c>
      <c r="G22" s="569">
        <v>0</v>
      </c>
      <c r="H22" s="569">
        <v>3864.04</v>
      </c>
      <c r="I22" s="570">
        <v>3864.04</v>
      </c>
      <c r="J22" s="571">
        <v>0</v>
      </c>
      <c r="K22" s="571">
        <v>0</v>
      </c>
      <c r="L22" s="571">
        <v>3864.04</v>
      </c>
    </row>
    <row r="23" spans="3:12" ht="15" customHeight="1" x14ac:dyDescent="0.3">
      <c r="C23" s="567"/>
      <c r="D23" s="568"/>
      <c r="E23" s="569"/>
      <c r="F23" s="569"/>
      <c r="G23" s="569"/>
      <c r="H23" s="569"/>
      <c r="I23" s="570"/>
      <c r="J23" s="571"/>
      <c r="K23" s="572">
        <v>3864.04</v>
      </c>
      <c r="L23" s="588">
        <v>45657</v>
      </c>
    </row>
    <row r="24" spans="3:12" ht="15" customHeight="1" x14ac:dyDescent="0.3">
      <c r="C24" s="567" t="s">
        <v>4471</v>
      </c>
      <c r="D24" s="568" t="s">
        <v>657</v>
      </c>
      <c r="E24" s="569">
        <v>2355.9899999999998</v>
      </c>
      <c r="F24" s="569">
        <v>0</v>
      </c>
      <c r="G24" s="569">
        <v>0</v>
      </c>
      <c r="H24" s="569">
        <v>2355.9899999999998</v>
      </c>
      <c r="I24" s="570">
        <v>2355.9899999999998</v>
      </c>
      <c r="J24" s="571">
        <v>0</v>
      </c>
      <c r="K24" s="571">
        <v>0</v>
      </c>
      <c r="L24" s="571">
        <v>2355.9899999999998</v>
      </c>
    </row>
    <row r="25" spans="3:12" ht="15" customHeight="1" x14ac:dyDescent="0.3">
      <c r="C25" s="567"/>
      <c r="D25" s="568"/>
      <c r="E25" s="569"/>
      <c r="F25" s="569"/>
      <c r="G25" s="569"/>
      <c r="H25" s="569"/>
      <c r="I25" s="570"/>
      <c r="J25" s="571"/>
      <c r="K25" s="572">
        <v>2355.9899999999998</v>
      </c>
      <c r="L25" s="588">
        <v>45657</v>
      </c>
    </row>
    <row r="26" spans="3:12" ht="15" customHeight="1" x14ac:dyDescent="0.3">
      <c r="C26" s="567" t="s">
        <v>4472</v>
      </c>
      <c r="D26" s="568" t="s">
        <v>660</v>
      </c>
      <c r="E26" s="569">
        <v>4391.76</v>
      </c>
      <c r="F26" s="569">
        <v>0</v>
      </c>
      <c r="G26" s="569">
        <v>0</v>
      </c>
      <c r="H26" s="569">
        <v>4391.76</v>
      </c>
      <c r="I26" s="570">
        <v>4391.76</v>
      </c>
      <c r="J26" s="571">
        <v>0</v>
      </c>
      <c r="K26" s="571">
        <v>0</v>
      </c>
      <c r="L26" s="571">
        <v>4391.76</v>
      </c>
    </row>
    <row r="27" spans="3:12" ht="15" customHeight="1" x14ac:dyDescent="0.3">
      <c r="C27" s="567"/>
      <c r="D27" s="568"/>
      <c r="E27" s="569"/>
      <c r="F27" s="569"/>
      <c r="G27" s="569"/>
      <c r="H27" s="569"/>
      <c r="I27" s="570"/>
      <c r="J27" s="571"/>
      <c r="K27" s="572">
        <v>4391.76</v>
      </c>
      <c r="L27" s="586">
        <v>45657</v>
      </c>
    </row>
    <row r="28" spans="3:12" ht="15" customHeight="1" x14ac:dyDescent="0.3">
      <c r="C28" s="567" t="s">
        <v>4473</v>
      </c>
      <c r="D28" s="568" t="s">
        <v>3441</v>
      </c>
      <c r="E28" s="569">
        <v>2725.64</v>
      </c>
      <c r="F28" s="569">
        <v>0</v>
      </c>
      <c r="G28" s="569">
        <v>0</v>
      </c>
      <c r="H28" s="569">
        <v>2725.64</v>
      </c>
      <c r="I28" s="570">
        <v>2725.64</v>
      </c>
      <c r="J28" s="571">
        <v>0</v>
      </c>
      <c r="K28" s="571">
        <v>0</v>
      </c>
      <c r="L28" s="571">
        <v>2725.64</v>
      </c>
    </row>
    <row r="29" spans="3:12" ht="15" customHeight="1" x14ac:dyDescent="0.3">
      <c r="C29" s="567"/>
      <c r="D29" s="568"/>
      <c r="E29" s="569"/>
      <c r="F29" s="569"/>
      <c r="G29" s="569"/>
      <c r="H29" s="569"/>
      <c r="I29" s="570"/>
      <c r="J29" s="571"/>
      <c r="K29" s="572">
        <v>2725.64</v>
      </c>
      <c r="L29" s="586">
        <v>45657</v>
      </c>
    </row>
    <row r="30" spans="3:12" ht="15" customHeight="1" x14ac:dyDescent="0.3">
      <c r="C30" s="567" t="s">
        <v>4474</v>
      </c>
      <c r="D30" s="568" t="s">
        <v>3442</v>
      </c>
      <c r="E30" s="569">
        <v>34997.629999999997</v>
      </c>
      <c r="F30" s="569">
        <v>0</v>
      </c>
      <c r="G30" s="569">
        <v>0</v>
      </c>
      <c r="H30" s="569">
        <v>34997.629999999997</v>
      </c>
      <c r="I30" s="570">
        <v>34997.629999999997</v>
      </c>
      <c r="J30" s="571">
        <v>0</v>
      </c>
      <c r="K30" s="571">
        <v>0</v>
      </c>
      <c r="L30" s="571">
        <v>34997.629999999997</v>
      </c>
    </row>
    <row r="31" spans="3:12" ht="15" customHeight="1" x14ac:dyDescent="0.3">
      <c r="C31" s="567"/>
      <c r="D31" s="568"/>
      <c r="E31" s="569"/>
      <c r="F31" s="569"/>
      <c r="G31" s="569"/>
      <c r="H31" s="569"/>
      <c r="I31" s="570"/>
      <c r="J31" s="571"/>
      <c r="K31" s="572">
        <v>34997.629999999997</v>
      </c>
      <c r="L31" s="588">
        <v>45657</v>
      </c>
    </row>
    <row r="32" spans="3:12" ht="15" customHeight="1" x14ac:dyDescent="0.3">
      <c r="C32" s="567" t="s">
        <v>4494</v>
      </c>
      <c r="D32" s="568" t="s">
        <v>742</v>
      </c>
      <c r="E32" s="569">
        <v>5813175.4400000004</v>
      </c>
      <c r="F32" s="569">
        <v>0</v>
      </c>
      <c r="G32" s="569">
        <v>0</v>
      </c>
      <c r="H32" s="569">
        <v>5813175.4400000004</v>
      </c>
      <c r="I32" s="570">
        <v>5813175.4400000004</v>
      </c>
      <c r="J32" s="571">
        <v>0</v>
      </c>
      <c r="K32" s="571">
        <v>0</v>
      </c>
      <c r="L32" s="571">
        <v>5813175.4400000004</v>
      </c>
    </row>
    <row r="33" spans="3:12" ht="15" customHeight="1" x14ac:dyDescent="0.3">
      <c r="C33" s="567"/>
      <c r="D33" s="568"/>
      <c r="E33" s="569"/>
      <c r="F33" s="569"/>
      <c r="G33" s="569"/>
      <c r="H33" s="569"/>
      <c r="I33" s="570"/>
      <c r="J33" s="571"/>
      <c r="K33" s="572">
        <v>131107.07999999999</v>
      </c>
      <c r="L33" s="588">
        <v>45657</v>
      </c>
    </row>
    <row r="34" spans="3:12" ht="15" customHeight="1" x14ac:dyDescent="0.3">
      <c r="C34" s="567" t="s">
        <v>4495</v>
      </c>
      <c r="D34" s="568" t="s">
        <v>745</v>
      </c>
      <c r="E34" s="569">
        <v>718728.13</v>
      </c>
      <c r="F34" s="569">
        <v>1810</v>
      </c>
      <c r="G34" s="569">
        <v>3620</v>
      </c>
      <c r="H34" s="569">
        <v>716918.13</v>
      </c>
      <c r="I34" s="570">
        <v>718728.13</v>
      </c>
      <c r="J34" s="571">
        <v>1810</v>
      </c>
      <c r="K34" s="571">
        <v>3620</v>
      </c>
      <c r="L34" s="571">
        <v>716918.13</v>
      </c>
    </row>
    <row r="35" spans="3:12" ht="15" customHeight="1" x14ac:dyDescent="0.3">
      <c r="C35" s="567"/>
      <c r="D35" s="568"/>
      <c r="E35" s="569"/>
      <c r="F35" s="569"/>
      <c r="G35" s="569"/>
      <c r="H35" s="569"/>
      <c r="I35" s="570"/>
      <c r="J35" s="571"/>
      <c r="K35" s="572">
        <v>2000</v>
      </c>
      <c r="L35" s="588">
        <v>45657</v>
      </c>
    </row>
    <row r="36" spans="3:12" ht="15" customHeight="1" x14ac:dyDescent="0.3">
      <c r="C36" s="567" t="s">
        <v>4501</v>
      </c>
      <c r="D36" s="568" t="s">
        <v>3452</v>
      </c>
      <c r="E36" s="569">
        <v>0</v>
      </c>
      <c r="F36" s="569">
        <v>0</v>
      </c>
      <c r="G36" s="569">
        <v>1079292.17</v>
      </c>
      <c r="H36" s="569">
        <v>-1079292.17</v>
      </c>
      <c r="I36" s="570">
        <v>0</v>
      </c>
      <c r="J36" s="571">
        <v>0</v>
      </c>
      <c r="K36" s="571">
        <v>1079292.17</v>
      </c>
      <c r="L36" s="571">
        <v>-1079292.17</v>
      </c>
    </row>
    <row r="37" spans="3:12" ht="15" customHeight="1" x14ac:dyDescent="0.3">
      <c r="C37" s="567"/>
      <c r="D37" s="568"/>
      <c r="E37" s="569"/>
      <c r="F37" s="569"/>
      <c r="G37" s="569"/>
      <c r="H37" s="569"/>
      <c r="I37" s="586">
        <v>45657</v>
      </c>
      <c r="J37" s="572">
        <v>1079292.17</v>
      </c>
      <c r="K37" s="571"/>
      <c r="L37" s="571"/>
    </row>
    <row r="38" spans="3:12" ht="15" customHeight="1" x14ac:dyDescent="0.3">
      <c r="C38" s="567" t="s">
        <v>4509</v>
      </c>
      <c r="D38" s="568" t="s">
        <v>3455</v>
      </c>
      <c r="E38" s="569">
        <v>0</v>
      </c>
      <c r="F38" s="569">
        <v>0</v>
      </c>
      <c r="G38" s="569">
        <v>432475.84</v>
      </c>
      <c r="H38" s="569">
        <v>-432475.84</v>
      </c>
      <c r="I38" s="570">
        <v>0</v>
      </c>
      <c r="J38" s="571">
        <v>0</v>
      </c>
      <c r="K38" s="571">
        <v>432475.84</v>
      </c>
      <c r="L38" s="571">
        <v>-432475.84</v>
      </c>
    </row>
    <row r="39" spans="3:12" ht="15" customHeight="1" x14ac:dyDescent="0.3">
      <c r="C39" s="567"/>
      <c r="D39" s="568"/>
      <c r="E39" s="569"/>
      <c r="F39" s="569"/>
      <c r="G39" s="569"/>
      <c r="H39" s="569"/>
      <c r="I39" s="586">
        <v>45657</v>
      </c>
      <c r="J39" s="572">
        <v>432475.84</v>
      </c>
      <c r="K39" s="571"/>
      <c r="L39" s="571"/>
    </row>
    <row r="40" spans="3:12" ht="15" customHeight="1" x14ac:dyDescent="0.3">
      <c r="C40" s="567" t="s">
        <v>4515</v>
      </c>
      <c r="D40" s="568" t="s">
        <v>801</v>
      </c>
      <c r="E40" s="569">
        <v>269130.88</v>
      </c>
      <c r="F40" s="569">
        <v>0</v>
      </c>
      <c r="G40" s="569">
        <v>0</v>
      </c>
      <c r="H40" s="569">
        <v>269130.88</v>
      </c>
      <c r="I40" s="570">
        <v>269130.88</v>
      </c>
      <c r="J40" s="571">
        <v>0</v>
      </c>
      <c r="K40" s="571">
        <v>0</v>
      </c>
      <c r="L40" s="571">
        <v>269130.88</v>
      </c>
    </row>
    <row r="41" spans="3:12" ht="15" customHeight="1" x14ac:dyDescent="0.3">
      <c r="C41" s="567"/>
      <c r="D41" s="568"/>
      <c r="E41" s="569"/>
      <c r="F41" s="569"/>
      <c r="G41" s="569"/>
      <c r="H41" s="569"/>
      <c r="I41" s="586">
        <v>45657</v>
      </c>
      <c r="J41" s="572">
        <v>2780</v>
      </c>
      <c r="K41" s="571"/>
      <c r="L41" s="571"/>
    </row>
    <row r="42" spans="3:12" ht="15" customHeight="1" x14ac:dyDescent="0.3">
      <c r="C42" s="567" t="s">
        <v>4520</v>
      </c>
      <c r="D42" s="568" t="s">
        <v>5906</v>
      </c>
      <c r="E42" s="569">
        <v>0</v>
      </c>
      <c r="F42" s="569">
        <v>0</v>
      </c>
      <c r="G42" s="569">
        <v>4979.88</v>
      </c>
      <c r="H42" s="569">
        <v>-4979.88</v>
      </c>
      <c r="I42" s="570">
        <v>0</v>
      </c>
      <c r="J42" s="571">
        <v>0</v>
      </c>
      <c r="K42" s="574">
        <v>4979.88</v>
      </c>
      <c r="L42" s="574">
        <v>-4979.88</v>
      </c>
    </row>
    <row r="43" spans="3:12" ht="15" customHeight="1" x14ac:dyDescent="0.3">
      <c r="C43" s="567"/>
      <c r="D43" s="568"/>
      <c r="E43" s="569"/>
      <c r="F43" s="569"/>
      <c r="G43" s="569"/>
      <c r="H43" s="569"/>
      <c r="I43" s="586">
        <v>45657</v>
      </c>
      <c r="J43" s="572">
        <v>4979.88</v>
      </c>
      <c r="K43" s="574"/>
      <c r="L43" s="574"/>
    </row>
    <row r="44" spans="3:12" ht="15" customHeight="1" x14ac:dyDescent="0.3">
      <c r="C44" s="567" t="s">
        <v>4523</v>
      </c>
      <c r="D44" s="568" t="s">
        <v>3460</v>
      </c>
      <c r="E44" s="569">
        <v>0</v>
      </c>
      <c r="F44" s="569">
        <v>0</v>
      </c>
      <c r="G44" s="569">
        <v>154833.72</v>
      </c>
      <c r="H44" s="569">
        <v>-154833.72</v>
      </c>
      <c r="I44" s="570">
        <v>0</v>
      </c>
      <c r="J44" s="571">
        <v>0</v>
      </c>
      <c r="K44" s="571">
        <v>154833.72</v>
      </c>
      <c r="L44" s="571">
        <v>-154833.72</v>
      </c>
    </row>
    <row r="45" spans="3:12" ht="15" customHeight="1" x14ac:dyDescent="0.3">
      <c r="C45" s="567"/>
      <c r="D45" s="568"/>
      <c r="E45" s="569"/>
      <c r="F45" s="569"/>
      <c r="G45" s="569"/>
      <c r="H45" s="569"/>
      <c r="I45" s="586">
        <v>45657</v>
      </c>
      <c r="J45" s="572">
        <v>154833.72</v>
      </c>
      <c r="K45" s="571"/>
      <c r="L45" s="571"/>
    </row>
    <row r="46" spans="3:12" ht="15" customHeight="1" x14ac:dyDescent="0.3">
      <c r="C46" s="567" t="s">
        <v>4528</v>
      </c>
      <c r="D46" s="568" t="s">
        <v>852</v>
      </c>
      <c r="E46" s="569">
        <v>187617.56</v>
      </c>
      <c r="F46" s="569">
        <v>20808.8</v>
      </c>
      <c r="G46" s="569">
        <v>41617.599999999999</v>
      </c>
      <c r="H46" s="569">
        <v>166808.76</v>
      </c>
      <c r="I46" s="570">
        <v>187617.56</v>
      </c>
      <c r="J46" s="571">
        <v>20808.8</v>
      </c>
      <c r="K46" s="571">
        <v>41617.599999999999</v>
      </c>
      <c r="L46" s="571">
        <v>166808.76</v>
      </c>
    </row>
    <row r="47" spans="3:12" ht="15" customHeight="1" x14ac:dyDescent="0.3">
      <c r="C47" s="567"/>
      <c r="D47" s="568"/>
      <c r="E47" s="569"/>
      <c r="F47" s="569"/>
      <c r="G47" s="569"/>
      <c r="H47" s="569"/>
      <c r="I47" s="570"/>
      <c r="J47" s="571"/>
      <c r="K47" s="572">
        <v>4430</v>
      </c>
      <c r="L47" s="586">
        <v>45657</v>
      </c>
    </row>
    <row r="48" spans="3:12" ht="15" customHeight="1" x14ac:dyDescent="0.3">
      <c r="C48" s="567" t="s">
        <v>4529</v>
      </c>
      <c r="D48" s="568" t="s">
        <v>3461</v>
      </c>
      <c r="E48" s="569">
        <v>0</v>
      </c>
      <c r="F48" s="569">
        <v>174380</v>
      </c>
      <c r="G48" s="569">
        <v>0</v>
      </c>
      <c r="H48" s="569">
        <v>174380</v>
      </c>
      <c r="I48" s="570">
        <v>0</v>
      </c>
      <c r="J48" s="571">
        <v>174380</v>
      </c>
      <c r="K48" s="571">
        <v>0</v>
      </c>
      <c r="L48" s="571">
        <v>174380</v>
      </c>
    </row>
    <row r="49" spans="3:12" ht="15" customHeight="1" x14ac:dyDescent="0.3">
      <c r="C49" s="567"/>
      <c r="D49" s="568"/>
      <c r="E49" s="569"/>
      <c r="F49" s="569"/>
      <c r="G49" s="569"/>
      <c r="H49" s="569"/>
      <c r="I49" s="570"/>
      <c r="J49" s="571"/>
      <c r="K49" s="572">
        <v>1448.93</v>
      </c>
      <c r="L49" s="586">
        <v>45657</v>
      </c>
    </row>
    <row r="50" spans="3:12" ht="15" customHeight="1" x14ac:dyDescent="0.3">
      <c r="C50" s="567" t="s">
        <v>4530</v>
      </c>
      <c r="D50" s="568" t="s">
        <v>3462</v>
      </c>
      <c r="E50" s="569">
        <v>0</v>
      </c>
      <c r="F50" s="569">
        <v>0</v>
      </c>
      <c r="G50" s="569">
        <v>98612.21</v>
      </c>
      <c r="H50" s="569">
        <v>-98612.21</v>
      </c>
      <c r="I50" s="570">
        <v>0</v>
      </c>
      <c r="J50" s="571">
        <v>0</v>
      </c>
      <c r="K50" s="571">
        <v>98612.21</v>
      </c>
      <c r="L50" s="571">
        <v>-98612.21</v>
      </c>
    </row>
    <row r="51" spans="3:12" ht="15" customHeight="1" x14ac:dyDescent="0.3">
      <c r="C51" s="567"/>
      <c r="D51" s="568"/>
      <c r="E51" s="569"/>
      <c r="F51" s="569"/>
      <c r="G51" s="569"/>
      <c r="H51" s="569"/>
      <c r="I51" s="586">
        <v>45657</v>
      </c>
      <c r="J51" s="572">
        <v>98612.21</v>
      </c>
      <c r="K51" s="571"/>
      <c r="L51" s="571"/>
    </row>
    <row r="52" spans="3:12" ht="15" customHeight="1" x14ac:dyDescent="0.3">
      <c r="C52" s="567" t="s">
        <v>4538</v>
      </c>
      <c r="D52" s="568" t="s">
        <v>881</v>
      </c>
      <c r="E52" s="569">
        <v>-6711170.5700000003</v>
      </c>
      <c r="F52" s="569">
        <v>0</v>
      </c>
      <c r="G52" s="569">
        <v>476532.82</v>
      </c>
      <c r="H52" s="569">
        <v>-7187703.3899999997</v>
      </c>
      <c r="I52" s="570">
        <v>-6711170.5700000003</v>
      </c>
      <c r="J52" s="571">
        <v>0</v>
      </c>
      <c r="K52" s="571">
        <v>476532.82</v>
      </c>
      <c r="L52" s="571">
        <v>-7187703.3899999997</v>
      </c>
    </row>
    <row r="53" spans="3:12" ht="15" customHeight="1" x14ac:dyDescent="0.3">
      <c r="C53" s="567"/>
      <c r="D53" s="568"/>
      <c r="E53" s="569"/>
      <c r="F53" s="569"/>
      <c r="G53" s="569"/>
      <c r="H53" s="569"/>
      <c r="I53" s="570"/>
      <c r="J53" s="571"/>
      <c r="K53" s="572">
        <v>691652.59</v>
      </c>
      <c r="L53" s="588">
        <v>45657</v>
      </c>
    </row>
    <row r="54" spans="3:12" ht="15" customHeight="1" x14ac:dyDescent="0.3">
      <c r="C54" s="567" t="s">
        <v>4539</v>
      </c>
      <c r="D54" s="568" t="s">
        <v>885</v>
      </c>
      <c r="E54" s="569">
        <v>-17859322.640000001</v>
      </c>
      <c r="F54" s="569">
        <v>1096358</v>
      </c>
      <c r="G54" s="569">
        <v>376233.72</v>
      </c>
      <c r="H54" s="569">
        <v>-17139198.359999999</v>
      </c>
      <c r="I54" s="570">
        <v>-17859322.640000001</v>
      </c>
      <c r="J54" s="571">
        <v>1096358</v>
      </c>
      <c r="K54" s="571">
        <v>376233.72</v>
      </c>
      <c r="L54" s="571">
        <v>-17139198.359999999</v>
      </c>
    </row>
    <row r="55" spans="3:12" ht="15" customHeight="1" x14ac:dyDescent="0.3">
      <c r="C55" s="567"/>
      <c r="D55" s="568"/>
      <c r="E55" s="569"/>
      <c r="F55" s="569"/>
      <c r="G55" s="569"/>
      <c r="H55" s="569"/>
      <c r="I55" s="586">
        <v>45657</v>
      </c>
      <c r="J55" s="572">
        <v>478078.36</v>
      </c>
      <c r="K55" s="571"/>
      <c r="L55" s="571"/>
    </row>
    <row r="56" spans="3:12" ht="15" customHeight="1" x14ac:dyDescent="0.3">
      <c r="C56" s="567" t="s">
        <v>4540</v>
      </c>
      <c r="D56" s="568" t="s">
        <v>889</v>
      </c>
      <c r="E56" s="569">
        <v>-145360.85</v>
      </c>
      <c r="F56" s="569">
        <v>58424.480000000003</v>
      </c>
      <c r="G56" s="569">
        <v>32241.27</v>
      </c>
      <c r="H56" s="569">
        <v>-119177.64</v>
      </c>
      <c r="I56" s="570">
        <v>-145360.85</v>
      </c>
      <c r="J56" s="571">
        <v>58424.480000000003</v>
      </c>
      <c r="K56" s="571">
        <v>32241.27</v>
      </c>
      <c r="L56" s="571">
        <v>-119177.64</v>
      </c>
    </row>
    <row r="57" spans="3:12" ht="15" customHeight="1" x14ac:dyDescent="0.3">
      <c r="C57" s="567"/>
      <c r="D57" s="568"/>
      <c r="E57" s="569"/>
      <c r="F57" s="569"/>
      <c r="G57" s="569"/>
      <c r="H57" s="569"/>
      <c r="I57" s="586">
        <v>45657</v>
      </c>
      <c r="J57" s="572">
        <v>91373.15</v>
      </c>
      <c r="K57" s="571"/>
      <c r="L57" s="571"/>
    </row>
    <row r="58" spans="3:12" ht="15" customHeight="1" x14ac:dyDescent="0.3">
      <c r="C58" s="567" t="s">
        <v>4541</v>
      </c>
      <c r="D58" s="568" t="s">
        <v>892</v>
      </c>
      <c r="E58" s="569">
        <v>-3202809.3</v>
      </c>
      <c r="F58" s="569">
        <v>0</v>
      </c>
      <c r="G58" s="569">
        <v>0</v>
      </c>
      <c r="H58" s="569">
        <v>-3202809.3</v>
      </c>
      <c r="I58" s="570">
        <v>-3202809.3</v>
      </c>
      <c r="J58" s="571">
        <v>0</v>
      </c>
      <c r="K58" s="571">
        <v>0</v>
      </c>
      <c r="L58" s="571">
        <v>-3202809.3</v>
      </c>
    </row>
    <row r="59" spans="3:12" ht="15" customHeight="1" x14ac:dyDescent="0.3">
      <c r="C59" s="567"/>
      <c r="D59" s="568"/>
      <c r="E59" s="569"/>
      <c r="F59" s="569"/>
      <c r="G59" s="569"/>
      <c r="H59" s="569"/>
      <c r="I59" s="586">
        <v>45657</v>
      </c>
      <c r="J59" s="572">
        <v>551.16999999999996</v>
      </c>
      <c r="K59" s="571"/>
      <c r="L59" s="571"/>
    </row>
    <row r="60" spans="3:12" ht="15" customHeight="1" x14ac:dyDescent="0.3">
      <c r="C60" s="567" t="s">
        <v>4542</v>
      </c>
      <c r="D60" s="568" t="s">
        <v>895</v>
      </c>
      <c r="E60" s="569">
        <v>-27900.2</v>
      </c>
      <c r="F60" s="569">
        <v>0</v>
      </c>
      <c r="G60" s="569">
        <v>0</v>
      </c>
      <c r="H60" s="569">
        <v>-27900.2</v>
      </c>
      <c r="I60" s="570">
        <v>-27900.2</v>
      </c>
      <c r="J60" s="571">
        <v>0</v>
      </c>
      <c r="K60" s="571">
        <v>0</v>
      </c>
      <c r="L60" s="571">
        <v>-27900.2</v>
      </c>
    </row>
    <row r="61" spans="3:12" ht="15" customHeight="1" x14ac:dyDescent="0.3">
      <c r="C61" s="567"/>
      <c r="D61" s="568"/>
      <c r="E61" s="569"/>
      <c r="F61" s="569"/>
      <c r="G61" s="569"/>
      <c r="H61" s="569"/>
      <c r="I61" s="570"/>
      <c r="J61" s="571"/>
      <c r="K61" s="572">
        <v>4979.88</v>
      </c>
      <c r="L61" s="586">
        <v>45657</v>
      </c>
    </row>
    <row r="62" spans="3:12" ht="15" customHeight="1" x14ac:dyDescent="0.3">
      <c r="C62" s="567" t="s">
        <v>4543</v>
      </c>
      <c r="D62" s="568" t="s">
        <v>899</v>
      </c>
      <c r="E62" s="569">
        <v>-789851.11</v>
      </c>
      <c r="F62" s="569">
        <v>279658.12</v>
      </c>
      <c r="G62" s="569">
        <v>67800</v>
      </c>
      <c r="H62" s="569">
        <v>-577992.99</v>
      </c>
      <c r="I62" s="570">
        <v>-789851.11</v>
      </c>
      <c r="J62" s="571">
        <v>279658.12</v>
      </c>
      <c r="K62" s="571">
        <v>67800</v>
      </c>
      <c r="L62" s="571">
        <v>-577992.99</v>
      </c>
    </row>
    <row r="63" spans="3:12" ht="15" customHeight="1" x14ac:dyDescent="0.3">
      <c r="C63" s="567"/>
      <c r="D63" s="568"/>
      <c r="E63" s="569"/>
      <c r="F63" s="569"/>
      <c r="G63" s="569"/>
      <c r="H63" s="569"/>
      <c r="I63" s="570"/>
      <c r="J63" s="571"/>
      <c r="K63" s="572">
        <v>75053.119999999995</v>
      </c>
      <c r="L63" s="588">
        <v>45657</v>
      </c>
    </row>
    <row r="64" spans="3:12" ht="15" customHeight="1" x14ac:dyDescent="0.3">
      <c r="C64" s="567" t="s">
        <v>4544</v>
      </c>
      <c r="D64" s="568" t="s">
        <v>902</v>
      </c>
      <c r="E64" s="569">
        <v>-368187.94</v>
      </c>
      <c r="F64" s="569">
        <v>70848.100000000006</v>
      </c>
      <c r="G64" s="569">
        <v>56151.67</v>
      </c>
      <c r="H64" s="569">
        <v>-353491.51</v>
      </c>
      <c r="I64" s="570">
        <v>-368187.94</v>
      </c>
      <c r="J64" s="571">
        <v>70848.100000000006</v>
      </c>
      <c r="K64" s="571">
        <v>56151.67</v>
      </c>
      <c r="L64" s="571">
        <v>-353491.51</v>
      </c>
    </row>
    <row r="65" spans="3:14" ht="15" customHeight="1" x14ac:dyDescent="0.3">
      <c r="C65" s="567"/>
      <c r="D65" s="568"/>
      <c r="E65" s="569"/>
      <c r="F65" s="569"/>
      <c r="G65" s="569"/>
      <c r="H65" s="569"/>
      <c r="I65" s="570"/>
      <c r="J65" s="571"/>
      <c r="K65" s="572">
        <v>8131.67</v>
      </c>
      <c r="L65" s="586">
        <v>45657</v>
      </c>
    </row>
    <row r="66" spans="3:14" ht="15" customHeight="1" x14ac:dyDescent="0.3">
      <c r="C66" s="567" t="s">
        <v>4563</v>
      </c>
      <c r="D66" s="568" t="s">
        <v>958</v>
      </c>
      <c r="E66" s="569">
        <v>-20812607.010000002</v>
      </c>
      <c r="F66" s="569">
        <v>23500022.469999999</v>
      </c>
      <c r="G66" s="569">
        <v>4790114.7300000004</v>
      </c>
      <c r="H66" s="569">
        <v>-2102699.27</v>
      </c>
      <c r="I66" s="570">
        <v>-20812607.010000002</v>
      </c>
      <c r="J66" s="571">
        <v>23500022.469999999</v>
      </c>
      <c r="K66" s="571">
        <v>4790114.7300000004</v>
      </c>
      <c r="L66" s="571">
        <v>-2102699.27</v>
      </c>
    </row>
    <row r="67" spans="3:14" ht="15" customHeight="1" x14ac:dyDescent="0.3">
      <c r="C67" s="567"/>
      <c r="D67" s="568"/>
      <c r="E67" s="569"/>
      <c r="F67" s="569"/>
      <c r="G67" s="569"/>
      <c r="H67" s="569"/>
      <c r="I67" s="586">
        <v>45474</v>
      </c>
      <c r="J67" s="572">
        <v>2102721.7400000002</v>
      </c>
      <c r="K67" s="571"/>
      <c r="L67" s="571"/>
    </row>
    <row r="68" spans="3:14" ht="15" customHeight="1" x14ac:dyDescent="0.3">
      <c r="C68" s="567" t="s">
        <v>4599</v>
      </c>
      <c r="D68" s="568" t="s">
        <v>1069</v>
      </c>
      <c r="E68" s="576">
        <v>-2201.83</v>
      </c>
      <c r="F68" s="576">
        <v>18141.63</v>
      </c>
      <c r="G68" s="576">
        <v>17801.29</v>
      </c>
      <c r="H68" s="576">
        <v>-1861.49</v>
      </c>
      <c r="I68" s="570">
        <v>-2201.83</v>
      </c>
      <c r="J68" s="571">
        <v>18141.63</v>
      </c>
      <c r="K68" s="571">
        <v>17801.29</v>
      </c>
      <c r="L68" s="571">
        <v>-1861.49</v>
      </c>
      <c r="M68" s="548"/>
    </row>
    <row r="69" spans="3:14" ht="15" customHeight="1" x14ac:dyDescent="0.3">
      <c r="C69" s="567"/>
      <c r="D69" s="568"/>
      <c r="E69" s="576"/>
      <c r="F69" s="576"/>
      <c r="G69" s="576"/>
      <c r="H69" s="576"/>
      <c r="I69" s="586">
        <v>45293</v>
      </c>
      <c r="J69" s="573">
        <v>27.99</v>
      </c>
      <c r="K69" s="577"/>
      <c r="L69" s="571"/>
    </row>
    <row r="70" spans="3:14" ht="15" customHeight="1" x14ac:dyDescent="0.3">
      <c r="C70" s="567"/>
      <c r="D70" s="568"/>
      <c r="E70" s="576"/>
      <c r="F70" s="576"/>
      <c r="G70" s="576"/>
      <c r="H70" s="576"/>
      <c r="I70" s="586">
        <v>45293</v>
      </c>
      <c r="J70" s="573">
        <v>1485.79</v>
      </c>
      <c r="K70" s="577"/>
      <c r="L70" s="571"/>
    </row>
    <row r="71" spans="3:14" ht="15" customHeight="1" x14ac:dyDescent="0.3">
      <c r="C71" s="567"/>
      <c r="D71" s="568"/>
      <c r="E71" s="576"/>
      <c r="F71" s="576"/>
      <c r="G71" s="576"/>
      <c r="H71" s="576"/>
      <c r="I71" s="586">
        <v>45293</v>
      </c>
      <c r="J71" s="573">
        <v>5000</v>
      </c>
      <c r="K71" s="577"/>
      <c r="L71" s="571"/>
    </row>
    <row r="72" spans="3:14" ht="15" customHeight="1" x14ac:dyDescent="0.3">
      <c r="C72" s="567"/>
      <c r="D72" s="568"/>
      <c r="E72" s="576"/>
      <c r="F72" s="576"/>
      <c r="G72" s="576"/>
      <c r="H72" s="576"/>
      <c r="I72" s="586">
        <v>45293</v>
      </c>
      <c r="J72" s="577"/>
      <c r="K72" s="573">
        <v>4076.59</v>
      </c>
      <c r="L72" s="571"/>
    </row>
    <row r="73" spans="3:14" ht="15" customHeight="1" x14ac:dyDescent="0.3">
      <c r="C73" s="567"/>
      <c r="D73" s="568"/>
      <c r="E73" s="576"/>
      <c r="F73" s="576"/>
      <c r="G73" s="576"/>
      <c r="H73" s="576"/>
      <c r="I73" s="586">
        <v>45293</v>
      </c>
      <c r="J73" s="577"/>
      <c r="K73" s="573">
        <v>575.70000000000005</v>
      </c>
      <c r="L73" s="571"/>
    </row>
    <row r="74" spans="3:14" ht="15" customHeight="1" x14ac:dyDescent="0.3">
      <c r="C74" s="567" t="s">
        <v>4636</v>
      </c>
      <c r="D74" s="568" t="s">
        <v>3490</v>
      </c>
      <c r="E74" s="569">
        <v>0</v>
      </c>
      <c r="F74" s="569">
        <v>362189.34</v>
      </c>
      <c r="G74" s="569">
        <v>362189.34</v>
      </c>
      <c r="H74" s="569">
        <v>0</v>
      </c>
      <c r="I74" s="570">
        <v>0</v>
      </c>
      <c r="J74" s="571">
        <v>362189.34</v>
      </c>
      <c r="K74" s="571">
        <v>362189.34</v>
      </c>
      <c r="L74" s="571">
        <v>0</v>
      </c>
    </row>
    <row r="75" spans="3:14" ht="15" customHeight="1" x14ac:dyDescent="0.3">
      <c r="C75" s="567"/>
      <c r="D75" s="568"/>
      <c r="E75" s="569"/>
      <c r="F75" s="569"/>
      <c r="G75" s="569"/>
      <c r="H75" s="569"/>
      <c r="I75" s="586">
        <v>45293</v>
      </c>
      <c r="J75" s="571"/>
      <c r="K75" s="572">
        <v>179001.09</v>
      </c>
      <c r="L75" s="571"/>
    </row>
    <row r="76" spans="3:14" ht="15" customHeight="1" x14ac:dyDescent="0.3">
      <c r="C76" s="567" t="s">
        <v>4645</v>
      </c>
      <c r="D76" s="568" t="s">
        <v>1219</v>
      </c>
      <c r="E76" s="569">
        <v>0</v>
      </c>
      <c r="F76" s="569">
        <v>24181.42</v>
      </c>
      <c r="G76" s="569">
        <v>24213.49</v>
      </c>
      <c r="H76" s="569">
        <v>-32.07</v>
      </c>
      <c r="I76" s="570">
        <v>0</v>
      </c>
      <c r="J76" s="571">
        <v>24181.42</v>
      </c>
      <c r="K76" s="571">
        <v>24213.49</v>
      </c>
      <c r="L76" s="571">
        <v>-32.07</v>
      </c>
    </row>
    <row r="77" spans="3:14" ht="15" customHeight="1" x14ac:dyDescent="0.3">
      <c r="C77" s="567"/>
      <c r="D77" s="568"/>
      <c r="E77" s="569"/>
      <c r="F77" s="569"/>
      <c r="G77" s="569"/>
      <c r="H77" s="569"/>
      <c r="I77" s="586">
        <v>45293</v>
      </c>
      <c r="J77" s="571"/>
      <c r="K77" s="572">
        <v>43.77</v>
      </c>
      <c r="L77" s="571"/>
    </row>
    <row r="78" spans="3:14" ht="15" customHeight="1" x14ac:dyDescent="0.3">
      <c r="C78" s="567"/>
      <c r="D78" s="568"/>
      <c r="E78" s="569"/>
      <c r="F78" s="569"/>
      <c r="G78" s="569"/>
      <c r="H78" s="569"/>
      <c r="I78" s="586">
        <v>45293</v>
      </c>
      <c r="J78" s="571"/>
      <c r="K78" s="572">
        <v>13.55</v>
      </c>
      <c r="L78" s="571"/>
    </row>
    <row r="79" spans="3:14" ht="15" customHeight="1" x14ac:dyDescent="0.3">
      <c r="C79" s="567" t="s">
        <v>4708</v>
      </c>
      <c r="D79" s="568" t="s">
        <v>1318</v>
      </c>
      <c r="E79" s="569">
        <v>-4035.88</v>
      </c>
      <c r="F79" s="569">
        <v>59989.18</v>
      </c>
      <c r="G79" s="569">
        <v>73653.600000000006</v>
      </c>
      <c r="H79" s="569">
        <v>-17700.3</v>
      </c>
      <c r="I79" s="570">
        <v>-4035.88</v>
      </c>
      <c r="J79" s="571">
        <v>59989.18</v>
      </c>
      <c r="K79" s="571">
        <v>73653.600000000006</v>
      </c>
      <c r="L79" s="571">
        <v>-17700.3</v>
      </c>
      <c r="N79" s="523"/>
    </row>
    <row r="80" spans="3:14" ht="15" customHeight="1" x14ac:dyDescent="0.3">
      <c r="C80" s="567"/>
      <c r="D80" s="568"/>
      <c r="E80" s="569"/>
      <c r="F80" s="569"/>
      <c r="G80" s="569"/>
      <c r="H80" s="569"/>
      <c r="I80" s="570"/>
      <c r="J80" s="571"/>
      <c r="K80" s="572">
        <v>4.2300000000000004</v>
      </c>
      <c r="L80" s="588">
        <v>45656</v>
      </c>
      <c r="N80" s="523"/>
    </row>
    <row r="81" spans="3:17" ht="15" customHeight="1" x14ac:dyDescent="0.3">
      <c r="C81" s="567" t="s">
        <v>4712</v>
      </c>
      <c r="D81" s="568" t="s">
        <v>1337</v>
      </c>
      <c r="E81" s="569">
        <v>-12751.49</v>
      </c>
      <c r="F81" s="569">
        <v>37438.67</v>
      </c>
      <c r="G81" s="569">
        <v>30896.91</v>
      </c>
      <c r="H81" s="569">
        <v>-6209.73</v>
      </c>
      <c r="I81" s="570">
        <v>-12751.49</v>
      </c>
      <c r="J81" s="571">
        <v>37438.67</v>
      </c>
      <c r="K81" s="571">
        <v>30896.91</v>
      </c>
      <c r="L81" s="571">
        <v>-6209.73</v>
      </c>
      <c r="N81" s="523"/>
    </row>
    <row r="82" spans="3:17" ht="15" customHeight="1" x14ac:dyDescent="0.3">
      <c r="C82" s="567"/>
      <c r="D82" s="568"/>
      <c r="E82" s="569"/>
      <c r="F82" s="569"/>
      <c r="G82" s="569"/>
      <c r="H82" s="569"/>
      <c r="I82" s="586">
        <v>45309</v>
      </c>
      <c r="J82" s="572">
        <v>4298.5200000000004</v>
      </c>
      <c r="K82" s="571"/>
      <c r="L82" s="571"/>
      <c r="N82" s="523"/>
    </row>
    <row r="83" spans="3:17" ht="15" customHeight="1" x14ac:dyDescent="0.3">
      <c r="C83" s="567" t="s">
        <v>4742</v>
      </c>
      <c r="D83" s="568" t="s">
        <v>3551</v>
      </c>
      <c r="E83" s="569">
        <v>0</v>
      </c>
      <c r="F83" s="569">
        <v>0</v>
      </c>
      <c r="G83" s="569">
        <v>492177.55</v>
      </c>
      <c r="H83" s="569">
        <v>-492177.55</v>
      </c>
      <c r="I83" s="570">
        <v>0</v>
      </c>
      <c r="J83" s="571">
        <v>0</v>
      </c>
      <c r="K83" s="571">
        <v>492177.55</v>
      </c>
      <c r="L83" s="571">
        <v>-492177.55</v>
      </c>
      <c r="N83" s="523"/>
    </row>
    <row r="84" spans="3:17" ht="15" customHeight="1" x14ac:dyDescent="0.3">
      <c r="C84" s="567"/>
      <c r="D84" s="568"/>
      <c r="E84" s="569"/>
      <c r="F84" s="569"/>
      <c r="G84" s="569"/>
      <c r="H84" s="569"/>
      <c r="I84" s="586">
        <v>45293</v>
      </c>
      <c r="J84" s="572">
        <v>492177.55</v>
      </c>
      <c r="K84" s="571"/>
      <c r="L84" s="571"/>
      <c r="N84" s="523"/>
    </row>
    <row r="85" spans="3:17" ht="15" customHeight="1" x14ac:dyDescent="0.3">
      <c r="C85" s="545"/>
      <c r="D85" s="320"/>
      <c r="E85" s="544"/>
      <c r="F85" s="544"/>
      <c r="G85" s="544"/>
      <c r="H85" s="544"/>
      <c r="I85" s="589"/>
      <c r="J85" s="557"/>
      <c r="K85" s="518"/>
      <c r="L85" s="518"/>
      <c r="N85" s="523"/>
    </row>
    <row r="86" spans="3:17" ht="15" customHeight="1" x14ac:dyDescent="0.3">
      <c r="C86" s="567" t="s">
        <v>4795</v>
      </c>
      <c r="D86" s="568" t="s">
        <v>1665</v>
      </c>
      <c r="E86" s="569">
        <v>0</v>
      </c>
      <c r="F86" s="569">
        <v>1916789.59</v>
      </c>
      <c r="G86" s="569">
        <v>0</v>
      </c>
      <c r="H86" s="569">
        <v>1916789.59</v>
      </c>
      <c r="I86" s="570">
        <v>0</v>
      </c>
      <c r="J86" s="571">
        <v>1916789.59</v>
      </c>
      <c r="K86" s="571">
        <v>0</v>
      </c>
      <c r="L86" s="571">
        <v>1916789.59</v>
      </c>
      <c r="N86" s="523"/>
    </row>
    <row r="87" spans="3:17" ht="15" customHeight="1" x14ac:dyDescent="0.3">
      <c r="C87" s="567"/>
      <c r="D87" s="568"/>
      <c r="E87" s="569"/>
      <c r="F87" s="569"/>
      <c r="G87" s="569"/>
      <c r="H87" s="569"/>
      <c r="I87" s="570"/>
      <c r="J87" s="571"/>
      <c r="K87" s="572">
        <v>5284.57</v>
      </c>
      <c r="L87" s="588">
        <v>45322</v>
      </c>
      <c r="N87" s="523"/>
    </row>
    <row r="88" spans="3:17" s="525" customFormat="1" ht="14.4" x14ac:dyDescent="0.3">
      <c r="C88" s="578" t="s">
        <v>4810</v>
      </c>
      <c r="D88" s="579" t="s">
        <v>1681</v>
      </c>
      <c r="E88" s="569"/>
      <c r="F88" s="569"/>
      <c r="G88" s="569"/>
      <c r="H88" s="569"/>
      <c r="I88" s="570">
        <v>0</v>
      </c>
      <c r="J88" s="571">
        <v>0</v>
      </c>
      <c r="K88" s="571">
        <v>0</v>
      </c>
      <c r="L88" s="571">
        <v>0</v>
      </c>
      <c r="N88" s="549"/>
      <c r="P88" s="519"/>
      <c r="Q88" s="519"/>
    </row>
    <row r="89" spans="3:17" s="525" customFormat="1" ht="14.4" x14ac:dyDescent="0.3">
      <c r="C89" s="578"/>
      <c r="D89" s="579"/>
      <c r="E89" s="569"/>
      <c r="F89" s="569"/>
      <c r="G89" s="569"/>
      <c r="H89" s="569"/>
      <c r="I89" s="586">
        <v>45293</v>
      </c>
      <c r="J89" s="572">
        <v>5829400.5199999996</v>
      </c>
      <c r="K89" s="571"/>
      <c r="L89" s="571"/>
      <c r="N89" s="549"/>
      <c r="P89" s="519"/>
      <c r="Q89" s="519"/>
    </row>
    <row r="90" spans="3:17" s="525" customFormat="1" ht="14.4" x14ac:dyDescent="0.3">
      <c r="C90" s="578"/>
      <c r="D90" s="579"/>
      <c r="E90" s="569"/>
      <c r="F90" s="569"/>
      <c r="G90" s="569"/>
      <c r="H90" s="569"/>
      <c r="I90" s="586">
        <v>45293</v>
      </c>
      <c r="J90" s="572">
        <v>1258574.21</v>
      </c>
      <c r="K90" s="571"/>
      <c r="L90" s="571"/>
      <c r="N90" s="549"/>
      <c r="P90" s="519"/>
      <c r="Q90" s="519"/>
    </row>
    <row r="91" spans="3:17" s="525" customFormat="1" ht="14.4" x14ac:dyDescent="0.3">
      <c r="C91" s="578"/>
      <c r="D91" s="579"/>
      <c r="E91" s="569"/>
      <c r="F91" s="569"/>
      <c r="G91" s="569"/>
      <c r="H91" s="569"/>
      <c r="I91" s="586">
        <v>45293</v>
      </c>
      <c r="J91" s="572">
        <v>270240.25</v>
      </c>
      <c r="K91" s="571"/>
      <c r="L91" s="571"/>
      <c r="N91" s="549"/>
      <c r="P91" s="519"/>
      <c r="Q91" s="519"/>
    </row>
    <row r="92" spans="3:17" s="525" customFormat="1" ht="14.4" x14ac:dyDescent="0.3">
      <c r="C92" s="578"/>
      <c r="D92" s="579"/>
      <c r="E92" s="569"/>
      <c r="F92" s="569"/>
      <c r="G92" s="569"/>
      <c r="H92" s="569"/>
      <c r="I92" s="586">
        <v>45293</v>
      </c>
      <c r="J92" s="572">
        <v>58808.76</v>
      </c>
      <c r="K92" s="571"/>
      <c r="L92" s="571"/>
      <c r="N92" s="549"/>
      <c r="P92" s="519"/>
      <c r="Q92" s="519"/>
    </row>
    <row r="93" spans="3:17" s="525" customFormat="1" ht="14.4" x14ac:dyDescent="0.3">
      <c r="C93" s="578"/>
      <c r="D93" s="579"/>
      <c r="E93" s="569"/>
      <c r="F93" s="569"/>
      <c r="G93" s="569"/>
      <c r="H93" s="569"/>
      <c r="I93" s="586">
        <v>45657</v>
      </c>
      <c r="J93" s="572">
        <v>1381786.97</v>
      </c>
      <c r="K93" s="571"/>
      <c r="L93" s="571"/>
      <c r="N93" s="549"/>
      <c r="P93" s="519"/>
      <c r="Q93" s="519"/>
    </row>
    <row r="94" spans="3:17" s="525" customFormat="1" ht="14.4" x14ac:dyDescent="0.3">
      <c r="C94" s="578"/>
      <c r="D94" s="579"/>
      <c r="E94" s="569"/>
      <c r="F94" s="569"/>
      <c r="G94" s="569"/>
      <c r="H94" s="569"/>
      <c r="I94" s="586">
        <v>45657</v>
      </c>
      <c r="J94" s="572">
        <v>257385.62</v>
      </c>
      <c r="K94" s="571"/>
      <c r="L94" s="571"/>
      <c r="N94" s="549"/>
      <c r="P94" s="519"/>
      <c r="Q94" s="519"/>
    </row>
    <row r="95" spans="3:17" ht="15" customHeight="1" x14ac:dyDescent="0.3">
      <c r="C95" s="567" t="s">
        <v>4831</v>
      </c>
      <c r="D95" s="568" t="s">
        <v>1719</v>
      </c>
      <c r="E95" s="569">
        <v>0</v>
      </c>
      <c r="F95" s="569">
        <v>1207402.24</v>
      </c>
      <c r="G95" s="569">
        <v>18900.46</v>
      </c>
      <c r="H95" s="569">
        <v>1188501.78</v>
      </c>
      <c r="I95" s="570">
        <v>0</v>
      </c>
      <c r="J95" s="571">
        <v>1207402.24</v>
      </c>
      <c r="K95" s="571">
        <v>18900.46</v>
      </c>
      <c r="L95" s="571">
        <v>1188501.78</v>
      </c>
      <c r="N95" s="549"/>
    </row>
    <row r="96" spans="3:17" ht="15" customHeight="1" x14ac:dyDescent="0.3">
      <c r="C96" s="567"/>
      <c r="D96" s="568"/>
      <c r="E96" s="569"/>
      <c r="F96" s="569"/>
      <c r="G96" s="569"/>
      <c r="H96" s="569"/>
      <c r="I96" s="586">
        <v>45293</v>
      </c>
      <c r="J96" s="572">
        <v>179001.09</v>
      </c>
      <c r="K96" s="571"/>
      <c r="L96" s="571"/>
      <c r="N96" s="549"/>
    </row>
    <row r="97" spans="3:14" ht="15" customHeight="1" x14ac:dyDescent="0.3">
      <c r="C97" s="567" t="s">
        <v>4852</v>
      </c>
      <c r="D97" s="568" t="s">
        <v>1775</v>
      </c>
      <c r="E97" s="569">
        <v>0</v>
      </c>
      <c r="F97" s="569">
        <v>13080164.4</v>
      </c>
      <c r="G97" s="569">
        <v>0</v>
      </c>
      <c r="H97" s="569">
        <v>13080164.4</v>
      </c>
      <c r="I97" s="570">
        <v>0</v>
      </c>
      <c r="J97" s="571">
        <v>13080164.4</v>
      </c>
      <c r="K97" s="571">
        <v>0</v>
      </c>
      <c r="L97" s="571">
        <v>13080164.4</v>
      </c>
      <c r="N97" s="549"/>
    </row>
    <row r="98" spans="3:14" ht="15" customHeight="1" x14ac:dyDescent="0.3">
      <c r="C98" s="567"/>
      <c r="D98" s="568"/>
      <c r="E98" s="569"/>
      <c r="F98" s="569"/>
      <c r="G98" s="569"/>
      <c r="H98" s="569"/>
      <c r="I98" s="570"/>
      <c r="J98" s="571"/>
      <c r="K98" s="572">
        <v>2102721.7400000002</v>
      </c>
      <c r="L98" s="588">
        <v>45474</v>
      </c>
      <c r="N98" s="549"/>
    </row>
    <row r="99" spans="3:14" ht="15" customHeight="1" x14ac:dyDescent="0.3">
      <c r="C99" s="567" t="s">
        <v>4856</v>
      </c>
      <c r="D99" s="568" t="s">
        <v>1784</v>
      </c>
      <c r="E99" s="569">
        <v>0</v>
      </c>
      <c r="F99" s="569">
        <v>224903.8</v>
      </c>
      <c r="G99" s="569">
        <v>0</v>
      </c>
      <c r="H99" s="569">
        <v>224903.8</v>
      </c>
      <c r="I99" s="570">
        <v>0</v>
      </c>
      <c r="J99" s="571">
        <v>224903.8</v>
      </c>
      <c r="K99" s="571">
        <v>0</v>
      </c>
      <c r="L99" s="571">
        <v>224903.8</v>
      </c>
      <c r="N99" s="523"/>
    </row>
    <row r="100" spans="3:14" ht="15" customHeight="1" x14ac:dyDescent="0.3">
      <c r="C100" s="567"/>
      <c r="D100" s="568"/>
      <c r="E100" s="569"/>
      <c r="F100" s="569"/>
      <c r="G100" s="569"/>
      <c r="H100" s="569"/>
      <c r="I100" s="587" t="s">
        <v>5907</v>
      </c>
      <c r="J100" s="571"/>
      <c r="K100" s="572">
        <v>492177.55</v>
      </c>
      <c r="L100" s="571"/>
      <c r="N100" s="523"/>
    </row>
    <row r="101" spans="3:14" ht="15" customHeight="1" x14ac:dyDescent="0.3">
      <c r="C101" s="567" t="s">
        <v>4858</v>
      </c>
      <c r="D101" s="568" t="s">
        <v>1790</v>
      </c>
      <c r="E101" s="569">
        <v>0</v>
      </c>
      <c r="F101" s="569">
        <v>789565.36</v>
      </c>
      <c r="G101" s="569">
        <v>0</v>
      </c>
      <c r="H101" s="569">
        <v>789565.36</v>
      </c>
      <c r="I101" s="570">
        <v>0</v>
      </c>
      <c r="J101" s="571">
        <v>789565.36</v>
      </c>
      <c r="K101" s="571">
        <v>0</v>
      </c>
      <c r="L101" s="571">
        <v>789565.36</v>
      </c>
      <c r="N101" s="523"/>
    </row>
    <row r="102" spans="3:14" ht="15" customHeight="1" x14ac:dyDescent="0.3">
      <c r="C102" s="567"/>
      <c r="D102" s="568"/>
      <c r="E102" s="569"/>
      <c r="F102" s="569"/>
      <c r="G102" s="569"/>
      <c r="H102" s="569"/>
      <c r="I102" s="586">
        <v>45656</v>
      </c>
      <c r="J102" s="572">
        <v>4.2300000000000004</v>
      </c>
      <c r="K102" s="572">
        <v>4298.5200000000004</v>
      </c>
      <c r="L102" s="588">
        <v>45309</v>
      </c>
      <c r="N102" s="523"/>
    </row>
    <row r="103" spans="3:14" ht="15" customHeight="1" x14ac:dyDescent="0.3">
      <c r="C103" s="567" t="s">
        <v>4861</v>
      </c>
      <c r="D103" s="568" t="s">
        <v>1802</v>
      </c>
      <c r="E103" s="569">
        <v>0</v>
      </c>
      <c r="F103" s="569">
        <v>22829.279999999999</v>
      </c>
      <c r="G103" s="569">
        <v>40.32</v>
      </c>
      <c r="H103" s="569">
        <v>22788.959999999999</v>
      </c>
      <c r="I103" s="570">
        <v>0</v>
      </c>
      <c r="J103" s="571">
        <v>22829.279999999999</v>
      </c>
      <c r="K103" s="571">
        <v>40.32</v>
      </c>
      <c r="L103" s="571">
        <v>22788.959999999999</v>
      </c>
      <c r="N103" s="523"/>
    </row>
    <row r="104" spans="3:14" ht="15" customHeight="1" x14ac:dyDescent="0.3">
      <c r="C104" s="567"/>
      <c r="D104" s="568"/>
      <c r="E104" s="569"/>
      <c r="F104" s="569"/>
      <c r="G104" s="569"/>
      <c r="H104" s="569"/>
      <c r="I104" s="586">
        <v>45293</v>
      </c>
      <c r="J104" s="571"/>
      <c r="K104" s="572">
        <v>27.99</v>
      </c>
      <c r="L104" s="571"/>
      <c r="N104" s="523"/>
    </row>
    <row r="105" spans="3:14" ht="15" customHeight="1" x14ac:dyDescent="0.3">
      <c r="C105" s="567"/>
      <c r="D105" s="568"/>
      <c r="E105" s="569"/>
      <c r="F105" s="569"/>
      <c r="G105" s="569"/>
      <c r="H105" s="569"/>
      <c r="I105" s="586">
        <v>45293</v>
      </c>
      <c r="J105" s="571"/>
      <c r="K105" s="572">
        <v>1485.79</v>
      </c>
      <c r="L105" s="571"/>
      <c r="N105" s="523"/>
    </row>
    <row r="106" spans="3:14" ht="15" customHeight="1" x14ac:dyDescent="0.3">
      <c r="C106" s="567"/>
      <c r="D106" s="568"/>
      <c r="E106" s="569"/>
      <c r="F106" s="569"/>
      <c r="G106" s="569"/>
      <c r="H106" s="569"/>
      <c r="I106" s="586">
        <v>45293</v>
      </c>
      <c r="J106" s="571"/>
      <c r="K106" s="572">
        <v>5000</v>
      </c>
      <c r="L106" s="571"/>
      <c r="N106" s="523"/>
    </row>
    <row r="107" spans="3:14" ht="15" customHeight="1" x14ac:dyDescent="0.3">
      <c r="C107" s="567"/>
      <c r="D107" s="568"/>
      <c r="E107" s="569"/>
      <c r="F107" s="569"/>
      <c r="G107" s="569"/>
      <c r="H107" s="569"/>
      <c r="I107" s="586">
        <v>45293</v>
      </c>
      <c r="J107" s="572">
        <v>4076.59</v>
      </c>
      <c r="K107" s="577"/>
      <c r="L107" s="571"/>
      <c r="N107" s="523"/>
    </row>
    <row r="108" spans="3:14" ht="15" customHeight="1" x14ac:dyDescent="0.3">
      <c r="C108" s="567"/>
      <c r="D108" s="568"/>
      <c r="E108" s="569"/>
      <c r="F108" s="569"/>
      <c r="G108" s="569"/>
      <c r="H108" s="569"/>
      <c r="I108" s="586">
        <v>45293</v>
      </c>
      <c r="J108" s="572">
        <v>575.70000000000005</v>
      </c>
      <c r="K108" s="577"/>
      <c r="L108" s="571"/>
      <c r="N108" s="523"/>
    </row>
    <row r="109" spans="3:14" ht="15" customHeight="1" x14ac:dyDescent="0.3">
      <c r="C109" s="567" t="s">
        <v>4863</v>
      </c>
      <c r="D109" s="568" t="s">
        <v>1805</v>
      </c>
      <c r="E109" s="569">
        <v>0</v>
      </c>
      <c r="F109" s="569">
        <v>162422.68</v>
      </c>
      <c r="G109" s="569">
        <v>0</v>
      </c>
      <c r="H109" s="569">
        <v>162422.68</v>
      </c>
      <c r="I109" s="570">
        <v>0</v>
      </c>
      <c r="J109" s="571">
        <v>162422.68</v>
      </c>
      <c r="K109" s="571">
        <v>0</v>
      </c>
      <c r="L109" s="571">
        <v>162422.68</v>
      </c>
      <c r="N109" s="523"/>
    </row>
    <row r="110" spans="3:14" ht="15" customHeight="1" x14ac:dyDescent="0.3">
      <c r="C110" s="567"/>
      <c r="D110" s="568"/>
      <c r="E110" s="569"/>
      <c r="F110" s="569"/>
      <c r="G110" s="569"/>
      <c r="H110" s="569"/>
      <c r="I110" s="586">
        <v>45293</v>
      </c>
      <c r="J110" s="572">
        <v>43.77</v>
      </c>
      <c r="K110" s="571"/>
      <c r="L110" s="571"/>
      <c r="N110" s="523"/>
    </row>
    <row r="111" spans="3:14" ht="15" customHeight="1" x14ac:dyDescent="0.3">
      <c r="C111" s="567"/>
      <c r="D111" s="568"/>
      <c r="E111" s="569"/>
      <c r="F111" s="569"/>
      <c r="G111" s="569"/>
      <c r="H111" s="569"/>
      <c r="I111" s="586">
        <v>45293</v>
      </c>
      <c r="J111" s="572">
        <v>13.55</v>
      </c>
      <c r="K111" s="571"/>
      <c r="L111" s="571"/>
      <c r="N111" s="523"/>
    </row>
    <row r="112" spans="3:14" ht="15" customHeight="1" x14ac:dyDescent="0.3">
      <c r="C112" s="567" t="s">
        <v>4867</v>
      </c>
      <c r="D112" s="568" t="s">
        <v>1814</v>
      </c>
      <c r="E112" s="569">
        <v>0</v>
      </c>
      <c r="F112" s="569">
        <v>43664.3</v>
      </c>
      <c r="G112" s="569">
        <v>0</v>
      </c>
      <c r="H112" s="569">
        <v>43664.3</v>
      </c>
      <c r="I112" s="570">
        <v>0</v>
      </c>
      <c r="J112" s="571">
        <v>43664.3</v>
      </c>
      <c r="K112" s="571">
        <v>0</v>
      </c>
      <c r="L112" s="571">
        <v>43664.3</v>
      </c>
      <c r="N112" s="523"/>
    </row>
    <row r="113" spans="3:14" ht="15" customHeight="1" x14ac:dyDescent="0.3">
      <c r="C113" s="567"/>
      <c r="D113" s="568"/>
      <c r="E113" s="569"/>
      <c r="F113" s="569"/>
      <c r="G113" s="569"/>
      <c r="H113" s="569"/>
      <c r="I113" s="570"/>
      <c r="J113" s="571"/>
      <c r="K113" s="572">
        <v>52393.83</v>
      </c>
      <c r="L113" s="588">
        <v>45535</v>
      </c>
      <c r="N113" s="523"/>
    </row>
    <row r="114" spans="3:14" ht="15" customHeight="1" x14ac:dyDescent="0.3">
      <c r="C114" s="567" t="s">
        <v>4880</v>
      </c>
      <c r="D114" s="568" t="s">
        <v>3622</v>
      </c>
      <c r="E114" s="569">
        <v>0</v>
      </c>
      <c r="F114" s="569">
        <v>5007967.34</v>
      </c>
      <c r="G114" s="569">
        <v>1222191.47</v>
      </c>
      <c r="H114" s="569">
        <v>3785775.87</v>
      </c>
      <c r="I114" s="570">
        <v>0</v>
      </c>
      <c r="J114" s="571">
        <v>5007967.34</v>
      </c>
      <c r="K114" s="571">
        <v>1222191.47</v>
      </c>
      <c r="L114" s="571">
        <v>3785775.87</v>
      </c>
      <c r="N114" s="523"/>
    </row>
    <row r="115" spans="3:14" ht="15" customHeight="1" x14ac:dyDescent="0.3">
      <c r="C115" s="567"/>
      <c r="D115" s="568"/>
      <c r="E115" s="569"/>
      <c r="F115" s="569"/>
      <c r="G115" s="569"/>
      <c r="H115" s="569"/>
      <c r="I115" s="570"/>
      <c r="J115" s="571"/>
      <c r="K115" s="572">
        <v>70</v>
      </c>
      <c r="L115" s="588">
        <v>45657</v>
      </c>
      <c r="N115" s="523"/>
    </row>
    <row r="116" spans="3:14" ht="15" customHeight="1" x14ac:dyDescent="0.3">
      <c r="C116" s="567"/>
      <c r="D116" s="568"/>
      <c r="E116" s="569"/>
      <c r="F116" s="569"/>
      <c r="G116" s="569"/>
      <c r="H116" s="569"/>
      <c r="I116" s="570"/>
      <c r="J116" s="571"/>
      <c r="K116" s="572">
        <v>551.16999999999996</v>
      </c>
      <c r="L116" s="588">
        <v>45657</v>
      </c>
      <c r="N116" s="523"/>
    </row>
    <row r="117" spans="3:14" ht="15" customHeight="1" x14ac:dyDescent="0.3">
      <c r="C117" s="567"/>
      <c r="D117" s="568"/>
      <c r="E117" s="569"/>
      <c r="F117" s="569"/>
      <c r="G117" s="569"/>
      <c r="H117" s="569"/>
      <c r="I117" s="570"/>
      <c r="J117" s="571"/>
      <c r="K117" s="572">
        <v>2780</v>
      </c>
      <c r="L117" s="588">
        <v>45657</v>
      </c>
      <c r="N117" s="523"/>
    </row>
    <row r="118" spans="3:14" ht="15" customHeight="1" x14ac:dyDescent="0.3">
      <c r="C118" s="567"/>
      <c r="D118" s="568"/>
      <c r="E118" s="569"/>
      <c r="F118" s="569"/>
      <c r="G118" s="569"/>
      <c r="H118" s="569"/>
      <c r="I118" s="570"/>
      <c r="J118" s="571"/>
      <c r="K118" s="572">
        <v>4979.88</v>
      </c>
      <c r="L118" s="588">
        <v>45657</v>
      </c>
      <c r="N118" s="523"/>
    </row>
    <row r="119" spans="3:14" ht="15" customHeight="1" x14ac:dyDescent="0.3">
      <c r="C119" s="567"/>
      <c r="D119" s="568"/>
      <c r="E119" s="569"/>
      <c r="F119" s="569"/>
      <c r="G119" s="569"/>
      <c r="H119" s="569"/>
      <c r="I119" s="570"/>
      <c r="J119" s="571"/>
      <c r="K119" s="572">
        <v>91373.15</v>
      </c>
      <c r="L119" s="588">
        <v>45657</v>
      </c>
      <c r="N119" s="523"/>
    </row>
    <row r="120" spans="3:14" ht="15" customHeight="1" x14ac:dyDescent="0.3">
      <c r="C120" s="567"/>
      <c r="D120" s="568"/>
      <c r="E120" s="569"/>
      <c r="F120" s="569"/>
      <c r="G120" s="569"/>
      <c r="H120" s="569"/>
      <c r="I120" s="570"/>
      <c r="J120" s="571"/>
      <c r="K120" s="572">
        <v>98612.21</v>
      </c>
      <c r="L120" s="588">
        <v>45657</v>
      </c>
      <c r="N120" s="523"/>
    </row>
    <row r="121" spans="3:14" ht="15" customHeight="1" x14ac:dyDescent="0.3">
      <c r="C121" s="567"/>
      <c r="D121" s="568"/>
      <c r="E121" s="569"/>
      <c r="F121" s="569"/>
      <c r="G121" s="569"/>
      <c r="H121" s="569"/>
      <c r="I121" s="570"/>
      <c r="J121" s="571"/>
      <c r="K121" s="572">
        <v>154833.72</v>
      </c>
      <c r="L121" s="588">
        <v>45657</v>
      </c>
      <c r="N121" s="523"/>
    </row>
    <row r="122" spans="3:14" ht="15" customHeight="1" x14ac:dyDescent="0.3">
      <c r="C122" s="567"/>
      <c r="D122" s="568"/>
      <c r="E122" s="569"/>
      <c r="F122" s="569"/>
      <c r="G122" s="569"/>
      <c r="H122" s="569"/>
      <c r="I122" s="570"/>
      <c r="J122" s="571"/>
      <c r="K122" s="572">
        <v>432475.84</v>
      </c>
      <c r="L122" s="588">
        <v>45657</v>
      </c>
      <c r="N122" s="523"/>
    </row>
    <row r="123" spans="3:14" ht="15" customHeight="1" x14ac:dyDescent="0.3">
      <c r="C123" s="567"/>
      <c r="D123" s="568"/>
      <c r="E123" s="569"/>
      <c r="F123" s="569"/>
      <c r="G123" s="569"/>
      <c r="H123" s="569"/>
      <c r="I123" s="570"/>
      <c r="J123" s="571"/>
      <c r="K123" s="572">
        <v>478078.36</v>
      </c>
      <c r="L123" s="588">
        <v>45657</v>
      </c>
      <c r="N123" s="523"/>
    </row>
    <row r="124" spans="3:14" ht="15" customHeight="1" x14ac:dyDescent="0.3">
      <c r="C124" s="567"/>
      <c r="D124" s="568"/>
      <c r="E124" s="569"/>
      <c r="F124" s="569"/>
      <c r="G124" s="569"/>
      <c r="H124" s="569"/>
      <c r="I124" s="570"/>
      <c r="J124" s="577"/>
      <c r="K124" s="572">
        <v>1079292.17</v>
      </c>
      <c r="L124" s="588">
        <v>45657</v>
      </c>
      <c r="N124" s="523"/>
    </row>
    <row r="125" spans="3:14" ht="15" customHeight="1" x14ac:dyDescent="0.3">
      <c r="C125" s="567"/>
      <c r="D125" s="568"/>
      <c r="E125" s="569"/>
      <c r="F125" s="569"/>
      <c r="G125" s="569"/>
      <c r="H125" s="569"/>
      <c r="I125" s="586">
        <v>45657</v>
      </c>
      <c r="J125" s="572">
        <v>691652.59</v>
      </c>
      <c r="K125" s="572"/>
      <c r="L125" s="571"/>
      <c r="N125" s="523"/>
    </row>
    <row r="126" spans="3:14" ht="15" customHeight="1" x14ac:dyDescent="0.3">
      <c r="C126" s="567"/>
      <c r="D126" s="568"/>
      <c r="E126" s="569"/>
      <c r="F126" s="569"/>
      <c r="G126" s="569"/>
      <c r="H126" s="569"/>
      <c r="I126" s="586">
        <v>45657</v>
      </c>
      <c r="J126" s="572">
        <v>131107.07999999999</v>
      </c>
      <c r="K126" s="572"/>
      <c r="L126" s="571"/>
      <c r="N126" s="523"/>
    </row>
    <row r="127" spans="3:14" ht="15" customHeight="1" x14ac:dyDescent="0.3">
      <c r="C127" s="567"/>
      <c r="D127" s="568"/>
      <c r="E127" s="569"/>
      <c r="F127" s="569"/>
      <c r="G127" s="569"/>
      <c r="H127" s="569"/>
      <c r="I127" s="586">
        <v>45657</v>
      </c>
      <c r="J127" s="572">
        <v>75053.119999999995</v>
      </c>
      <c r="K127" s="572"/>
      <c r="L127" s="571"/>
      <c r="N127" s="523"/>
    </row>
    <row r="128" spans="3:14" ht="15" customHeight="1" x14ac:dyDescent="0.3">
      <c r="C128" s="567"/>
      <c r="D128" s="568"/>
      <c r="E128" s="569"/>
      <c r="F128" s="569"/>
      <c r="G128" s="569"/>
      <c r="H128" s="569"/>
      <c r="I128" s="586">
        <v>45657</v>
      </c>
      <c r="J128" s="572">
        <v>8131.67</v>
      </c>
      <c r="K128" s="572"/>
      <c r="L128" s="571"/>
      <c r="N128" s="523"/>
    </row>
    <row r="129" spans="3:17" ht="15" customHeight="1" x14ac:dyDescent="0.3">
      <c r="C129" s="567"/>
      <c r="D129" s="568"/>
      <c r="E129" s="569"/>
      <c r="F129" s="569"/>
      <c r="G129" s="569"/>
      <c r="H129" s="569"/>
      <c r="I129" s="586">
        <v>45657</v>
      </c>
      <c r="J129" s="572">
        <v>4979.88</v>
      </c>
      <c r="K129" s="572"/>
      <c r="L129" s="571"/>
      <c r="N129" s="523"/>
    </row>
    <row r="130" spans="3:17" ht="15" customHeight="1" x14ac:dyDescent="0.3">
      <c r="C130" s="567"/>
      <c r="D130" s="568"/>
      <c r="E130" s="569"/>
      <c r="F130" s="569"/>
      <c r="G130" s="569"/>
      <c r="H130" s="569"/>
      <c r="I130" s="586">
        <v>45657</v>
      </c>
      <c r="J130" s="572">
        <v>4430</v>
      </c>
      <c r="K130" s="572"/>
      <c r="L130" s="571"/>
      <c r="N130" s="523"/>
    </row>
    <row r="131" spans="3:17" ht="15" customHeight="1" x14ac:dyDescent="0.3">
      <c r="C131" s="567"/>
      <c r="D131" s="568"/>
      <c r="E131" s="569"/>
      <c r="F131" s="569"/>
      <c r="G131" s="569"/>
      <c r="H131" s="569"/>
      <c r="I131" s="586">
        <v>45657</v>
      </c>
      <c r="J131" s="572">
        <v>2000</v>
      </c>
      <c r="K131" s="572"/>
      <c r="L131" s="571"/>
      <c r="N131" s="523"/>
    </row>
    <row r="132" spans="3:17" ht="15" customHeight="1" x14ac:dyDescent="0.3">
      <c r="C132" s="567"/>
      <c r="D132" s="568"/>
      <c r="E132" s="569"/>
      <c r="F132" s="569"/>
      <c r="G132" s="569"/>
      <c r="H132" s="569"/>
      <c r="I132" s="586">
        <v>45657</v>
      </c>
      <c r="J132" s="572">
        <v>1448.93</v>
      </c>
      <c r="K132" s="572"/>
      <c r="L132" s="571"/>
      <c r="N132" s="523"/>
    </row>
    <row r="133" spans="3:17" ht="15" customHeight="1" x14ac:dyDescent="0.3">
      <c r="C133" s="580" t="s">
        <v>5836</v>
      </c>
      <c r="D133" s="581" t="s">
        <v>5837</v>
      </c>
      <c r="E133" s="582"/>
      <c r="F133" s="582"/>
      <c r="G133" s="582"/>
      <c r="H133" s="582"/>
      <c r="I133" s="591">
        <v>45657</v>
      </c>
      <c r="J133" s="583">
        <v>34997.629999999997</v>
      </c>
      <c r="K133" s="590"/>
      <c r="L133" s="584"/>
      <c r="N133" s="523"/>
    </row>
    <row r="134" spans="3:17" ht="15" customHeight="1" x14ac:dyDescent="0.3">
      <c r="C134" s="580"/>
      <c r="D134" s="581"/>
      <c r="E134" s="582"/>
      <c r="F134" s="582"/>
      <c r="G134" s="582"/>
      <c r="H134" s="582"/>
      <c r="I134" s="591">
        <v>45657</v>
      </c>
      <c r="J134" s="583">
        <v>8965.7999999999993</v>
      </c>
      <c r="K134" s="590"/>
      <c r="L134" s="584"/>
      <c r="N134" s="523"/>
    </row>
    <row r="135" spans="3:17" ht="15" customHeight="1" x14ac:dyDescent="0.3">
      <c r="C135" s="580"/>
      <c r="D135" s="581"/>
      <c r="E135" s="582"/>
      <c r="F135" s="582"/>
      <c r="G135" s="582"/>
      <c r="H135" s="582"/>
      <c r="I135" s="586">
        <v>45657</v>
      </c>
      <c r="J135" s="583">
        <v>4391.76</v>
      </c>
      <c r="K135" s="577"/>
      <c r="L135" s="584"/>
      <c r="N135" s="523"/>
    </row>
    <row r="136" spans="3:17" ht="15" customHeight="1" x14ac:dyDescent="0.3">
      <c r="C136" s="580"/>
      <c r="D136" s="581"/>
      <c r="E136" s="582"/>
      <c r="F136" s="582"/>
      <c r="G136" s="582"/>
      <c r="H136" s="582"/>
      <c r="I136" s="586">
        <v>45657</v>
      </c>
      <c r="J136" s="583">
        <v>3864.04</v>
      </c>
      <c r="K136" s="590"/>
      <c r="L136" s="584"/>
      <c r="N136" s="523"/>
    </row>
    <row r="137" spans="3:17" ht="15" customHeight="1" x14ac:dyDescent="0.3">
      <c r="C137" s="580"/>
      <c r="D137" s="581"/>
      <c r="E137" s="582"/>
      <c r="F137" s="582"/>
      <c r="G137" s="582"/>
      <c r="H137" s="582"/>
      <c r="I137" s="586">
        <v>45657</v>
      </c>
      <c r="J137" s="583">
        <v>2725.64</v>
      </c>
      <c r="K137" s="590"/>
      <c r="L137" s="584"/>
      <c r="N137" s="523"/>
    </row>
    <row r="138" spans="3:17" ht="15" customHeight="1" x14ac:dyDescent="0.3">
      <c r="C138" s="580"/>
      <c r="D138" s="581"/>
      <c r="E138" s="582"/>
      <c r="F138" s="582"/>
      <c r="G138" s="582"/>
      <c r="H138" s="582"/>
      <c r="I138" s="586">
        <v>45657</v>
      </c>
      <c r="J138" s="583">
        <v>2355.9899999999998</v>
      </c>
      <c r="K138" s="590"/>
      <c r="L138" s="584"/>
      <c r="N138" s="523"/>
    </row>
    <row r="139" spans="3:17" ht="15" customHeight="1" x14ac:dyDescent="0.3">
      <c r="P139" s="525"/>
      <c r="Q139" s="525"/>
    </row>
    <row r="140" spans="3:17" ht="15" customHeight="1" x14ac:dyDescent="0.3">
      <c r="J140" s="585"/>
      <c r="P140" s="525"/>
      <c r="Q140" s="525"/>
    </row>
    <row r="141" spans="3:17" ht="15" customHeight="1" x14ac:dyDescent="0.3">
      <c r="J141" s="585">
        <f>J138+J137+J136+J135+J134+J133+J132+J131+J130+J129+J128+J127+J126+J125++J111+J110+J108+J107+J102+J96+J94+J93+J92+J91+J90+J89</f>
        <v>10216015.389999999</v>
      </c>
      <c r="K141" s="585">
        <f>K124+K123+K122+K121+K120+K119+K118+K117+K116+K115+K113+K106+K105+K104+K102+K100+K98++K87</f>
        <v>5006436.49</v>
      </c>
      <c r="P141" s="525"/>
      <c r="Q141" s="525"/>
    </row>
    <row r="142" spans="3:17" ht="15" customHeight="1" x14ac:dyDescent="0.3">
      <c r="K142" s="522">
        <f>7277250.84+2334931.06</f>
        <v>9612181.9000000004</v>
      </c>
      <c r="P142" s="525"/>
      <c r="Q142" s="525"/>
    </row>
    <row r="143" spans="3:17" ht="15" customHeight="1" x14ac:dyDescent="0.3">
      <c r="J143" s="318">
        <v>4513777.45</v>
      </c>
      <c r="P143" s="525"/>
      <c r="Q143" s="525"/>
    </row>
    <row r="144" spans="3:17" ht="15" customHeight="1" x14ac:dyDescent="0.3">
      <c r="P144" s="525"/>
      <c r="Q144" s="525"/>
    </row>
    <row r="145" spans="10:11" x14ac:dyDescent="0.3">
      <c r="J145" s="592">
        <f>J141+J143</f>
        <v>14729792.84</v>
      </c>
      <c r="K145" s="585">
        <f>K141+K142</f>
        <v>14618618.390000001</v>
      </c>
    </row>
  </sheetData>
  <sortState xmlns:xlrd2="http://schemas.microsoft.com/office/spreadsheetml/2017/richdata2" ref="E3:E7">
    <sortCondition ref="E2:E7"/>
  </sortState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A14BF-BD66-4BDA-BD3F-0E9F6345904E}">
  <sheetPr>
    <tabColor rgb="FFFFC000"/>
  </sheetPr>
  <dimension ref="B3:S771"/>
  <sheetViews>
    <sheetView topLeftCell="A428" zoomScale="70" zoomScaleNormal="70" workbookViewId="0">
      <selection activeCell="M438" activeCellId="1" sqref="M488 M438"/>
    </sheetView>
  </sheetViews>
  <sheetFormatPr defaultRowHeight="15" customHeight="1" x14ac:dyDescent="0.3"/>
  <cols>
    <col min="1" max="1" width="1.44140625" style="519" customWidth="1"/>
    <col min="2" max="2" width="4.109375" style="519" customWidth="1"/>
    <col min="3" max="3" width="16.109375" style="519" bestFit="1" customWidth="1"/>
    <col min="4" max="4" width="62" style="520" customWidth="1"/>
    <col min="5" max="5" width="19.44140625" style="521" hidden="1" customWidth="1"/>
    <col min="6" max="6" width="22.109375" style="521" hidden="1" customWidth="1"/>
    <col min="7" max="7" width="20.33203125" style="521" hidden="1" customWidth="1"/>
    <col min="8" max="8" width="22" style="521" hidden="1" customWidth="1"/>
    <col min="9" max="9" width="15.109375" style="318" customWidth="1"/>
    <col min="10" max="10" width="25.44140625" style="522" customWidth="1"/>
    <col min="11" max="11" width="27.33203125" style="522" customWidth="1"/>
    <col min="12" max="12" width="20.109375" style="522" customWidth="1"/>
    <col min="13" max="14" width="23.88671875" style="300" customWidth="1"/>
    <col min="15" max="15" width="20.33203125" style="523" bestFit="1" customWidth="1"/>
    <col min="16" max="16" width="9.6640625" style="303" customWidth="1"/>
    <col min="17" max="17" width="7.33203125" style="519" customWidth="1"/>
    <col min="18" max="18" width="21" style="519" customWidth="1"/>
    <col min="19" max="254" width="6.88671875" style="519" customWidth="1"/>
    <col min="255" max="255" width="9.109375" style="519"/>
    <col min="256" max="256" width="24.44140625" style="519" customWidth="1"/>
    <col min="257" max="257" width="67.5546875" style="519" customWidth="1"/>
    <col min="258" max="258" width="0" style="519" hidden="1" customWidth="1"/>
    <col min="259" max="261" width="12.88671875" style="519" customWidth="1"/>
    <col min="262" max="262" width="3.88671875" style="519" customWidth="1"/>
    <col min="263" max="263" width="12.88671875" style="519" customWidth="1"/>
    <col min="264" max="510" width="6.88671875" style="519" customWidth="1"/>
    <col min="511" max="511" width="9.109375" style="519"/>
    <col min="512" max="512" width="24.44140625" style="519" customWidth="1"/>
    <col min="513" max="513" width="67.5546875" style="519" customWidth="1"/>
    <col min="514" max="514" width="0" style="519" hidden="1" customWidth="1"/>
    <col min="515" max="517" width="12.88671875" style="519" customWidth="1"/>
    <col min="518" max="518" width="3.88671875" style="519" customWidth="1"/>
    <col min="519" max="519" width="12.88671875" style="519" customWidth="1"/>
    <col min="520" max="766" width="6.88671875" style="519" customWidth="1"/>
    <col min="767" max="767" width="9.109375" style="519"/>
    <col min="768" max="768" width="24.44140625" style="519" customWidth="1"/>
    <col min="769" max="769" width="67.5546875" style="519" customWidth="1"/>
    <col min="770" max="770" width="0" style="519" hidden="1" customWidth="1"/>
    <col min="771" max="773" width="12.88671875" style="519" customWidth="1"/>
    <col min="774" max="774" width="3.88671875" style="519" customWidth="1"/>
    <col min="775" max="775" width="12.88671875" style="519" customWidth="1"/>
    <col min="776" max="1022" width="6.88671875" style="519" customWidth="1"/>
    <col min="1023" max="1023" width="9.109375" style="519"/>
    <col min="1024" max="1024" width="24.44140625" style="519" customWidth="1"/>
    <col min="1025" max="1025" width="67.5546875" style="519" customWidth="1"/>
    <col min="1026" max="1026" width="0" style="519" hidden="1" customWidth="1"/>
    <col min="1027" max="1029" width="12.88671875" style="519" customWidth="1"/>
    <col min="1030" max="1030" width="3.88671875" style="519" customWidth="1"/>
    <col min="1031" max="1031" width="12.88671875" style="519" customWidth="1"/>
    <col min="1032" max="1278" width="6.88671875" style="519" customWidth="1"/>
    <col min="1279" max="1279" width="9.109375" style="519"/>
    <col min="1280" max="1280" width="24.44140625" style="519" customWidth="1"/>
    <col min="1281" max="1281" width="67.5546875" style="519" customWidth="1"/>
    <col min="1282" max="1282" width="0" style="519" hidden="1" customWidth="1"/>
    <col min="1283" max="1285" width="12.88671875" style="519" customWidth="1"/>
    <col min="1286" max="1286" width="3.88671875" style="519" customWidth="1"/>
    <col min="1287" max="1287" width="12.88671875" style="519" customWidth="1"/>
    <col min="1288" max="1534" width="6.88671875" style="519" customWidth="1"/>
    <col min="1535" max="1535" width="9.109375" style="519"/>
    <col min="1536" max="1536" width="24.44140625" style="519" customWidth="1"/>
    <col min="1537" max="1537" width="67.5546875" style="519" customWidth="1"/>
    <col min="1538" max="1538" width="0" style="519" hidden="1" customWidth="1"/>
    <col min="1539" max="1541" width="12.88671875" style="519" customWidth="1"/>
    <col min="1542" max="1542" width="3.88671875" style="519" customWidth="1"/>
    <col min="1543" max="1543" width="12.88671875" style="519" customWidth="1"/>
    <col min="1544" max="1790" width="6.88671875" style="519" customWidth="1"/>
    <col min="1791" max="1791" width="9.109375" style="519"/>
    <col min="1792" max="1792" width="24.44140625" style="519" customWidth="1"/>
    <col min="1793" max="1793" width="67.5546875" style="519" customWidth="1"/>
    <col min="1794" max="1794" width="0" style="519" hidden="1" customWidth="1"/>
    <col min="1795" max="1797" width="12.88671875" style="519" customWidth="1"/>
    <col min="1798" max="1798" width="3.88671875" style="519" customWidth="1"/>
    <col min="1799" max="1799" width="12.88671875" style="519" customWidth="1"/>
    <col min="1800" max="2046" width="6.88671875" style="519" customWidth="1"/>
    <col min="2047" max="2047" width="9.109375" style="519"/>
    <col min="2048" max="2048" width="24.44140625" style="519" customWidth="1"/>
    <col min="2049" max="2049" width="67.5546875" style="519" customWidth="1"/>
    <col min="2050" max="2050" width="0" style="519" hidden="1" customWidth="1"/>
    <col min="2051" max="2053" width="12.88671875" style="519" customWidth="1"/>
    <col min="2054" max="2054" width="3.88671875" style="519" customWidth="1"/>
    <col min="2055" max="2055" width="12.88671875" style="519" customWidth="1"/>
    <col min="2056" max="2302" width="6.88671875" style="519" customWidth="1"/>
    <col min="2303" max="2303" width="9.109375" style="519"/>
    <col min="2304" max="2304" width="24.44140625" style="519" customWidth="1"/>
    <col min="2305" max="2305" width="67.5546875" style="519" customWidth="1"/>
    <col min="2306" max="2306" width="0" style="519" hidden="1" customWidth="1"/>
    <col min="2307" max="2309" width="12.88671875" style="519" customWidth="1"/>
    <col min="2310" max="2310" width="3.88671875" style="519" customWidth="1"/>
    <col min="2311" max="2311" width="12.88671875" style="519" customWidth="1"/>
    <col min="2312" max="2558" width="6.88671875" style="519" customWidth="1"/>
    <col min="2559" max="2559" width="9.109375" style="519"/>
    <col min="2560" max="2560" width="24.44140625" style="519" customWidth="1"/>
    <col min="2561" max="2561" width="67.5546875" style="519" customWidth="1"/>
    <col min="2562" max="2562" width="0" style="519" hidden="1" customWidth="1"/>
    <col min="2563" max="2565" width="12.88671875" style="519" customWidth="1"/>
    <col min="2566" max="2566" width="3.88671875" style="519" customWidth="1"/>
    <col min="2567" max="2567" width="12.88671875" style="519" customWidth="1"/>
    <col min="2568" max="2814" width="6.88671875" style="519" customWidth="1"/>
    <col min="2815" max="2815" width="9.109375" style="519"/>
    <col min="2816" max="2816" width="24.44140625" style="519" customWidth="1"/>
    <col min="2817" max="2817" width="67.5546875" style="519" customWidth="1"/>
    <col min="2818" max="2818" width="0" style="519" hidden="1" customWidth="1"/>
    <col min="2819" max="2821" width="12.88671875" style="519" customWidth="1"/>
    <col min="2822" max="2822" width="3.88671875" style="519" customWidth="1"/>
    <col min="2823" max="2823" width="12.88671875" style="519" customWidth="1"/>
    <col min="2824" max="3070" width="6.88671875" style="519" customWidth="1"/>
    <col min="3071" max="3071" width="9.109375" style="519"/>
    <col min="3072" max="3072" width="24.44140625" style="519" customWidth="1"/>
    <col min="3073" max="3073" width="67.5546875" style="519" customWidth="1"/>
    <col min="3074" max="3074" width="0" style="519" hidden="1" customWidth="1"/>
    <col min="3075" max="3077" width="12.88671875" style="519" customWidth="1"/>
    <col min="3078" max="3078" width="3.88671875" style="519" customWidth="1"/>
    <col min="3079" max="3079" width="12.88671875" style="519" customWidth="1"/>
    <col min="3080" max="3326" width="6.88671875" style="519" customWidth="1"/>
    <col min="3327" max="3327" width="9.109375" style="519"/>
    <col min="3328" max="3328" width="24.44140625" style="519" customWidth="1"/>
    <col min="3329" max="3329" width="67.5546875" style="519" customWidth="1"/>
    <col min="3330" max="3330" width="0" style="519" hidden="1" customWidth="1"/>
    <col min="3331" max="3333" width="12.88671875" style="519" customWidth="1"/>
    <col min="3334" max="3334" width="3.88671875" style="519" customWidth="1"/>
    <col min="3335" max="3335" width="12.88671875" style="519" customWidth="1"/>
    <col min="3336" max="3582" width="6.88671875" style="519" customWidth="1"/>
    <col min="3583" max="3583" width="9.109375" style="519"/>
    <col min="3584" max="3584" width="24.44140625" style="519" customWidth="1"/>
    <col min="3585" max="3585" width="67.5546875" style="519" customWidth="1"/>
    <col min="3586" max="3586" width="0" style="519" hidden="1" customWidth="1"/>
    <col min="3587" max="3589" width="12.88671875" style="519" customWidth="1"/>
    <col min="3590" max="3590" width="3.88671875" style="519" customWidth="1"/>
    <col min="3591" max="3591" width="12.88671875" style="519" customWidth="1"/>
    <col min="3592" max="3838" width="6.88671875" style="519" customWidth="1"/>
    <col min="3839" max="3839" width="9.109375" style="519"/>
    <col min="3840" max="3840" width="24.44140625" style="519" customWidth="1"/>
    <col min="3841" max="3841" width="67.5546875" style="519" customWidth="1"/>
    <col min="3842" max="3842" width="0" style="519" hidden="1" customWidth="1"/>
    <col min="3843" max="3845" width="12.88671875" style="519" customWidth="1"/>
    <col min="3846" max="3846" width="3.88671875" style="519" customWidth="1"/>
    <col min="3847" max="3847" width="12.88671875" style="519" customWidth="1"/>
    <col min="3848" max="4094" width="6.88671875" style="519" customWidth="1"/>
    <col min="4095" max="4095" width="9.109375" style="519"/>
    <col min="4096" max="4096" width="24.44140625" style="519" customWidth="1"/>
    <col min="4097" max="4097" width="67.5546875" style="519" customWidth="1"/>
    <col min="4098" max="4098" width="0" style="519" hidden="1" customWidth="1"/>
    <col min="4099" max="4101" width="12.88671875" style="519" customWidth="1"/>
    <col min="4102" max="4102" width="3.88671875" style="519" customWidth="1"/>
    <col min="4103" max="4103" width="12.88671875" style="519" customWidth="1"/>
    <col min="4104" max="4350" width="6.88671875" style="519" customWidth="1"/>
    <col min="4351" max="4351" width="9.109375" style="519"/>
    <col min="4352" max="4352" width="24.44140625" style="519" customWidth="1"/>
    <col min="4353" max="4353" width="67.5546875" style="519" customWidth="1"/>
    <col min="4354" max="4354" width="0" style="519" hidden="1" customWidth="1"/>
    <col min="4355" max="4357" width="12.88671875" style="519" customWidth="1"/>
    <col min="4358" max="4358" width="3.88671875" style="519" customWidth="1"/>
    <col min="4359" max="4359" width="12.88671875" style="519" customWidth="1"/>
    <col min="4360" max="4606" width="6.88671875" style="519" customWidth="1"/>
    <col min="4607" max="4607" width="9.109375" style="519"/>
    <col min="4608" max="4608" width="24.44140625" style="519" customWidth="1"/>
    <col min="4609" max="4609" width="67.5546875" style="519" customWidth="1"/>
    <col min="4610" max="4610" width="0" style="519" hidden="1" customWidth="1"/>
    <col min="4611" max="4613" width="12.88671875" style="519" customWidth="1"/>
    <col min="4614" max="4614" width="3.88671875" style="519" customWidth="1"/>
    <col min="4615" max="4615" width="12.88671875" style="519" customWidth="1"/>
    <col min="4616" max="4862" width="6.88671875" style="519" customWidth="1"/>
    <col min="4863" max="4863" width="9.109375" style="519"/>
    <col min="4864" max="4864" width="24.44140625" style="519" customWidth="1"/>
    <col min="4865" max="4865" width="67.5546875" style="519" customWidth="1"/>
    <col min="4866" max="4866" width="0" style="519" hidden="1" customWidth="1"/>
    <col min="4867" max="4869" width="12.88671875" style="519" customWidth="1"/>
    <col min="4870" max="4870" width="3.88671875" style="519" customWidth="1"/>
    <col min="4871" max="4871" width="12.88671875" style="519" customWidth="1"/>
    <col min="4872" max="5118" width="6.88671875" style="519" customWidth="1"/>
    <col min="5119" max="5119" width="9.109375" style="519"/>
    <col min="5120" max="5120" width="24.44140625" style="519" customWidth="1"/>
    <col min="5121" max="5121" width="67.5546875" style="519" customWidth="1"/>
    <col min="5122" max="5122" width="0" style="519" hidden="1" customWidth="1"/>
    <col min="5123" max="5125" width="12.88671875" style="519" customWidth="1"/>
    <col min="5126" max="5126" width="3.88671875" style="519" customWidth="1"/>
    <col min="5127" max="5127" width="12.88671875" style="519" customWidth="1"/>
    <col min="5128" max="5374" width="6.88671875" style="519" customWidth="1"/>
    <col min="5375" max="5375" width="9.109375" style="519"/>
    <col min="5376" max="5376" width="24.44140625" style="519" customWidth="1"/>
    <col min="5377" max="5377" width="67.5546875" style="519" customWidth="1"/>
    <col min="5378" max="5378" width="0" style="519" hidden="1" customWidth="1"/>
    <col min="5379" max="5381" width="12.88671875" style="519" customWidth="1"/>
    <col min="5382" max="5382" width="3.88671875" style="519" customWidth="1"/>
    <col min="5383" max="5383" width="12.88671875" style="519" customWidth="1"/>
    <col min="5384" max="5630" width="6.88671875" style="519" customWidth="1"/>
    <col min="5631" max="5631" width="9.109375" style="519"/>
    <col min="5632" max="5632" width="24.44140625" style="519" customWidth="1"/>
    <col min="5633" max="5633" width="67.5546875" style="519" customWidth="1"/>
    <col min="5634" max="5634" width="0" style="519" hidden="1" customWidth="1"/>
    <col min="5635" max="5637" width="12.88671875" style="519" customWidth="1"/>
    <col min="5638" max="5638" width="3.88671875" style="519" customWidth="1"/>
    <col min="5639" max="5639" width="12.88671875" style="519" customWidth="1"/>
    <col min="5640" max="5886" width="6.88671875" style="519" customWidth="1"/>
    <col min="5887" max="5887" width="9.109375" style="519"/>
    <col min="5888" max="5888" width="24.44140625" style="519" customWidth="1"/>
    <col min="5889" max="5889" width="67.5546875" style="519" customWidth="1"/>
    <col min="5890" max="5890" width="0" style="519" hidden="1" customWidth="1"/>
    <col min="5891" max="5893" width="12.88671875" style="519" customWidth="1"/>
    <col min="5894" max="5894" width="3.88671875" style="519" customWidth="1"/>
    <col min="5895" max="5895" width="12.88671875" style="519" customWidth="1"/>
    <col min="5896" max="6142" width="6.88671875" style="519" customWidth="1"/>
    <col min="6143" max="6143" width="9.109375" style="519"/>
    <col min="6144" max="6144" width="24.44140625" style="519" customWidth="1"/>
    <col min="6145" max="6145" width="67.5546875" style="519" customWidth="1"/>
    <col min="6146" max="6146" width="0" style="519" hidden="1" customWidth="1"/>
    <col min="6147" max="6149" width="12.88671875" style="519" customWidth="1"/>
    <col min="6150" max="6150" width="3.88671875" style="519" customWidth="1"/>
    <col min="6151" max="6151" width="12.88671875" style="519" customWidth="1"/>
    <col min="6152" max="6398" width="6.88671875" style="519" customWidth="1"/>
    <col min="6399" max="6399" width="9.109375" style="519"/>
    <col min="6400" max="6400" width="24.44140625" style="519" customWidth="1"/>
    <col min="6401" max="6401" width="67.5546875" style="519" customWidth="1"/>
    <col min="6402" max="6402" width="0" style="519" hidden="1" customWidth="1"/>
    <col min="6403" max="6405" width="12.88671875" style="519" customWidth="1"/>
    <col min="6406" max="6406" width="3.88671875" style="519" customWidth="1"/>
    <col min="6407" max="6407" width="12.88671875" style="519" customWidth="1"/>
    <col min="6408" max="6654" width="6.88671875" style="519" customWidth="1"/>
    <col min="6655" max="6655" width="9.109375" style="519"/>
    <col min="6656" max="6656" width="24.44140625" style="519" customWidth="1"/>
    <col min="6657" max="6657" width="67.5546875" style="519" customWidth="1"/>
    <col min="6658" max="6658" width="0" style="519" hidden="1" customWidth="1"/>
    <col min="6659" max="6661" width="12.88671875" style="519" customWidth="1"/>
    <col min="6662" max="6662" width="3.88671875" style="519" customWidth="1"/>
    <col min="6663" max="6663" width="12.88671875" style="519" customWidth="1"/>
    <col min="6664" max="6910" width="6.88671875" style="519" customWidth="1"/>
    <col min="6911" max="6911" width="9.109375" style="519"/>
    <col min="6912" max="6912" width="24.44140625" style="519" customWidth="1"/>
    <col min="6913" max="6913" width="67.5546875" style="519" customWidth="1"/>
    <col min="6914" max="6914" width="0" style="519" hidden="1" customWidth="1"/>
    <col min="6915" max="6917" width="12.88671875" style="519" customWidth="1"/>
    <col min="6918" max="6918" width="3.88671875" style="519" customWidth="1"/>
    <col min="6919" max="6919" width="12.88671875" style="519" customWidth="1"/>
    <col min="6920" max="7166" width="6.88671875" style="519" customWidth="1"/>
    <col min="7167" max="7167" width="9.109375" style="519"/>
    <col min="7168" max="7168" width="24.44140625" style="519" customWidth="1"/>
    <col min="7169" max="7169" width="67.5546875" style="519" customWidth="1"/>
    <col min="7170" max="7170" width="0" style="519" hidden="1" customWidth="1"/>
    <col min="7171" max="7173" width="12.88671875" style="519" customWidth="1"/>
    <col min="7174" max="7174" width="3.88671875" style="519" customWidth="1"/>
    <col min="7175" max="7175" width="12.88671875" style="519" customWidth="1"/>
    <col min="7176" max="7422" width="6.88671875" style="519" customWidth="1"/>
    <col min="7423" max="7423" width="9.109375" style="519"/>
    <col min="7424" max="7424" width="24.44140625" style="519" customWidth="1"/>
    <col min="7425" max="7425" width="67.5546875" style="519" customWidth="1"/>
    <col min="7426" max="7426" width="0" style="519" hidden="1" customWidth="1"/>
    <col min="7427" max="7429" width="12.88671875" style="519" customWidth="1"/>
    <col min="7430" max="7430" width="3.88671875" style="519" customWidth="1"/>
    <col min="7431" max="7431" width="12.88671875" style="519" customWidth="1"/>
    <col min="7432" max="7678" width="6.88671875" style="519" customWidth="1"/>
    <col min="7679" max="7679" width="9.109375" style="519"/>
    <col min="7680" max="7680" width="24.44140625" style="519" customWidth="1"/>
    <col min="7681" max="7681" width="67.5546875" style="519" customWidth="1"/>
    <col min="7682" max="7682" width="0" style="519" hidden="1" customWidth="1"/>
    <col min="7683" max="7685" width="12.88671875" style="519" customWidth="1"/>
    <col min="7686" max="7686" width="3.88671875" style="519" customWidth="1"/>
    <col min="7687" max="7687" width="12.88671875" style="519" customWidth="1"/>
    <col min="7688" max="7934" width="6.88671875" style="519" customWidth="1"/>
    <col min="7935" max="7935" width="9.109375" style="519"/>
    <col min="7936" max="7936" width="24.44140625" style="519" customWidth="1"/>
    <col min="7937" max="7937" width="67.5546875" style="519" customWidth="1"/>
    <col min="7938" max="7938" width="0" style="519" hidden="1" customWidth="1"/>
    <col min="7939" max="7941" width="12.88671875" style="519" customWidth="1"/>
    <col min="7942" max="7942" width="3.88671875" style="519" customWidth="1"/>
    <col min="7943" max="7943" width="12.88671875" style="519" customWidth="1"/>
    <col min="7944" max="8190" width="6.88671875" style="519" customWidth="1"/>
    <col min="8191" max="8191" width="9.109375" style="519"/>
    <col min="8192" max="8192" width="24.44140625" style="519" customWidth="1"/>
    <col min="8193" max="8193" width="67.5546875" style="519" customWidth="1"/>
    <col min="8194" max="8194" width="0" style="519" hidden="1" customWidth="1"/>
    <col min="8195" max="8197" width="12.88671875" style="519" customWidth="1"/>
    <col min="8198" max="8198" width="3.88671875" style="519" customWidth="1"/>
    <col min="8199" max="8199" width="12.88671875" style="519" customWidth="1"/>
    <col min="8200" max="8446" width="6.88671875" style="519" customWidth="1"/>
    <col min="8447" max="8447" width="9.109375" style="519"/>
    <col min="8448" max="8448" width="24.44140625" style="519" customWidth="1"/>
    <col min="8449" max="8449" width="67.5546875" style="519" customWidth="1"/>
    <col min="8450" max="8450" width="0" style="519" hidden="1" customWidth="1"/>
    <col min="8451" max="8453" width="12.88671875" style="519" customWidth="1"/>
    <col min="8454" max="8454" width="3.88671875" style="519" customWidth="1"/>
    <col min="8455" max="8455" width="12.88671875" style="519" customWidth="1"/>
    <col min="8456" max="8702" width="6.88671875" style="519" customWidth="1"/>
    <col min="8703" max="8703" width="9.109375" style="519"/>
    <col min="8704" max="8704" width="24.44140625" style="519" customWidth="1"/>
    <col min="8705" max="8705" width="67.5546875" style="519" customWidth="1"/>
    <col min="8706" max="8706" width="0" style="519" hidden="1" customWidth="1"/>
    <col min="8707" max="8709" width="12.88671875" style="519" customWidth="1"/>
    <col min="8710" max="8710" width="3.88671875" style="519" customWidth="1"/>
    <col min="8711" max="8711" width="12.88671875" style="519" customWidth="1"/>
    <col min="8712" max="8958" width="6.88671875" style="519" customWidth="1"/>
    <col min="8959" max="8959" width="9.109375" style="519"/>
    <col min="8960" max="8960" width="24.44140625" style="519" customWidth="1"/>
    <col min="8961" max="8961" width="67.5546875" style="519" customWidth="1"/>
    <col min="8962" max="8962" width="0" style="519" hidden="1" customWidth="1"/>
    <col min="8963" max="8965" width="12.88671875" style="519" customWidth="1"/>
    <col min="8966" max="8966" width="3.88671875" style="519" customWidth="1"/>
    <col min="8967" max="8967" width="12.88671875" style="519" customWidth="1"/>
    <col min="8968" max="9214" width="6.88671875" style="519" customWidth="1"/>
    <col min="9215" max="9215" width="9.109375" style="519"/>
    <col min="9216" max="9216" width="24.44140625" style="519" customWidth="1"/>
    <col min="9217" max="9217" width="67.5546875" style="519" customWidth="1"/>
    <col min="9218" max="9218" width="0" style="519" hidden="1" customWidth="1"/>
    <col min="9219" max="9221" width="12.88671875" style="519" customWidth="1"/>
    <col min="9222" max="9222" width="3.88671875" style="519" customWidth="1"/>
    <col min="9223" max="9223" width="12.88671875" style="519" customWidth="1"/>
    <col min="9224" max="9470" width="6.88671875" style="519" customWidth="1"/>
    <col min="9471" max="9471" width="9.109375" style="519"/>
    <col min="9472" max="9472" width="24.44140625" style="519" customWidth="1"/>
    <col min="9473" max="9473" width="67.5546875" style="519" customWidth="1"/>
    <col min="9474" max="9474" width="0" style="519" hidden="1" customWidth="1"/>
    <col min="9475" max="9477" width="12.88671875" style="519" customWidth="1"/>
    <col min="9478" max="9478" width="3.88671875" style="519" customWidth="1"/>
    <col min="9479" max="9479" width="12.88671875" style="519" customWidth="1"/>
    <col min="9480" max="9726" width="6.88671875" style="519" customWidth="1"/>
    <col min="9727" max="9727" width="9.109375" style="519"/>
    <col min="9728" max="9728" width="24.44140625" style="519" customWidth="1"/>
    <col min="9729" max="9729" width="67.5546875" style="519" customWidth="1"/>
    <col min="9730" max="9730" width="0" style="519" hidden="1" customWidth="1"/>
    <col min="9731" max="9733" width="12.88671875" style="519" customWidth="1"/>
    <col min="9734" max="9734" width="3.88671875" style="519" customWidth="1"/>
    <col min="9735" max="9735" width="12.88671875" style="519" customWidth="1"/>
    <col min="9736" max="9982" width="6.88671875" style="519" customWidth="1"/>
    <col min="9983" max="9983" width="9.109375" style="519"/>
    <col min="9984" max="9984" width="24.44140625" style="519" customWidth="1"/>
    <col min="9985" max="9985" width="67.5546875" style="519" customWidth="1"/>
    <col min="9986" max="9986" width="0" style="519" hidden="1" customWidth="1"/>
    <col min="9987" max="9989" width="12.88671875" style="519" customWidth="1"/>
    <col min="9990" max="9990" width="3.88671875" style="519" customWidth="1"/>
    <col min="9991" max="9991" width="12.88671875" style="519" customWidth="1"/>
    <col min="9992" max="10238" width="6.88671875" style="519" customWidth="1"/>
    <col min="10239" max="10239" width="9.109375" style="519"/>
    <col min="10240" max="10240" width="24.44140625" style="519" customWidth="1"/>
    <col min="10241" max="10241" width="67.5546875" style="519" customWidth="1"/>
    <col min="10242" max="10242" width="0" style="519" hidden="1" customWidth="1"/>
    <col min="10243" max="10245" width="12.88671875" style="519" customWidth="1"/>
    <col min="10246" max="10246" width="3.88671875" style="519" customWidth="1"/>
    <col min="10247" max="10247" width="12.88671875" style="519" customWidth="1"/>
    <col min="10248" max="10494" width="6.88671875" style="519" customWidth="1"/>
    <col min="10495" max="10495" width="9.109375" style="519"/>
    <col min="10496" max="10496" width="24.44140625" style="519" customWidth="1"/>
    <col min="10497" max="10497" width="67.5546875" style="519" customWidth="1"/>
    <col min="10498" max="10498" width="0" style="519" hidden="1" customWidth="1"/>
    <col min="10499" max="10501" width="12.88671875" style="519" customWidth="1"/>
    <col min="10502" max="10502" width="3.88671875" style="519" customWidth="1"/>
    <col min="10503" max="10503" width="12.88671875" style="519" customWidth="1"/>
    <col min="10504" max="10750" width="6.88671875" style="519" customWidth="1"/>
    <col min="10751" max="10751" width="9.109375" style="519"/>
    <col min="10752" max="10752" width="24.44140625" style="519" customWidth="1"/>
    <col min="10753" max="10753" width="67.5546875" style="519" customWidth="1"/>
    <col min="10754" max="10754" width="0" style="519" hidden="1" customWidth="1"/>
    <col min="10755" max="10757" width="12.88671875" style="519" customWidth="1"/>
    <col min="10758" max="10758" width="3.88671875" style="519" customWidth="1"/>
    <col min="10759" max="10759" width="12.88671875" style="519" customWidth="1"/>
    <col min="10760" max="11006" width="6.88671875" style="519" customWidth="1"/>
    <col min="11007" max="11007" width="9.109375" style="519"/>
    <col min="11008" max="11008" width="24.44140625" style="519" customWidth="1"/>
    <col min="11009" max="11009" width="67.5546875" style="519" customWidth="1"/>
    <col min="11010" max="11010" width="0" style="519" hidden="1" customWidth="1"/>
    <col min="11011" max="11013" width="12.88671875" style="519" customWidth="1"/>
    <col min="11014" max="11014" width="3.88671875" style="519" customWidth="1"/>
    <col min="11015" max="11015" width="12.88671875" style="519" customWidth="1"/>
    <col min="11016" max="11262" width="6.88671875" style="519" customWidth="1"/>
    <col min="11263" max="11263" width="9.109375" style="519"/>
    <col min="11264" max="11264" width="24.44140625" style="519" customWidth="1"/>
    <col min="11265" max="11265" width="67.5546875" style="519" customWidth="1"/>
    <col min="11266" max="11266" width="0" style="519" hidden="1" customWidth="1"/>
    <col min="11267" max="11269" width="12.88671875" style="519" customWidth="1"/>
    <col min="11270" max="11270" width="3.88671875" style="519" customWidth="1"/>
    <col min="11271" max="11271" width="12.88671875" style="519" customWidth="1"/>
    <col min="11272" max="11518" width="6.88671875" style="519" customWidth="1"/>
    <col min="11519" max="11519" width="9.109375" style="519"/>
    <col min="11520" max="11520" width="24.44140625" style="519" customWidth="1"/>
    <col min="11521" max="11521" width="67.5546875" style="519" customWidth="1"/>
    <col min="11522" max="11522" width="0" style="519" hidden="1" customWidth="1"/>
    <col min="11523" max="11525" width="12.88671875" style="519" customWidth="1"/>
    <col min="11526" max="11526" width="3.88671875" style="519" customWidth="1"/>
    <col min="11527" max="11527" width="12.88671875" style="519" customWidth="1"/>
    <col min="11528" max="11774" width="6.88671875" style="519" customWidth="1"/>
    <col min="11775" max="11775" width="9.109375" style="519"/>
    <col min="11776" max="11776" width="24.44140625" style="519" customWidth="1"/>
    <col min="11777" max="11777" width="67.5546875" style="519" customWidth="1"/>
    <col min="11778" max="11778" width="0" style="519" hidden="1" customWidth="1"/>
    <col min="11779" max="11781" width="12.88671875" style="519" customWidth="1"/>
    <col min="11782" max="11782" width="3.88671875" style="519" customWidth="1"/>
    <col min="11783" max="11783" width="12.88671875" style="519" customWidth="1"/>
    <col min="11784" max="12030" width="6.88671875" style="519" customWidth="1"/>
    <col min="12031" max="12031" width="9.109375" style="519"/>
    <col min="12032" max="12032" width="24.44140625" style="519" customWidth="1"/>
    <col min="12033" max="12033" width="67.5546875" style="519" customWidth="1"/>
    <col min="12034" max="12034" width="0" style="519" hidden="1" customWidth="1"/>
    <col min="12035" max="12037" width="12.88671875" style="519" customWidth="1"/>
    <col min="12038" max="12038" width="3.88671875" style="519" customWidth="1"/>
    <col min="12039" max="12039" width="12.88671875" style="519" customWidth="1"/>
    <col min="12040" max="12286" width="6.88671875" style="519" customWidth="1"/>
    <col min="12287" max="12287" width="9.109375" style="519"/>
    <col min="12288" max="12288" width="24.44140625" style="519" customWidth="1"/>
    <col min="12289" max="12289" width="67.5546875" style="519" customWidth="1"/>
    <col min="12290" max="12290" width="0" style="519" hidden="1" customWidth="1"/>
    <col min="12291" max="12293" width="12.88671875" style="519" customWidth="1"/>
    <col min="12294" max="12294" width="3.88671875" style="519" customWidth="1"/>
    <col min="12295" max="12295" width="12.88671875" style="519" customWidth="1"/>
    <col min="12296" max="12542" width="6.88671875" style="519" customWidth="1"/>
    <col min="12543" max="12543" width="9.109375" style="519"/>
    <col min="12544" max="12544" width="24.44140625" style="519" customWidth="1"/>
    <col min="12545" max="12545" width="67.5546875" style="519" customWidth="1"/>
    <col min="12546" max="12546" width="0" style="519" hidden="1" customWidth="1"/>
    <col min="12547" max="12549" width="12.88671875" style="519" customWidth="1"/>
    <col min="12550" max="12550" width="3.88671875" style="519" customWidth="1"/>
    <col min="12551" max="12551" width="12.88671875" style="519" customWidth="1"/>
    <col min="12552" max="12798" width="6.88671875" style="519" customWidth="1"/>
    <col min="12799" max="12799" width="9.109375" style="519"/>
    <col min="12800" max="12800" width="24.44140625" style="519" customWidth="1"/>
    <col min="12801" max="12801" width="67.5546875" style="519" customWidth="1"/>
    <col min="12802" max="12802" width="0" style="519" hidden="1" customWidth="1"/>
    <col min="12803" max="12805" width="12.88671875" style="519" customWidth="1"/>
    <col min="12806" max="12806" width="3.88671875" style="519" customWidth="1"/>
    <col min="12807" max="12807" width="12.88671875" style="519" customWidth="1"/>
    <col min="12808" max="13054" width="6.88671875" style="519" customWidth="1"/>
    <col min="13055" max="13055" width="9.109375" style="519"/>
    <col min="13056" max="13056" width="24.44140625" style="519" customWidth="1"/>
    <col min="13057" max="13057" width="67.5546875" style="519" customWidth="1"/>
    <col min="13058" max="13058" width="0" style="519" hidden="1" customWidth="1"/>
    <col min="13059" max="13061" width="12.88671875" style="519" customWidth="1"/>
    <col min="13062" max="13062" width="3.88671875" style="519" customWidth="1"/>
    <col min="13063" max="13063" width="12.88671875" style="519" customWidth="1"/>
    <col min="13064" max="13310" width="6.88671875" style="519" customWidth="1"/>
    <col min="13311" max="13311" width="9.109375" style="519"/>
    <col min="13312" max="13312" width="24.44140625" style="519" customWidth="1"/>
    <col min="13313" max="13313" width="67.5546875" style="519" customWidth="1"/>
    <col min="13314" max="13314" width="0" style="519" hidden="1" customWidth="1"/>
    <col min="13315" max="13317" width="12.88671875" style="519" customWidth="1"/>
    <col min="13318" max="13318" width="3.88671875" style="519" customWidth="1"/>
    <col min="13319" max="13319" width="12.88671875" style="519" customWidth="1"/>
    <col min="13320" max="13566" width="6.88671875" style="519" customWidth="1"/>
    <col min="13567" max="13567" width="9.109375" style="519"/>
    <col min="13568" max="13568" width="24.44140625" style="519" customWidth="1"/>
    <col min="13569" max="13569" width="67.5546875" style="519" customWidth="1"/>
    <col min="13570" max="13570" width="0" style="519" hidden="1" customWidth="1"/>
    <col min="13571" max="13573" width="12.88671875" style="519" customWidth="1"/>
    <col min="13574" max="13574" width="3.88671875" style="519" customWidth="1"/>
    <col min="13575" max="13575" width="12.88671875" style="519" customWidth="1"/>
    <col min="13576" max="13822" width="6.88671875" style="519" customWidth="1"/>
    <col min="13823" max="13823" width="9.109375" style="519"/>
    <col min="13824" max="13824" width="24.44140625" style="519" customWidth="1"/>
    <col min="13825" max="13825" width="67.5546875" style="519" customWidth="1"/>
    <col min="13826" max="13826" width="0" style="519" hidden="1" customWidth="1"/>
    <col min="13827" max="13829" width="12.88671875" style="519" customWidth="1"/>
    <col min="13830" max="13830" width="3.88671875" style="519" customWidth="1"/>
    <col min="13831" max="13831" width="12.88671875" style="519" customWidth="1"/>
    <col min="13832" max="14078" width="6.88671875" style="519" customWidth="1"/>
    <col min="14079" max="14079" width="9.109375" style="519"/>
    <col min="14080" max="14080" width="24.44140625" style="519" customWidth="1"/>
    <col min="14081" max="14081" width="67.5546875" style="519" customWidth="1"/>
    <col min="14082" max="14082" width="0" style="519" hidden="1" customWidth="1"/>
    <col min="14083" max="14085" width="12.88671875" style="519" customWidth="1"/>
    <col min="14086" max="14086" width="3.88671875" style="519" customWidth="1"/>
    <col min="14087" max="14087" width="12.88671875" style="519" customWidth="1"/>
    <col min="14088" max="14334" width="6.88671875" style="519" customWidth="1"/>
    <col min="14335" max="14335" width="9.109375" style="519"/>
    <col min="14336" max="14336" width="24.44140625" style="519" customWidth="1"/>
    <col min="14337" max="14337" width="67.5546875" style="519" customWidth="1"/>
    <col min="14338" max="14338" width="0" style="519" hidden="1" customWidth="1"/>
    <col min="14339" max="14341" width="12.88671875" style="519" customWidth="1"/>
    <col min="14342" max="14342" width="3.88671875" style="519" customWidth="1"/>
    <col min="14343" max="14343" width="12.88671875" style="519" customWidth="1"/>
    <col min="14344" max="14590" width="6.88671875" style="519" customWidth="1"/>
    <col min="14591" max="14591" width="9.109375" style="519"/>
    <col min="14592" max="14592" width="24.44140625" style="519" customWidth="1"/>
    <col min="14593" max="14593" width="67.5546875" style="519" customWidth="1"/>
    <col min="14594" max="14594" width="0" style="519" hidden="1" customWidth="1"/>
    <col min="14595" max="14597" width="12.88671875" style="519" customWidth="1"/>
    <col min="14598" max="14598" width="3.88671875" style="519" customWidth="1"/>
    <col min="14599" max="14599" width="12.88671875" style="519" customWidth="1"/>
    <col min="14600" max="14846" width="6.88671875" style="519" customWidth="1"/>
    <col min="14847" max="14847" width="9.109375" style="519"/>
    <col min="14848" max="14848" width="24.44140625" style="519" customWidth="1"/>
    <col min="14849" max="14849" width="67.5546875" style="519" customWidth="1"/>
    <col min="14850" max="14850" width="0" style="519" hidden="1" customWidth="1"/>
    <col min="14851" max="14853" width="12.88671875" style="519" customWidth="1"/>
    <col min="14854" max="14854" width="3.88671875" style="519" customWidth="1"/>
    <col min="14855" max="14855" width="12.88671875" style="519" customWidth="1"/>
    <col min="14856" max="15102" width="6.88671875" style="519" customWidth="1"/>
    <col min="15103" max="15103" width="9.109375" style="519"/>
    <col min="15104" max="15104" width="24.44140625" style="519" customWidth="1"/>
    <col min="15105" max="15105" width="67.5546875" style="519" customWidth="1"/>
    <col min="15106" max="15106" width="0" style="519" hidden="1" customWidth="1"/>
    <col min="15107" max="15109" width="12.88671875" style="519" customWidth="1"/>
    <col min="15110" max="15110" width="3.88671875" style="519" customWidth="1"/>
    <col min="15111" max="15111" width="12.88671875" style="519" customWidth="1"/>
    <col min="15112" max="15358" width="6.88671875" style="519" customWidth="1"/>
    <col min="15359" max="15359" width="9.109375" style="519"/>
    <col min="15360" max="15360" width="24.44140625" style="519" customWidth="1"/>
    <col min="15361" max="15361" width="67.5546875" style="519" customWidth="1"/>
    <col min="15362" max="15362" width="0" style="519" hidden="1" customWidth="1"/>
    <col min="15363" max="15365" width="12.88671875" style="519" customWidth="1"/>
    <col min="15366" max="15366" width="3.88671875" style="519" customWidth="1"/>
    <col min="15367" max="15367" width="12.88671875" style="519" customWidth="1"/>
    <col min="15368" max="15614" width="6.88671875" style="519" customWidth="1"/>
    <col min="15615" max="15615" width="9.109375" style="519"/>
    <col min="15616" max="15616" width="24.44140625" style="519" customWidth="1"/>
    <col min="15617" max="15617" width="67.5546875" style="519" customWidth="1"/>
    <col min="15618" max="15618" width="0" style="519" hidden="1" customWidth="1"/>
    <col min="15619" max="15621" width="12.88671875" style="519" customWidth="1"/>
    <col min="15622" max="15622" width="3.88671875" style="519" customWidth="1"/>
    <col min="15623" max="15623" width="12.88671875" style="519" customWidth="1"/>
    <col min="15624" max="15870" width="6.88671875" style="519" customWidth="1"/>
    <col min="15871" max="15871" width="9.109375" style="519"/>
    <col min="15872" max="15872" width="24.44140625" style="519" customWidth="1"/>
    <col min="15873" max="15873" width="67.5546875" style="519" customWidth="1"/>
    <col min="15874" max="15874" width="0" style="519" hidden="1" customWidth="1"/>
    <col min="15875" max="15877" width="12.88671875" style="519" customWidth="1"/>
    <col min="15878" max="15878" width="3.88671875" style="519" customWidth="1"/>
    <col min="15879" max="15879" width="12.88671875" style="519" customWidth="1"/>
    <col min="15880" max="16126" width="6.88671875" style="519" customWidth="1"/>
    <col min="16127" max="16127" width="9.109375" style="519"/>
    <col min="16128" max="16128" width="24.44140625" style="519" customWidth="1"/>
    <col min="16129" max="16129" width="67.5546875" style="519" customWidth="1"/>
    <col min="16130" max="16130" width="0" style="519" hidden="1" customWidth="1"/>
    <col min="16131" max="16133" width="12.88671875" style="519" customWidth="1"/>
    <col min="16134" max="16134" width="3.88671875" style="519" customWidth="1"/>
    <col min="16135" max="16135" width="12.88671875" style="519" customWidth="1"/>
    <col min="16136" max="16384" width="6.88671875" style="519" customWidth="1"/>
  </cols>
  <sheetData>
    <row r="3" spans="3:19" s="525" customFormat="1" ht="15" customHeight="1" x14ac:dyDescent="0.35">
      <c r="D3" s="526"/>
      <c r="E3" s="527"/>
      <c r="F3" s="527"/>
      <c r="G3" s="527"/>
      <c r="H3" s="527"/>
      <c r="I3" s="288"/>
      <c r="J3" s="528"/>
      <c r="K3" s="528"/>
      <c r="L3" s="528"/>
      <c r="M3" s="289">
        <f>L12-M12</f>
        <v>7631575.5600000024</v>
      </c>
      <c r="N3" s="289"/>
      <c r="O3" s="529"/>
      <c r="P3" s="291"/>
      <c r="R3" s="519"/>
      <c r="S3" s="519"/>
    </row>
    <row r="4" spans="3:19" s="525" customFormat="1" ht="15" customHeight="1" x14ac:dyDescent="0.35">
      <c r="D4" s="526"/>
      <c r="E4" s="527"/>
      <c r="F4" s="527"/>
      <c r="G4" s="527"/>
      <c r="H4" s="527"/>
      <c r="I4" s="288"/>
      <c r="J4" s="531"/>
      <c r="K4" s="531"/>
      <c r="L4" s="531"/>
      <c r="M4" s="292"/>
      <c r="N4" s="292"/>
      <c r="O4" s="532"/>
      <c r="P4" s="291"/>
      <c r="R4" s="519"/>
      <c r="S4" s="519"/>
    </row>
    <row r="5" spans="3:19" s="525" customFormat="1" ht="15" customHeight="1" x14ac:dyDescent="0.35">
      <c r="D5" s="526"/>
      <c r="E5" s="527"/>
      <c r="F5" s="527"/>
      <c r="G5" s="527"/>
      <c r="H5" s="527"/>
      <c r="I5" s="288"/>
      <c r="J5" s="531"/>
      <c r="K5" s="531"/>
      <c r="L5" s="531"/>
      <c r="M5" s="292"/>
      <c r="N5" s="292"/>
      <c r="O5" s="532"/>
      <c r="P5" s="291"/>
      <c r="R5" s="519"/>
      <c r="S5" s="519"/>
    </row>
    <row r="6" spans="3:19" s="525" customFormat="1" ht="15" customHeight="1" x14ac:dyDescent="0.35">
      <c r="D6" s="526"/>
      <c r="E6" s="527"/>
      <c r="F6" s="527"/>
      <c r="G6" s="527"/>
      <c r="H6" s="527"/>
      <c r="I6" s="288"/>
      <c r="J6" s="531"/>
      <c r="K6" s="531"/>
      <c r="L6" s="531"/>
      <c r="M6" s="289">
        <f>L12+L287</f>
        <v>-9891446.1900000051</v>
      </c>
      <c r="N6" s="289"/>
      <c r="O6" s="529">
        <f>M7-M6</f>
        <v>-5209578.8999999985</v>
      </c>
      <c r="P6" s="291"/>
      <c r="R6" s="519"/>
      <c r="S6" s="519"/>
    </row>
    <row r="7" spans="3:19" s="525" customFormat="1" ht="15" customHeight="1" x14ac:dyDescent="0.35">
      <c r="C7" s="294" t="s">
        <v>4310</v>
      </c>
      <c r="D7" s="533"/>
      <c r="E7" s="534"/>
      <c r="F7" s="534"/>
      <c r="G7" s="534"/>
      <c r="H7" s="534"/>
      <c r="I7" s="288"/>
      <c r="J7" s="531"/>
      <c r="K7" s="531"/>
      <c r="L7" s="531"/>
      <c r="M7" s="289">
        <f>M12+M287</f>
        <v>-15101025.090000004</v>
      </c>
      <c r="N7" s="289"/>
      <c r="O7" s="532"/>
      <c r="P7" s="291"/>
      <c r="R7" s="519"/>
      <c r="S7" s="519"/>
    </row>
    <row r="8" spans="3:19" s="525" customFormat="1" ht="15" customHeight="1" x14ac:dyDescent="0.35">
      <c r="C8" s="535" t="s">
        <v>4311</v>
      </c>
      <c r="D8" s="533"/>
      <c r="E8" s="534"/>
      <c r="F8" s="534"/>
      <c r="G8" s="534"/>
      <c r="H8" s="534"/>
      <c r="I8" s="288"/>
      <c r="J8" s="531"/>
      <c r="K8" s="531"/>
      <c r="L8" s="536">
        <v>45400</v>
      </c>
      <c r="M8" s="297"/>
      <c r="N8" s="297"/>
      <c r="O8" s="529"/>
      <c r="P8" s="291"/>
      <c r="R8" s="519"/>
      <c r="S8" s="519"/>
    </row>
    <row r="10" spans="3:19" ht="21" customHeight="1" x14ac:dyDescent="0.3">
      <c r="I10" s="537">
        <v>2022</v>
      </c>
      <c r="K10" s="537"/>
      <c r="L10" s="537">
        <v>2023</v>
      </c>
      <c r="M10" s="593"/>
      <c r="N10" s="593"/>
    </row>
    <row r="11" spans="3:19" s="538" customFormat="1" ht="15" customHeight="1" x14ac:dyDescent="0.3">
      <c r="C11" s="539" t="s">
        <v>2</v>
      </c>
      <c r="D11" s="540" t="s">
        <v>3</v>
      </c>
      <c r="E11" s="306" t="s">
        <v>6</v>
      </c>
      <c r="F11" s="541" t="s">
        <v>7</v>
      </c>
      <c r="G11" s="542" t="s">
        <v>8</v>
      </c>
      <c r="H11" s="542" t="s">
        <v>2118</v>
      </c>
      <c r="I11" s="306" t="s">
        <v>6</v>
      </c>
      <c r="J11" s="541" t="s">
        <v>7</v>
      </c>
      <c r="K11" s="542" t="s">
        <v>8</v>
      </c>
      <c r="L11" s="542" t="s">
        <v>2118</v>
      </c>
      <c r="M11" s="553" t="s">
        <v>5905</v>
      </c>
      <c r="N11" s="553"/>
      <c r="O11" s="523" t="s">
        <v>2406</v>
      </c>
      <c r="P11" s="301" t="s">
        <v>3694</v>
      </c>
      <c r="R11" s="525"/>
      <c r="S11" s="525"/>
    </row>
    <row r="12" spans="3:19" ht="15" customHeight="1" x14ac:dyDescent="0.3">
      <c r="C12" s="543">
        <v>1</v>
      </c>
      <c r="D12" s="319" t="s">
        <v>11</v>
      </c>
      <c r="E12" s="544">
        <v>58488220.68</v>
      </c>
      <c r="F12" s="544">
        <v>80119025.709999993</v>
      </c>
      <c r="G12" s="544">
        <v>82900129.840000004</v>
      </c>
      <c r="H12" s="544">
        <v>55707116.549999997</v>
      </c>
      <c r="I12" s="312">
        <v>58488220.68</v>
      </c>
      <c r="J12" s="517">
        <v>80119025.709999993</v>
      </c>
      <c r="K12" s="517">
        <v>82900129.840000004</v>
      </c>
      <c r="L12" s="517">
        <v>55707116.549999997</v>
      </c>
      <c r="M12" s="313">
        <f>M13+M165</f>
        <v>48075540.989999995</v>
      </c>
      <c r="N12" s="313">
        <f>L12-M12</f>
        <v>7631575.5600000024</v>
      </c>
      <c r="R12" s="525"/>
      <c r="S12" s="525"/>
    </row>
    <row r="13" spans="3:19" ht="15" customHeight="1" x14ac:dyDescent="0.3">
      <c r="C13" s="543" t="s">
        <v>4312</v>
      </c>
      <c r="D13" s="319" t="s">
        <v>3361</v>
      </c>
      <c r="E13" s="544">
        <v>22601893.190000001</v>
      </c>
      <c r="F13" s="544">
        <v>67018128.939999998</v>
      </c>
      <c r="G13" s="544">
        <v>70381690.120000005</v>
      </c>
      <c r="H13" s="544">
        <v>19238332.010000002</v>
      </c>
      <c r="I13" s="312">
        <v>22601893.190000001</v>
      </c>
      <c r="J13" s="517">
        <v>67018128.939999998</v>
      </c>
      <c r="K13" s="517">
        <v>70381690.120000005</v>
      </c>
      <c r="L13" s="517">
        <v>19238332.010000002</v>
      </c>
      <c r="M13" s="313">
        <f>M14+M34+M97+M120+M131+M135+M139+M149+M152+M157+M160</f>
        <v>10239814.079999998</v>
      </c>
      <c r="N13" s="313">
        <f t="shared" ref="N13:N76" si="0">L13-M13</f>
        <v>8998517.9300000034</v>
      </c>
      <c r="R13" s="525"/>
      <c r="S13" s="525"/>
    </row>
    <row r="14" spans="3:19" ht="15" customHeight="1" x14ac:dyDescent="0.35">
      <c r="C14" s="543" t="s">
        <v>4313</v>
      </c>
      <c r="D14" s="319" t="s">
        <v>3362</v>
      </c>
      <c r="E14" s="544">
        <v>2861198.37</v>
      </c>
      <c r="F14" s="544">
        <v>44813626.490000002</v>
      </c>
      <c r="G14" s="544">
        <v>44565557.509999998</v>
      </c>
      <c r="H14" s="544">
        <v>3109267.35</v>
      </c>
      <c r="I14" s="312">
        <v>2861198.37</v>
      </c>
      <c r="J14" s="517">
        <v>44813626.490000002</v>
      </c>
      <c r="K14" s="517">
        <v>44565557.509999998</v>
      </c>
      <c r="L14" s="517">
        <v>3109267.35</v>
      </c>
      <c r="M14" s="313">
        <v>3109267.35</v>
      </c>
      <c r="N14" s="313">
        <f t="shared" si="0"/>
        <v>0</v>
      </c>
      <c r="O14" s="529" t="s">
        <v>3363</v>
      </c>
      <c r="P14" s="291">
        <v>4</v>
      </c>
      <c r="R14" s="525"/>
      <c r="S14" s="525"/>
    </row>
    <row r="15" spans="3:19" ht="15" customHeight="1" x14ac:dyDescent="0.3">
      <c r="C15" s="543" t="s">
        <v>4314</v>
      </c>
      <c r="D15" s="319" t="s">
        <v>29</v>
      </c>
      <c r="E15" s="544">
        <v>509731.36</v>
      </c>
      <c r="F15" s="544">
        <v>44684491.57</v>
      </c>
      <c r="G15" s="544">
        <v>42922129.609999999</v>
      </c>
      <c r="H15" s="544">
        <v>2272093.3199999998</v>
      </c>
      <c r="I15" s="312">
        <v>509731.36</v>
      </c>
      <c r="J15" s="517">
        <v>44684491.57</v>
      </c>
      <c r="K15" s="517">
        <v>42922129.609999999</v>
      </c>
      <c r="L15" s="517">
        <v>2272093.3199999998</v>
      </c>
      <c r="M15" s="313">
        <v>2272093.3199999998</v>
      </c>
      <c r="N15" s="313">
        <f t="shared" si="0"/>
        <v>0</v>
      </c>
      <c r="R15" s="525"/>
      <c r="S15" s="525"/>
    </row>
    <row r="16" spans="3:19" ht="15" customHeight="1" x14ac:dyDescent="0.3">
      <c r="C16" s="545" t="s">
        <v>4315</v>
      </c>
      <c r="D16" s="320" t="s">
        <v>33</v>
      </c>
      <c r="E16" s="544">
        <v>13222.72</v>
      </c>
      <c r="F16" s="544">
        <v>866.21</v>
      </c>
      <c r="G16" s="544">
        <v>14088.93</v>
      </c>
      <c r="H16" s="544">
        <v>0</v>
      </c>
      <c r="I16" s="316">
        <v>13222.72</v>
      </c>
      <c r="J16" s="518">
        <v>866.21</v>
      </c>
      <c r="K16" s="518">
        <v>14088.93</v>
      </c>
      <c r="L16" s="518">
        <v>0</v>
      </c>
      <c r="M16" s="317">
        <v>0</v>
      </c>
      <c r="N16" s="313">
        <f t="shared" si="0"/>
        <v>0</v>
      </c>
      <c r="R16" s="525"/>
      <c r="S16" s="525"/>
    </row>
    <row r="17" spans="3:19" ht="15" customHeight="1" x14ac:dyDescent="0.3">
      <c r="C17" s="545" t="s">
        <v>4316</v>
      </c>
      <c r="D17" s="320" t="s">
        <v>35</v>
      </c>
      <c r="E17" s="544">
        <v>2.7</v>
      </c>
      <c r="F17" s="544">
        <v>118616.79</v>
      </c>
      <c r="G17" s="544">
        <v>118609.49</v>
      </c>
      <c r="H17" s="544">
        <v>10</v>
      </c>
      <c r="I17" s="316">
        <v>2.7</v>
      </c>
      <c r="J17" s="518">
        <v>118616.79</v>
      </c>
      <c r="K17" s="518">
        <v>118609.49</v>
      </c>
      <c r="L17" s="518">
        <v>10</v>
      </c>
      <c r="M17" s="317">
        <v>10</v>
      </c>
      <c r="N17" s="313">
        <f t="shared" si="0"/>
        <v>0</v>
      </c>
    </row>
    <row r="18" spans="3:19" ht="15" customHeight="1" x14ac:dyDescent="0.3">
      <c r="C18" s="545" t="s">
        <v>4317</v>
      </c>
      <c r="D18" s="320" t="s">
        <v>3364</v>
      </c>
      <c r="E18" s="544">
        <v>0</v>
      </c>
      <c r="F18" s="544">
        <v>725.2</v>
      </c>
      <c r="G18" s="544">
        <v>725.2</v>
      </c>
      <c r="H18" s="544">
        <v>0</v>
      </c>
      <c r="I18" s="316">
        <v>0</v>
      </c>
      <c r="J18" s="518">
        <v>725.2</v>
      </c>
      <c r="K18" s="518">
        <v>725.2</v>
      </c>
      <c r="L18" s="518">
        <v>0</v>
      </c>
      <c r="M18" s="317">
        <v>0</v>
      </c>
      <c r="N18" s="313">
        <f t="shared" si="0"/>
        <v>0</v>
      </c>
    </row>
    <row r="19" spans="3:19" ht="15" customHeight="1" x14ac:dyDescent="0.3">
      <c r="C19" s="545" t="s">
        <v>4318</v>
      </c>
      <c r="D19" s="320" t="s">
        <v>38</v>
      </c>
      <c r="E19" s="544">
        <v>0</v>
      </c>
      <c r="F19" s="544">
        <v>1098520.01</v>
      </c>
      <c r="G19" s="544">
        <v>1098520.01</v>
      </c>
      <c r="H19" s="544">
        <v>0</v>
      </c>
      <c r="I19" s="316">
        <v>0</v>
      </c>
      <c r="J19" s="518">
        <v>1098520.01</v>
      </c>
      <c r="K19" s="518">
        <v>1098520.01</v>
      </c>
      <c r="L19" s="518">
        <v>0</v>
      </c>
      <c r="M19" s="317">
        <v>0</v>
      </c>
      <c r="N19" s="313">
        <f t="shared" si="0"/>
        <v>0</v>
      </c>
      <c r="R19" s="538"/>
      <c r="S19" s="538"/>
    </row>
    <row r="20" spans="3:19" ht="15" customHeight="1" x14ac:dyDescent="0.3">
      <c r="C20" s="545" t="s">
        <v>4319</v>
      </c>
      <c r="D20" s="320" t="s">
        <v>3365</v>
      </c>
      <c r="E20" s="544">
        <v>0</v>
      </c>
      <c r="F20" s="544">
        <v>1582255.18</v>
      </c>
      <c r="G20" s="544">
        <v>1582255.18</v>
      </c>
      <c r="H20" s="544">
        <v>0</v>
      </c>
      <c r="I20" s="316">
        <v>0</v>
      </c>
      <c r="J20" s="518">
        <v>1582255.18</v>
      </c>
      <c r="K20" s="518">
        <v>1582255.18</v>
      </c>
      <c r="L20" s="518">
        <v>0</v>
      </c>
      <c r="M20" s="317">
        <v>0</v>
      </c>
      <c r="N20" s="313">
        <f t="shared" si="0"/>
        <v>0</v>
      </c>
    </row>
    <row r="21" spans="3:19" ht="15" customHeight="1" x14ac:dyDescent="0.3">
      <c r="C21" s="545" t="s">
        <v>4320</v>
      </c>
      <c r="D21" s="320" t="s">
        <v>42</v>
      </c>
      <c r="E21" s="544">
        <v>0</v>
      </c>
      <c r="F21" s="544">
        <v>1719812.23</v>
      </c>
      <c r="G21" s="544">
        <v>1719812.23</v>
      </c>
      <c r="H21" s="544">
        <v>0</v>
      </c>
      <c r="I21" s="316">
        <v>0</v>
      </c>
      <c r="J21" s="518">
        <v>1719812.23</v>
      </c>
      <c r="K21" s="518">
        <v>1719812.23</v>
      </c>
      <c r="L21" s="518">
        <v>0</v>
      </c>
      <c r="M21" s="317">
        <v>0</v>
      </c>
      <c r="N21" s="313">
        <f t="shared" si="0"/>
        <v>0</v>
      </c>
    </row>
    <row r="22" spans="3:19" ht="15" customHeight="1" x14ac:dyDescent="0.3">
      <c r="C22" s="545" t="s">
        <v>4321</v>
      </c>
      <c r="D22" s="320" t="s">
        <v>46</v>
      </c>
      <c r="E22" s="544">
        <v>20844</v>
      </c>
      <c r="F22" s="544">
        <v>1170.95</v>
      </c>
      <c r="G22" s="544">
        <v>22014.95</v>
      </c>
      <c r="H22" s="544">
        <v>0</v>
      </c>
      <c r="I22" s="316">
        <v>20844</v>
      </c>
      <c r="J22" s="518">
        <v>1170.95</v>
      </c>
      <c r="K22" s="518">
        <v>22014.95</v>
      </c>
      <c r="L22" s="518">
        <v>0</v>
      </c>
      <c r="M22" s="317">
        <v>0</v>
      </c>
      <c r="N22" s="313">
        <f t="shared" si="0"/>
        <v>0</v>
      </c>
    </row>
    <row r="23" spans="3:19" ht="15" customHeight="1" x14ac:dyDescent="0.3">
      <c r="C23" s="545" t="s">
        <v>4322</v>
      </c>
      <c r="D23" s="320" t="s">
        <v>3366</v>
      </c>
      <c r="E23" s="544">
        <v>0</v>
      </c>
      <c r="F23" s="544">
        <v>2014.37</v>
      </c>
      <c r="G23" s="544">
        <v>2014.37</v>
      </c>
      <c r="H23" s="544">
        <v>0</v>
      </c>
      <c r="I23" s="316">
        <v>0</v>
      </c>
      <c r="J23" s="518">
        <v>2014.37</v>
      </c>
      <c r="K23" s="518">
        <v>2014.37</v>
      </c>
      <c r="L23" s="518">
        <v>0</v>
      </c>
      <c r="M23" s="317">
        <v>0</v>
      </c>
      <c r="N23" s="313">
        <f t="shared" si="0"/>
        <v>0</v>
      </c>
    </row>
    <row r="24" spans="3:19" ht="15" customHeight="1" x14ac:dyDescent="0.3">
      <c r="C24" s="545" t="s">
        <v>4323</v>
      </c>
      <c r="D24" s="320" t="s">
        <v>53</v>
      </c>
      <c r="E24" s="544">
        <v>0</v>
      </c>
      <c r="F24" s="544">
        <v>33907.15</v>
      </c>
      <c r="G24" s="544">
        <v>33907.15</v>
      </c>
      <c r="H24" s="544">
        <v>0</v>
      </c>
      <c r="I24" s="316">
        <v>0</v>
      </c>
      <c r="J24" s="518">
        <v>33907.15</v>
      </c>
      <c r="K24" s="518">
        <v>33907.15</v>
      </c>
      <c r="L24" s="518">
        <v>0</v>
      </c>
      <c r="M24" s="317">
        <v>0</v>
      </c>
      <c r="N24" s="313">
        <f t="shared" si="0"/>
        <v>0</v>
      </c>
    </row>
    <row r="25" spans="3:19" ht="15" customHeight="1" x14ac:dyDescent="0.3">
      <c r="C25" s="545" t="s">
        <v>4324</v>
      </c>
      <c r="D25" s="320" t="s">
        <v>3367</v>
      </c>
      <c r="E25" s="544">
        <v>218884.75</v>
      </c>
      <c r="F25" s="544">
        <v>8595874.4199999999</v>
      </c>
      <c r="G25" s="544">
        <v>8297739.9900000002</v>
      </c>
      <c r="H25" s="544">
        <v>517019.18</v>
      </c>
      <c r="I25" s="316">
        <v>218884.75</v>
      </c>
      <c r="J25" s="518">
        <v>8595874.4199999999</v>
      </c>
      <c r="K25" s="518">
        <v>8297739.9900000002</v>
      </c>
      <c r="L25" s="518">
        <v>517019.18</v>
      </c>
      <c r="M25" s="317">
        <v>517019.18</v>
      </c>
      <c r="N25" s="313">
        <f t="shared" si="0"/>
        <v>0</v>
      </c>
    </row>
    <row r="26" spans="3:19" ht="15" customHeight="1" x14ac:dyDescent="0.3">
      <c r="C26" s="545" t="s">
        <v>4325</v>
      </c>
      <c r="D26" s="320" t="s">
        <v>3368</v>
      </c>
      <c r="E26" s="544">
        <v>256777.19</v>
      </c>
      <c r="F26" s="544">
        <v>31530729.059999999</v>
      </c>
      <c r="G26" s="544">
        <v>30032442.109999999</v>
      </c>
      <c r="H26" s="544">
        <v>1755064.14</v>
      </c>
      <c r="I26" s="316">
        <v>256777.19</v>
      </c>
      <c r="J26" s="518">
        <v>31530729.059999999</v>
      </c>
      <c r="K26" s="518">
        <v>30032442.109999999</v>
      </c>
      <c r="L26" s="518">
        <v>1755064.14</v>
      </c>
      <c r="M26" s="317">
        <v>1755064.14</v>
      </c>
      <c r="N26" s="313">
        <f t="shared" si="0"/>
        <v>0</v>
      </c>
    </row>
    <row r="27" spans="3:19" ht="15" customHeight="1" x14ac:dyDescent="0.3">
      <c r="C27" s="543" t="s">
        <v>4326</v>
      </c>
      <c r="D27" s="319" t="s">
        <v>3369</v>
      </c>
      <c r="E27" s="544">
        <v>5473.17</v>
      </c>
      <c r="F27" s="544">
        <v>1624.43</v>
      </c>
      <c r="G27" s="544">
        <v>876.57</v>
      </c>
      <c r="H27" s="544">
        <v>6221.03</v>
      </c>
      <c r="I27" s="312">
        <v>5473.17</v>
      </c>
      <c r="J27" s="517">
        <v>1624.43</v>
      </c>
      <c r="K27" s="517">
        <v>876.57</v>
      </c>
      <c r="L27" s="517">
        <v>6221.03</v>
      </c>
      <c r="M27" s="313">
        <v>6221.03</v>
      </c>
      <c r="N27" s="313">
        <f t="shared" si="0"/>
        <v>0</v>
      </c>
    </row>
    <row r="28" spans="3:19" ht="15" customHeight="1" x14ac:dyDescent="0.3">
      <c r="C28" s="545" t="s">
        <v>4327</v>
      </c>
      <c r="D28" s="320" t="s">
        <v>59</v>
      </c>
      <c r="E28" s="544">
        <v>0</v>
      </c>
      <c r="F28" s="544">
        <v>311.42</v>
      </c>
      <c r="G28" s="544">
        <v>216.05</v>
      </c>
      <c r="H28" s="544">
        <v>95.37</v>
      </c>
      <c r="I28" s="316">
        <v>0</v>
      </c>
      <c r="J28" s="518">
        <v>311.42</v>
      </c>
      <c r="K28" s="518">
        <v>216.05</v>
      </c>
      <c r="L28" s="518">
        <v>95.37</v>
      </c>
      <c r="M28" s="317">
        <v>95.37</v>
      </c>
      <c r="N28" s="313">
        <f t="shared" si="0"/>
        <v>0</v>
      </c>
    </row>
    <row r="29" spans="3:19" ht="15" customHeight="1" x14ac:dyDescent="0.3">
      <c r="C29" s="545" t="s">
        <v>4328</v>
      </c>
      <c r="D29" s="320" t="s">
        <v>3370</v>
      </c>
      <c r="E29" s="544">
        <v>0</v>
      </c>
      <c r="F29" s="544">
        <v>740.71</v>
      </c>
      <c r="G29" s="544">
        <v>0</v>
      </c>
      <c r="H29" s="544">
        <v>740.71</v>
      </c>
      <c r="I29" s="316">
        <v>0</v>
      </c>
      <c r="J29" s="518">
        <v>740.71</v>
      </c>
      <c r="K29" s="518">
        <v>0</v>
      </c>
      <c r="L29" s="518">
        <v>740.71</v>
      </c>
      <c r="M29" s="317">
        <v>740.71</v>
      </c>
      <c r="N29" s="313">
        <f t="shared" si="0"/>
        <v>0</v>
      </c>
    </row>
    <row r="30" spans="3:19" ht="15" customHeight="1" x14ac:dyDescent="0.3">
      <c r="C30" s="545" t="s">
        <v>4329</v>
      </c>
      <c r="D30" s="320" t="s">
        <v>63</v>
      </c>
      <c r="E30" s="544">
        <v>5387.47</v>
      </c>
      <c r="F30" s="544">
        <v>569.07000000000005</v>
      </c>
      <c r="G30" s="544">
        <v>571.59</v>
      </c>
      <c r="H30" s="544">
        <v>5384.95</v>
      </c>
      <c r="I30" s="316">
        <v>5387.47</v>
      </c>
      <c r="J30" s="518">
        <v>569.07000000000005</v>
      </c>
      <c r="K30" s="518">
        <v>571.59</v>
      </c>
      <c r="L30" s="518">
        <v>5384.95</v>
      </c>
      <c r="M30" s="317">
        <v>5384.95</v>
      </c>
      <c r="N30" s="313">
        <f t="shared" si="0"/>
        <v>0</v>
      </c>
    </row>
    <row r="31" spans="3:19" ht="15" customHeight="1" x14ac:dyDescent="0.3">
      <c r="C31" s="545" t="s">
        <v>4330</v>
      </c>
      <c r="D31" s="320" t="s">
        <v>67</v>
      </c>
      <c r="E31" s="544">
        <v>85.7</v>
      </c>
      <c r="F31" s="544">
        <v>3.23</v>
      </c>
      <c r="G31" s="544">
        <v>88.93</v>
      </c>
      <c r="H31" s="544">
        <v>0</v>
      </c>
      <c r="I31" s="316">
        <v>85.7</v>
      </c>
      <c r="J31" s="518">
        <v>3.23</v>
      </c>
      <c r="K31" s="518">
        <v>88.93</v>
      </c>
      <c r="L31" s="518">
        <v>0</v>
      </c>
      <c r="M31" s="317">
        <v>0</v>
      </c>
      <c r="N31" s="313">
        <f t="shared" si="0"/>
        <v>0</v>
      </c>
    </row>
    <row r="32" spans="3:19" ht="15" customHeight="1" x14ac:dyDescent="0.3">
      <c r="C32" s="543" t="s">
        <v>4331</v>
      </c>
      <c r="D32" s="319" t="s">
        <v>74</v>
      </c>
      <c r="E32" s="544">
        <v>2345993.84</v>
      </c>
      <c r="F32" s="544">
        <v>127510.49</v>
      </c>
      <c r="G32" s="544">
        <v>1642551.33</v>
      </c>
      <c r="H32" s="544">
        <v>830953</v>
      </c>
      <c r="I32" s="312">
        <v>2345993.84</v>
      </c>
      <c r="J32" s="517">
        <v>127510.49</v>
      </c>
      <c r="K32" s="517">
        <v>1642551.33</v>
      </c>
      <c r="L32" s="517">
        <v>830953</v>
      </c>
      <c r="M32" s="313">
        <v>830953</v>
      </c>
      <c r="N32" s="313">
        <f t="shared" si="0"/>
        <v>0</v>
      </c>
    </row>
    <row r="33" spans="2:16" ht="15" customHeight="1" x14ac:dyDescent="0.3">
      <c r="C33" s="545" t="s">
        <v>4332</v>
      </c>
      <c r="D33" s="320" t="s">
        <v>78</v>
      </c>
      <c r="E33" s="544">
        <v>2345993.84</v>
      </c>
      <c r="F33" s="544">
        <v>127510.49</v>
      </c>
      <c r="G33" s="544">
        <v>1642551.33</v>
      </c>
      <c r="H33" s="544">
        <v>830953</v>
      </c>
      <c r="I33" s="316">
        <v>2345993.84</v>
      </c>
      <c r="J33" s="518">
        <v>127510.49</v>
      </c>
      <c r="K33" s="518">
        <v>1642551.33</v>
      </c>
      <c r="L33" s="518">
        <v>830953</v>
      </c>
      <c r="M33" s="317">
        <v>830953</v>
      </c>
      <c r="N33" s="313">
        <f t="shared" si="0"/>
        <v>0</v>
      </c>
    </row>
    <row r="34" spans="2:16" ht="15" customHeight="1" x14ac:dyDescent="0.35">
      <c r="C34" s="543" t="s">
        <v>4333</v>
      </c>
      <c r="D34" s="319" t="s">
        <v>3371</v>
      </c>
      <c r="E34" s="544">
        <v>1889386.78</v>
      </c>
      <c r="F34" s="544">
        <v>5971348.3200000003</v>
      </c>
      <c r="G34" s="544">
        <v>7821448.7000000002</v>
      </c>
      <c r="H34" s="544">
        <v>39286.400000000001</v>
      </c>
      <c r="I34" s="312">
        <v>1889386.78</v>
      </c>
      <c r="J34" s="517">
        <v>5971348.3200000003</v>
      </c>
      <c r="K34" s="517">
        <v>7821448.7000000002</v>
      </c>
      <c r="L34" s="517">
        <v>39286.400000000001</v>
      </c>
      <c r="M34" s="313">
        <v>39286.400000000001</v>
      </c>
      <c r="N34" s="313">
        <f t="shared" si="0"/>
        <v>0</v>
      </c>
      <c r="O34" s="529" t="s">
        <v>3363</v>
      </c>
      <c r="P34" s="291">
        <v>5</v>
      </c>
    </row>
    <row r="35" spans="2:16" ht="15" customHeight="1" x14ac:dyDescent="0.3">
      <c r="C35" s="543" t="s">
        <v>4334</v>
      </c>
      <c r="D35" s="319" t="s">
        <v>84</v>
      </c>
      <c r="E35" s="544">
        <v>1613764.58</v>
      </c>
      <c r="F35" s="544">
        <v>5971348.3200000003</v>
      </c>
      <c r="G35" s="544">
        <v>7545826.5</v>
      </c>
      <c r="H35" s="544">
        <v>39286.400000000001</v>
      </c>
      <c r="I35" s="312">
        <v>1613764.58</v>
      </c>
      <c r="J35" s="517">
        <v>5971348.3200000003</v>
      </c>
      <c r="K35" s="517">
        <v>7545826.5</v>
      </c>
      <c r="L35" s="517">
        <v>39286.400000000001</v>
      </c>
      <c r="M35" s="313">
        <v>39286.400000000001</v>
      </c>
      <c r="N35" s="313">
        <f t="shared" si="0"/>
        <v>0</v>
      </c>
    </row>
    <row r="36" spans="2:16" ht="15" customHeight="1" x14ac:dyDescent="0.3">
      <c r="B36" s="525"/>
      <c r="C36" s="545" t="s">
        <v>4335</v>
      </c>
      <c r="D36" s="319" t="s">
        <v>3372</v>
      </c>
      <c r="E36" s="544">
        <v>0</v>
      </c>
      <c r="F36" s="544">
        <v>0</v>
      </c>
      <c r="G36" s="544">
        <v>362277.03</v>
      </c>
      <c r="H36" s="544">
        <v>-362277.03</v>
      </c>
      <c r="I36" s="312">
        <v>0</v>
      </c>
      <c r="J36" s="517">
        <v>0</v>
      </c>
      <c r="K36" s="517">
        <v>362277.03</v>
      </c>
      <c r="L36" s="517">
        <v>-362277.03</v>
      </c>
      <c r="M36" s="313">
        <v>-362277.03</v>
      </c>
      <c r="N36" s="313">
        <f t="shared" si="0"/>
        <v>0</v>
      </c>
    </row>
    <row r="37" spans="2:16" ht="15" customHeight="1" x14ac:dyDescent="0.3">
      <c r="C37" s="545" t="s">
        <v>4336</v>
      </c>
      <c r="D37" s="320" t="s">
        <v>3373</v>
      </c>
      <c r="E37" s="544">
        <v>0</v>
      </c>
      <c r="F37" s="544">
        <v>19380</v>
      </c>
      <c r="G37" s="544">
        <v>19380</v>
      </c>
      <c r="H37" s="544">
        <v>0</v>
      </c>
      <c r="I37" s="316">
        <v>0</v>
      </c>
      <c r="J37" s="518">
        <v>19380</v>
      </c>
      <c r="K37" s="518">
        <v>19380</v>
      </c>
      <c r="L37" s="518">
        <v>0</v>
      </c>
      <c r="M37" s="317">
        <v>0</v>
      </c>
      <c r="N37" s="313">
        <f t="shared" si="0"/>
        <v>0</v>
      </c>
    </row>
    <row r="38" spans="2:16" ht="15" customHeight="1" x14ac:dyDescent="0.3">
      <c r="C38" s="545" t="s">
        <v>4337</v>
      </c>
      <c r="D38" s="320" t="s">
        <v>3374</v>
      </c>
      <c r="E38" s="544">
        <v>0</v>
      </c>
      <c r="F38" s="544">
        <v>410900</v>
      </c>
      <c r="G38" s="544">
        <v>168000</v>
      </c>
      <c r="H38" s="544">
        <v>242900</v>
      </c>
      <c r="I38" s="316">
        <v>0</v>
      </c>
      <c r="J38" s="518">
        <v>410900</v>
      </c>
      <c r="K38" s="518">
        <v>168000</v>
      </c>
      <c r="L38" s="518">
        <v>242900</v>
      </c>
      <c r="M38" s="317">
        <v>242900</v>
      </c>
      <c r="N38" s="313">
        <f t="shared" si="0"/>
        <v>0</v>
      </c>
    </row>
    <row r="39" spans="2:16" ht="15" customHeight="1" x14ac:dyDescent="0.3">
      <c r="C39" s="545" t="s">
        <v>4338</v>
      </c>
      <c r="D39" s="320" t="s">
        <v>209</v>
      </c>
      <c r="E39" s="544">
        <v>0</v>
      </c>
      <c r="F39" s="544">
        <v>16193.65</v>
      </c>
      <c r="G39" s="544">
        <v>16193.65</v>
      </c>
      <c r="H39" s="544">
        <v>0</v>
      </c>
      <c r="I39" s="316">
        <v>0</v>
      </c>
      <c r="J39" s="518">
        <v>16193.65</v>
      </c>
      <c r="K39" s="518">
        <v>16193.65</v>
      </c>
      <c r="L39" s="518">
        <v>0</v>
      </c>
      <c r="M39" s="317">
        <v>0</v>
      </c>
      <c r="N39" s="313">
        <f t="shared" si="0"/>
        <v>0</v>
      </c>
    </row>
    <row r="40" spans="2:16" ht="15" customHeight="1" x14ac:dyDescent="0.3">
      <c r="C40" s="545" t="s">
        <v>4339</v>
      </c>
      <c r="D40" s="320" t="s">
        <v>211</v>
      </c>
      <c r="E40" s="544">
        <v>20584.03</v>
      </c>
      <c r="F40" s="544">
        <v>0</v>
      </c>
      <c r="G40" s="544">
        <v>0</v>
      </c>
      <c r="H40" s="544">
        <v>20584.03</v>
      </c>
      <c r="I40" s="316">
        <v>20584.03</v>
      </c>
      <c r="J40" s="518">
        <v>0</v>
      </c>
      <c r="K40" s="518">
        <v>0</v>
      </c>
      <c r="L40" s="518">
        <v>20584.03</v>
      </c>
      <c r="M40" s="317">
        <v>20584.03</v>
      </c>
      <c r="N40" s="313">
        <f t="shared" si="0"/>
        <v>0</v>
      </c>
    </row>
    <row r="41" spans="2:16" ht="15" customHeight="1" x14ac:dyDescent="0.3">
      <c r="C41" s="545" t="s">
        <v>4340</v>
      </c>
      <c r="D41" s="320" t="s">
        <v>217</v>
      </c>
      <c r="E41" s="544">
        <v>0</v>
      </c>
      <c r="F41" s="544">
        <v>23520</v>
      </c>
      <c r="G41" s="544">
        <v>23520</v>
      </c>
      <c r="H41" s="544">
        <v>0</v>
      </c>
      <c r="I41" s="316">
        <v>0</v>
      </c>
      <c r="J41" s="518">
        <v>23520</v>
      </c>
      <c r="K41" s="518">
        <v>23520</v>
      </c>
      <c r="L41" s="518">
        <v>0</v>
      </c>
      <c r="M41" s="317">
        <v>0</v>
      </c>
      <c r="N41" s="313">
        <f t="shared" si="0"/>
        <v>0</v>
      </c>
    </row>
    <row r="42" spans="2:16" ht="15" customHeight="1" x14ac:dyDescent="0.3">
      <c r="C42" s="545" t="s">
        <v>4341</v>
      </c>
      <c r="D42" s="320" t="s">
        <v>222</v>
      </c>
      <c r="E42" s="544">
        <v>0</v>
      </c>
      <c r="F42" s="544">
        <v>3816</v>
      </c>
      <c r="G42" s="544">
        <v>3816</v>
      </c>
      <c r="H42" s="544">
        <v>0</v>
      </c>
      <c r="I42" s="316">
        <v>0</v>
      </c>
      <c r="J42" s="518">
        <v>3816</v>
      </c>
      <c r="K42" s="518">
        <v>3816</v>
      </c>
      <c r="L42" s="518">
        <v>0</v>
      </c>
      <c r="M42" s="317">
        <v>0</v>
      </c>
      <c r="N42" s="313">
        <f t="shared" si="0"/>
        <v>0</v>
      </c>
    </row>
    <row r="43" spans="2:16" ht="15" customHeight="1" x14ac:dyDescent="0.3">
      <c r="C43" s="545" t="s">
        <v>4342</v>
      </c>
      <c r="D43" s="320" t="s">
        <v>224</v>
      </c>
      <c r="E43" s="544">
        <v>0</v>
      </c>
      <c r="F43" s="544">
        <v>21000</v>
      </c>
      <c r="G43" s="544">
        <v>21000</v>
      </c>
      <c r="H43" s="544">
        <v>0</v>
      </c>
      <c r="I43" s="316">
        <v>0</v>
      </c>
      <c r="J43" s="518">
        <v>21000</v>
      </c>
      <c r="K43" s="518">
        <v>21000</v>
      </c>
      <c r="L43" s="518">
        <v>0</v>
      </c>
      <c r="M43" s="317">
        <v>0</v>
      </c>
      <c r="N43" s="313">
        <f t="shared" si="0"/>
        <v>0</v>
      </c>
    </row>
    <row r="44" spans="2:16" ht="15" customHeight="1" x14ac:dyDescent="0.3">
      <c r="C44" s="545" t="s">
        <v>4343</v>
      </c>
      <c r="D44" s="320" t="s">
        <v>245</v>
      </c>
      <c r="E44" s="544">
        <v>0</v>
      </c>
      <c r="F44" s="544">
        <v>33600</v>
      </c>
      <c r="G44" s="544">
        <v>33600</v>
      </c>
      <c r="H44" s="544">
        <v>0</v>
      </c>
      <c r="I44" s="316">
        <v>0</v>
      </c>
      <c r="J44" s="518">
        <v>33600</v>
      </c>
      <c r="K44" s="518">
        <v>33600</v>
      </c>
      <c r="L44" s="518">
        <v>0</v>
      </c>
      <c r="M44" s="317">
        <v>0</v>
      </c>
      <c r="N44" s="313">
        <f t="shared" si="0"/>
        <v>0</v>
      </c>
    </row>
    <row r="45" spans="2:16" ht="15" customHeight="1" x14ac:dyDescent="0.3">
      <c r="C45" s="545" t="s">
        <v>4344</v>
      </c>
      <c r="D45" s="320" t="s">
        <v>247</v>
      </c>
      <c r="E45" s="544">
        <v>0</v>
      </c>
      <c r="F45" s="544">
        <v>21300</v>
      </c>
      <c r="G45" s="544">
        <v>21300</v>
      </c>
      <c r="H45" s="544">
        <v>0</v>
      </c>
      <c r="I45" s="316">
        <v>0</v>
      </c>
      <c r="J45" s="518">
        <v>21300</v>
      </c>
      <c r="K45" s="518">
        <v>21300</v>
      </c>
      <c r="L45" s="518">
        <v>0</v>
      </c>
      <c r="M45" s="317">
        <v>0</v>
      </c>
      <c r="N45" s="313">
        <f t="shared" si="0"/>
        <v>0</v>
      </c>
    </row>
    <row r="46" spans="2:16" ht="15" customHeight="1" x14ac:dyDescent="0.3">
      <c r="C46" s="545" t="s">
        <v>4345</v>
      </c>
      <c r="D46" s="320" t="s">
        <v>249</v>
      </c>
      <c r="E46" s="544">
        <v>0</v>
      </c>
      <c r="F46" s="544">
        <v>7593</v>
      </c>
      <c r="G46" s="544">
        <v>7593</v>
      </c>
      <c r="H46" s="544">
        <v>0</v>
      </c>
      <c r="I46" s="316">
        <v>0</v>
      </c>
      <c r="J46" s="518">
        <v>7593</v>
      </c>
      <c r="K46" s="518">
        <v>7593</v>
      </c>
      <c r="L46" s="518">
        <v>0</v>
      </c>
      <c r="M46" s="317">
        <v>0</v>
      </c>
      <c r="N46" s="313">
        <f t="shared" si="0"/>
        <v>0</v>
      </c>
    </row>
    <row r="47" spans="2:16" ht="15" customHeight="1" x14ac:dyDescent="0.3">
      <c r="C47" s="545" t="s">
        <v>4346</v>
      </c>
      <c r="D47" s="320" t="s">
        <v>254</v>
      </c>
      <c r="E47" s="544">
        <v>0</v>
      </c>
      <c r="F47" s="544">
        <v>41370</v>
      </c>
      <c r="G47" s="544">
        <v>41370</v>
      </c>
      <c r="H47" s="544">
        <v>0</v>
      </c>
      <c r="I47" s="316">
        <v>0</v>
      </c>
      <c r="J47" s="518">
        <v>41370</v>
      </c>
      <c r="K47" s="518">
        <v>41370</v>
      </c>
      <c r="L47" s="518">
        <v>0</v>
      </c>
      <c r="M47" s="317">
        <v>0</v>
      </c>
      <c r="N47" s="313">
        <f t="shared" si="0"/>
        <v>0</v>
      </c>
    </row>
    <row r="48" spans="2:16" ht="15" customHeight="1" x14ac:dyDescent="0.3">
      <c r="C48" s="545" t="s">
        <v>4347</v>
      </c>
      <c r="D48" s="320" t="s">
        <v>259</v>
      </c>
      <c r="E48" s="544">
        <v>825</v>
      </c>
      <c r="F48" s="544">
        <v>36034.5</v>
      </c>
      <c r="G48" s="544">
        <v>36859.5</v>
      </c>
      <c r="H48" s="544">
        <v>0</v>
      </c>
      <c r="I48" s="316">
        <v>825</v>
      </c>
      <c r="J48" s="518">
        <v>36034.5</v>
      </c>
      <c r="K48" s="518">
        <v>36859.5</v>
      </c>
      <c r="L48" s="518">
        <v>0</v>
      </c>
      <c r="M48" s="317">
        <v>0</v>
      </c>
      <c r="N48" s="313">
        <f t="shared" si="0"/>
        <v>0</v>
      </c>
    </row>
    <row r="49" spans="3:14" ht="15" customHeight="1" x14ac:dyDescent="0.3">
      <c r="C49" s="545" t="s">
        <v>4348</v>
      </c>
      <c r="D49" s="320" t="s">
        <v>261</v>
      </c>
      <c r="E49" s="544">
        <v>0</v>
      </c>
      <c r="F49" s="544">
        <v>28800</v>
      </c>
      <c r="G49" s="544">
        <v>28800</v>
      </c>
      <c r="H49" s="544">
        <v>0</v>
      </c>
      <c r="I49" s="316">
        <v>0</v>
      </c>
      <c r="J49" s="518">
        <v>28800</v>
      </c>
      <c r="K49" s="518">
        <v>28800</v>
      </c>
      <c r="L49" s="518">
        <v>0</v>
      </c>
      <c r="M49" s="317">
        <v>0</v>
      </c>
      <c r="N49" s="313">
        <f t="shared" si="0"/>
        <v>0</v>
      </c>
    </row>
    <row r="50" spans="3:14" ht="15" customHeight="1" x14ac:dyDescent="0.3">
      <c r="C50" s="545" t="s">
        <v>4349</v>
      </c>
      <c r="D50" s="320" t="s">
        <v>263</v>
      </c>
      <c r="E50" s="544">
        <v>2100</v>
      </c>
      <c r="F50" s="544">
        <v>5250</v>
      </c>
      <c r="G50" s="544">
        <v>7350</v>
      </c>
      <c r="H50" s="544">
        <v>0</v>
      </c>
      <c r="I50" s="316">
        <v>2100</v>
      </c>
      <c r="J50" s="518">
        <v>5250</v>
      </c>
      <c r="K50" s="518">
        <v>7350</v>
      </c>
      <c r="L50" s="518">
        <v>0</v>
      </c>
      <c r="M50" s="317">
        <v>0</v>
      </c>
      <c r="N50" s="313">
        <f t="shared" si="0"/>
        <v>0</v>
      </c>
    </row>
    <row r="51" spans="3:14" ht="15" customHeight="1" x14ac:dyDescent="0.3">
      <c r="C51" s="545" t="s">
        <v>4350</v>
      </c>
      <c r="D51" s="320" t="s">
        <v>265</v>
      </c>
      <c r="E51" s="544">
        <v>0</v>
      </c>
      <c r="F51" s="544">
        <v>6510</v>
      </c>
      <c r="G51" s="544">
        <v>6510</v>
      </c>
      <c r="H51" s="544">
        <v>0</v>
      </c>
      <c r="I51" s="316">
        <v>0</v>
      </c>
      <c r="J51" s="518">
        <v>6510</v>
      </c>
      <c r="K51" s="518">
        <v>6510</v>
      </c>
      <c r="L51" s="518">
        <v>0</v>
      </c>
      <c r="M51" s="317">
        <v>0</v>
      </c>
      <c r="N51" s="313">
        <f t="shared" si="0"/>
        <v>0</v>
      </c>
    </row>
    <row r="52" spans="3:14" ht="15" customHeight="1" x14ac:dyDescent="0.3">
      <c r="C52" s="545" t="s">
        <v>4351</v>
      </c>
      <c r="D52" s="320" t="s">
        <v>267</v>
      </c>
      <c r="E52" s="544">
        <v>0</v>
      </c>
      <c r="F52" s="544">
        <v>254006.2</v>
      </c>
      <c r="G52" s="544">
        <v>254006.2</v>
      </c>
      <c r="H52" s="544">
        <v>0</v>
      </c>
      <c r="I52" s="316">
        <v>0</v>
      </c>
      <c r="J52" s="518">
        <v>254006.2</v>
      </c>
      <c r="K52" s="518">
        <v>254006.2</v>
      </c>
      <c r="L52" s="518">
        <v>0</v>
      </c>
      <c r="M52" s="317">
        <v>0</v>
      </c>
      <c r="N52" s="313">
        <f t="shared" si="0"/>
        <v>0</v>
      </c>
    </row>
    <row r="53" spans="3:14" ht="15" customHeight="1" x14ac:dyDescent="0.3">
      <c r="C53" s="545" t="s">
        <v>4352</v>
      </c>
      <c r="D53" s="320" t="s">
        <v>3375</v>
      </c>
      <c r="E53" s="544">
        <v>0</v>
      </c>
      <c r="F53" s="544">
        <v>5130</v>
      </c>
      <c r="G53" s="544">
        <v>5130</v>
      </c>
      <c r="H53" s="544">
        <v>0</v>
      </c>
      <c r="I53" s="316">
        <v>0</v>
      </c>
      <c r="J53" s="518">
        <v>5130</v>
      </c>
      <c r="K53" s="518">
        <v>5130</v>
      </c>
      <c r="L53" s="518">
        <v>0</v>
      </c>
      <c r="M53" s="317">
        <v>0</v>
      </c>
      <c r="N53" s="313">
        <f t="shared" si="0"/>
        <v>0</v>
      </c>
    </row>
    <row r="54" spans="3:14" ht="15" customHeight="1" x14ac:dyDescent="0.3">
      <c r="C54" s="545" t="s">
        <v>4353</v>
      </c>
      <c r="D54" s="320" t="s">
        <v>271</v>
      </c>
      <c r="E54" s="544">
        <v>315</v>
      </c>
      <c r="F54" s="544">
        <v>2415</v>
      </c>
      <c r="G54" s="544">
        <v>2730</v>
      </c>
      <c r="H54" s="544">
        <v>0</v>
      </c>
      <c r="I54" s="316">
        <v>315</v>
      </c>
      <c r="J54" s="518">
        <v>2415</v>
      </c>
      <c r="K54" s="518">
        <v>2730</v>
      </c>
      <c r="L54" s="518">
        <v>0</v>
      </c>
      <c r="M54" s="317">
        <v>0</v>
      </c>
      <c r="N54" s="313">
        <f t="shared" si="0"/>
        <v>0</v>
      </c>
    </row>
    <row r="55" spans="3:14" ht="15" customHeight="1" x14ac:dyDescent="0.3">
      <c r="C55" s="545" t="s">
        <v>4354</v>
      </c>
      <c r="D55" s="320" t="s">
        <v>273</v>
      </c>
      <c r="E55" s="544">
        <v>0</v>
      </c>
      <c r="F55" s="544">
        <v>4515</v>
      </c>
      <c r="G55" s="544">
        <v>4515</v>
      </c>
      <c r="H55" s="544">
        <v>0</v>
      </c>
      <c r="I55" s="316">
        <v>0</v>
      </c>
      <c r="J55" s="518">
        <v>4515</v>
      </c>
      <c r="K55" s="518">
        <v>4515</v>
      </c>
      <c r="L55" s="518">
        <v>0</v>
      </c>
      <c r="M55" s="317">
        <v>0</v>
      </c>
      <c r="N55" s="313">
        <f t="shared" si="0"/>
        <v>0</v>
      </c>
    </row>
    <row r="56" spans="3:14" ht="15" customHeight="1" x14ac:dyDescent="0.3">
      <c r="C56" s="545" t="s">
        <v>4355</v>
      </c>
      <c r="D56" s="320" t="s">
        <v>277</v>
      </c>
      <c r="E56" s="544">
        <v>2295</v>
      </c>
      <c r="F56" s="544">
        <v>16200</v>
      </c>
      <c r="G56" s="544">
        <v>18495</v>
      </c>
      <c r="H56" s="544">
        <v>0</v>
      </c>
      <c r="I56" s="316">
        <v>2295</v>
      </c>
      <c r="J56" s="518">
        <v>16200</v>
      </c>
      <c r="K56" s="518">
        <v>18495</v>
      </c>
      <c r="L56" s="518">
        <v>0</v>
      </c>
      <c r="M56" s="317">
        <v>0</v>
      </c>
      <c r="N56" s="313">
        <f t="shared" si="0"/>
        <v>0</v>
      </c>
    </row>
    <row r="57" spans="3:14" ht="15" customHeight="1" x14ac:dyDescent="0.3">
      <c r="C57" s="545" t="s">
        <v>4356</v>
      </c>
      <c r="D57" s="320" t="s">
        <v>287</v>
      </c>
      <c r="E57" s="544">
        <v>4750</v>
      </c>
      <c r="F57" s="544">
        <v>0</v>
      </c>
      <c r="G57" s="544">
        <v>0</v>
      </c>
      <c r="H57" s="544">
        <v>4750</v>
      </c>
      <c r="I57" s="316">
        <v>4750</v>
      </c>
      <c r="J57" s="518">
        <v>0</v>
      </c>
      <c r="K57" s="518">
        <v>0</v>
      </c>
      <c r="L57" s="518">
        <v>4750</v>
      </c>
      <c r="M57" s="317">
        <v>4750</v>
      </c>
      <c r="N57" s="313">
        <f t="shared" si="0"/>
        <v>0</v>
      </c>
    </row>
    <row r="58" spans="3:14" ht="15" customHeight="1" x14ac:dyDescent="0.3">
      <c r="C58" s="545" t="s">
        <v>4357</v>
      </c>
      <c r="D58" s="320" t="s">
        <v>294</v>
      </c>
      <c r="E58" s="544">
        <v>2100</v>
      </c>
      <c r="F58" s="544">
        <v>10140</v>
      </c>
      <c r="G58" s="544">
        <v>12240</v>
      </c>
      <c r="H58" s="544">
        <v>0</v>
      </c>
      <c r="I58" s="316">
        <v>2100</v>
      </c>
      <c r="J58" s="518">
        <v>10140</v>
      </c>
      <c r="K58" s="518">
        <v>12240</v>
      </c>
      <c r="L58" s="518">
        <v>0</v>
      </c>
      <c r="M58" s="317">
        <v>0</v>
      </c>
      <c r="N58" s="313">
        <f t="shared" si="0"/>
        <v>0</v>
      </c>
    </row>
    <row r="59" spans="3:14" ht="15" customHeight="1" x14ac:dyDescent="0.3">
      <c r="C59" s="545" t="s">
        <v>4358</v>
      </c>
      <c r="D59" s="320" t="s">
        <v>3376</v>
      </c>
      <c r="E59" s="544">
        <v>0</v>
      </c>
      <c r="F59" s="544">
        <v>39753</v>
      </c>
      <c r="G59" s="544">
        <v>39753</v>
      </c>
      <c r="H59" s="544">
        <v>0</v>
      </c>
      <c r="I59" s="316">
        <v>0</v>
      </c>
      <c r="J59" s="518">
        <v>39753</v>
      </c>
      <c r="K59" s="518">
        <v>39753</v>
      </c>
      <c r="L59" s="518">
        <v>0</v>
      </c>
      <c r="M59" s="317">
        <v>0</v>
      </c>
      <c r="N59" s="313">
        <f t="shared" si="0"/>
        <v>0</v>
      </c>
    </row>
    <row r="60" spans="3:14" ht="15" customHeight="1" x14ac:dyDescent="0.3">
      <c r="C60" s="545" t="s">
        <v>4359</v>
      </c>
      <c r="D60" s="320" t="s">
        <v>298</v>
      </c>
      <c r="E60" s="544">
        <v>11184</v>
      </c>
      <c r="F60" s="544">
        <v>19089</v>
      </c>
      <c r="G60" s="544">
        <v>30273</v>
      </c>
      <c r="H60" s="544">
        <v>0</v>
      </c>
      <c r="I60" s="316">
        <v>11184</v>
      </c>
      <c r="J60" s="518">
        <v>19089</v>
      </c>
      <c r="K60" s="518">
        <v>30273</v>
      </c>
      <c r="L60" s="518">
        <v>0</v>
      </c>
      <c r="M60" s="317">
        <v>0</v>
      </c>
      <c r="N60" s="313">
        <f t="shared" si="0"/>
        <v>0</v>
      </c>
    </row>
    <row r="61" spans="3:14" ht="15" customHeight="1" x14ac:dyDescent="0.3">
      <c r="C61" s="545" t="s">
        <v>4360</v>
      </c>
      <c r="D61" s="320" t="s">
        <v>301</v>
      </c>
      <c r="E61" s="544">
        <v>10163</v>
      </c>
      <c r="F61" s="544">
        <v>0</v>
      </c>
      <c r="G61" s="544">
        <v>0</v>
      </c>
      <c r="H61" s="544">
        <v>10163</v>
      </c>
      <c r="I61" s="316">
        <v>10163</v>
      </c>
      <c r="J61" s="518">
        <v>0</v>
      </c>
      <c r="K61" s="518">
        <v>0</v>
      </c>
      <c r="L61" s="518">
        <v>10163</v>
      </c>
      <c r="M61" s="317">
        <v>10163</v>
      </c>
      <c r="N61" s="313">
        <f t="shared" si="0"/>
        <v>0</v>
      </c>
    </row>
    <row r="62" spans="3:14" ht="15" customHeight="1" x14ac:dyDescent="0.3">
      <c r="C62" s="545" t="s">
        <v>4361</v>
      </c>
      <c r="D62" s="320" t="s">
        <v>304</v>
      </c>
      <c r="E62" s="544">
        <v>0</v>
      </c>
      <c r="F62" s="544">
        <v>20825</v>
      </c>
      <c r="G62" s="544">
        <v>20825</v>
      </c>
      <c r="H62" s="544">
        <v>0</v>
      </c>
      <c r="I62" s="316">
        <v>0</v>
      </c>
      <c r="J62" s="518">
        <v>20825</v>
      </c>
      <c r="K62" s="518">
        <v>20825</v>
      </c>
      <c r="L62" s="518">
        <v>0</v>
      </c>
      <c r="M62" s="317">
        <v>0</v>
      </c>
      <c r="N62" s="313">
        <f t="shared" si="0"/>
        <v>0</v>
      </c>
    </row>
    <row r="63" spans="3:14" ht="15" customHeight="1" x14ac:dyDescent="0.3">
      <c r="C63" s="545" t="s">
        <v>4362</v>
      </c>
      <c r="D63" s="320" t="s">
        <v>306</v>
      </c>
      <c r="E63" s="544">
        <v>12400</v>
      </c>
      <c r="F63" s="544">
        <v>18600</v>
      </c>
      <c r="G63" s="544">
        <v>31000</v>
      </c>
      <c r="H63" s="544">
        <v>0</v>
      </c>
      <c r="I63" s="316">
        <v>12400</v>
      </c>
      <c r="J63" s="518">
        <v>18600</v>
      </c>
      <c r="K63" s="518">
        <v>31000</v>
      </c>
      <c r="L63" s="518">
        <v>0</v>
      </c>
      <c r="M63" s="317">
        <v>0</v>
      </c>
      <c r="N63" s="313">
        <f t="shared" si="0"/>
        <v>0</v>
      </c>
    </row>
    <row r="64" spans="3:14" ht="15" customHeight="1" x14ac:dyDescent="0.3">
      <c r="C64" s="545" t="s">
        <v>4363</v>
      </c>
      <c r="D64" s="320" t="s">
        <v>308</v>
      </c>
      <c r="E64" s="544">
        <v>0</v>
      </c>
      <c r="F64" s="544">
        <v>35400</v>
      </c>
      <c r="G64" s="544">
        <v>35400</v>
      </c>
      <c r="H64" s="544">
        <v>0</v>
      </c>
      <c r="I64" s="316">
        <v>0</v>
      </c>
      <c r="J64" s="518">
        <v>35400</v>
      </c>
      <c r="K64" s="518">
        <v>35400</v>
      </c>
      <c r="L64" s="518">
        <v>0</v>
      </c>
      <c r="M64" s="317">
        <v>0</v>
      </c>
      <c r="N64" s="313">
        <f t="shared" si="0"/>
        <v>0</v>
      </c>
    </row>
    <row r="65" spans="3:14" ht="15" customHeight="1" x14ac:dyDescent="0.3">
      <c r="C65" s="545" t="s">
        <v>4364</v>
      </c>
      <c r="D65" s="320" t="s">
        <v>310</v>
      </c>
      <c r="E65" s="544">
        <v>0</v>
      </c>
      <c r="F65" s="544">
        <v>43988.5</v>
      </c>
      <c r="G65" s="544">
        <v>27500</v>
      </c>
      <c r="H65" s="544">
        <v>16488.5</v>
      </c>
      <c r="I65" s="316">
        <v>0</v>
      </c>
      <c r="J65" s="518">
        <v>43988.5</v>
      </c>
      <c r="K65" s="518">
        <v>27500</v>
      </c>
      <c r="L65" s="518">
        <v>16488.5</v>
      </c>
      <c r="M65" s="317">
        <v>16488.5</v>
      </c>
      <c r="N65" s="313">
        <f t="shared" si="0"/>
        <v>0</v>
      </c>
    </row>
    <row r="66" spans="3:14" ht="15" customHeight="1" x14ac:dyDescent="0.3">
      <c r="C66" s="545" t="s">
        <v>4365</v>
      </c>
      <c r="D66" s="320" t="s">
        <v>313</v>
      </c>
      <c r="E66" s="544">
        <v>1350</v>
      </c>
      <c r="F66" s="544">
        <v>1350</v>
      </c>
      <c r="G66" s="544">
        <v>2700</v>
      </c>
      <c r="H66" s="544">
        <v>0</v>
      </c>
      <c r="I66" s="316">
        <v>1350</v>
      </c>
      <c r="J66" s="518">
        <v>1350</v>
      </c>
      <c r="K66" s="518">
        <v>2700</v>
      </c>
      <c r="L66" s="518">
        <v>0</v>
      </c>
      <c r="M66" s="317">
        <v>0</v>
      </c>
      <c r="N66" s="313">
        <f t="shared" si="0"/>
        <v>0</v>
      </c>
    </row>
    <row r="67" spans="3:14" ht="15" customHeight="1" x14ac:dyDescent="0.3">
      <c r="C67" s="545" t="s">
        <v>4366</v>
      </c>
      <c r="D67" s="320" t="s">
        <v>315</v>
      </c>
      <c r="E67" s="544">
        <v>0</v>
      </c>
      <c r="F67" s="544">
        <v>54000</v>
      </c>
      <c r="G67" s="544">
        <v>54000</v>
      </c>
      <c r="H67" s="544">
        <v>0</v>
      </c>
      <c r="I67" s="316">
        <v>0</v>
      </c>
      <c r="J67" s="518">
        <v>54000</v>
      </c>
      <c r="K67" s="518">
        <v>54000</v>
      </c>
      <c r="L67" s="518">
        <v>0</v>
      </c>
      <c r="M67" s="317">
        <v>0</v>
      </c>
      <c r="N67" s="313">
        <f t="shared" si="0"/>
        <v>0</v>
      </c>
    </row>
    <row r="68" spans="3:14" ht="15" customHeight="1" x14ac:dyDescent="0.3">
      <c r="C68" s="545" t="s">
        <v>4367</v>
      </c>
      <c r="D68" s="320" t="s">
        <v>317</v>
      </c>
      <c r="E68" s="544">
        <v>0</v>
      </c>
      <c r="F68" s="544">
        <v>31920</v>
      </c>
      <c r="G68" s="544">
        <v>12840</v>
      </c>
      <c r="H68" s="544">
        <v>19080</v>
      </c>
      <c r="I68" s="316">
        <v>0</v>
      </c>
      <c r="J68" s="518">
        <v>31920</v>
      </c>
      <c r="K68" s="518">
        <v>12840</v>
      </c>
      <c r="L68" s="518">
        <v>19080</v>
      </c>
      <c r="M68" s="317">
        <v>19080</v>
      </c>
      <c r="N68" s="313">
        <f t="shared" si="0"/>
        <v>0</v>
      </c>
    </row>
    <row r="69" spans="3:14" ht="15" customHeight="1" x14ac:dyDescent="0.3">
      <c r="C69" s="545" t="s">
        <v>4368</v>
      </c>
      <c r="D69" s="320" t="s">
        <v>323</v>
      </c>
      <c r="E69" s="544">
        <v>0</v>
      </c>
      <c r="F69" s="544">
        <v>11403</v>
      </c>
      <c r="G69" s="544">
        <v>11403</v>
      </c>
      <c r="H69" s="544">
        <v>0</v>
      </c>
      <c r="I69" s="316">
        <v>0</v>
      </c>
      <c r="J69" s="518">
        <v>11403</v>
      </c>
      <c r="K69" s="518">
        <v>11403</v>
      </c>
      <c r="L69" s="518">
        <v>0</v>
      </c>
      <c r="M69" s="317">
        <v>0</v>
      </c>
      <c r="N69" s="313">
        <f t="shared" si="0"/>
        <v>0</v>
      </c>
    </row>
    <row r="70" spans="3:14" ht="15" customHeight="1" x14ac:dyDescent="0.3">
      <c r="C70" s="545" t="s">
        <v>4369</v>
      </c>
      <c r="D70" s="320" t="s">
        <v>325</v>
      </c>
      <c r="E70" s="544">
        <v>0</v>
      </c>
      <c r="F70" s="544">
        <v>15750</v>
      </c>
      <c r="G70" s="544">
        <v>15750</v>
      </c>
      <c r="H70" s="544">
        <v>0</v>
      </c>
      <c r="I70" s="316">
        <v>0</v>
      </c>
      <c r="J70" s="518">
        <v>15750</v>
      </c>
      <c r="K70" s="518">
        <v>15750</v>
      </c>
      <c r="L70" s="518">
        <v>0</v>
      </c>
      <c r="M70" s="317">
        <v>0</v>
      </c>
      <c r="N70" s="313">
        <f t="shared" si="0"/>
        <v>0</v>
      </c>
    </row>
    <row r="71" spans="3:14" ht="15" customHeight="1" x14ac:dyDescent="0.3">
      <c r="C71" s="545" t="s">
        <v>4370</v>
      </c>
      <c r="D71" s="320" t="s">
        <v>327</v>
      </c>
      <c r="E71" s="544">
        <v>14750</v>
      </c>
      <c r="F71" s="544">
        <v>147500</v>
      </c>
      <c r="G71" s="544">
        <v>162250</v>
      </c>
      <c r="H71" s="544">
        <v>0</v>
      </c>
      <c r="I71" s="316">
        <v>14750</v>
      </c>
      <c r="J71" s="518">
        <v>147500</v>
      </c>
      <c r="K71" s="518">
        <v>162250</v>
      </c>
      <c r="L71" s="518">
        <v>0</v>
      </c>
      <c r="M71" s="317">
        <v>0</v>
      </c>
      <c r="N71" s="313">
        <f t="shared" si="0"/>
        <v>0</v>
      </c>
    </row>
    <row r="72" spans="3:14" ht="15" customHeight="1" x14ac:dyDescent="0.3">
      <c r="C72" s="545" t="s">
        <v>4371</v>
      </c>
      <c r="D72" s="320" t="s">
        <v>3377</v>
      </c>
      <c r="E72" s="544">
        <v>0</v>
      </c>
      <c r="F72" s="544">
        <v>1760000</v>
      </c>
      <c r="G72" s="544">
        <v>1760000</v>
      </c>
      <c r="H72" s="544">
        <v>0</v>
      </c>
      <c r="I72" s="316">
        <v>0</v>
      </c>
      <c r="J72" s="518">
        <v>1760000</v>
      </c>
      <c r="K72" s="518">
        <v>1760000</v>
      </c>
      <c r="L72" s="518">
        <v>0</v>
      </c>
      <c r="M72" s="317">
        <v>0</v>
      </c>
      <c r="N72" s="313">
        <f t="shared" si="0"/>
        <v>0</v>
      </c>
    </row>
    <row r="73" spans="3:14" ht="15" customHeight="1" x14ac:dyDescent="0.3">
      <c r="C73" s="545" t="s">
        <v>4372</v>
      </c>
      <c r="D73" s="320" t="s">
        <v>337</v>
      </c>
      <c r="E73" s="544">
        <v>0</v>
      </c>
      <c r="F73" s="544">
        <v>30348.5</v>
      </c>
      <c r="G73" s="544">
        <v>30348.5</v>
      </c>
      <c r="H73" s="544">
        <v>0</v>
      </c>
      <c r="I73" s="316">
        <v>0</v>
      </c>
      <c r="J73" s="518">
        <v>30348.5</v>
      </c>
      <c r="K73" s="518">
        <v>30348.5</v>
      </c>
      <c r="L73" s="518">
        <v>0</v>
      </c>
      <c r="M73" s="317">
        <v>0</v>
      </c>
      <c r="N73" s="313">
        <f t="shared" si="0"/>
        <v>0</v>
      </c>
    </row>
    <row r="74" spans="3:14" ht="15" customHeight="1" x14ac:dyDescent="0.3">
      <c r="C74" s="545" t="s">
        <v>4373</v>
      </c>
      <c r="D74" s="320" t="s">
        <v>370</v>
      </c>
      <c r="E74" s="544">
        <v>0</v>
      </c>
      <c r="F74" s="544">
        <v>36343.42</v>
      </c>
      <c r="G74" s="544">
        <v>36343.42</v>
      </c>
      <c r="H74" s="544">
        <v>0</v>
      </c>
      <c r="I74" s="316">
        <v>0</v>
      </c>
      <c r="J74" s="518">
        <v>36343.42</v>
      </c>
      <c r="K74" s="518">
        <v>36343.42</v>
      </c>
      <c r="L74" s="518">
        <v>0</v>
      </c>
      <c r="M74" s="317">
        <v>0</v>
      </c>
      <c r="N74" s="313">
        <f t="shared" si="0"/>
        <v>0</v>
      </c>
    </row>
    <row r="75" spans="3:14" ht="15" customHeight="1" x14ac:dyDescent="0.3">
      <c r="C75" s="545" t="s">
        <v>4374</v>
      </c>
      <c r="D75" s="320" t="s">
        <v>372</v>
      </c>
      <c r="E75" s="544">
        <v>0</v>
      </c>
      <c r="F75" s="544">
        <v>64953</v>
      </c>
      <c r="G75" s="544">
        <v>64953</v>
      </c>
      <c r="H75" s="544">
        <v>0</v>
      </c>
      <c r="I75" s="316">
        <v>0</v>
      </c>
      <c r="J75" s="518">
        <v>64953</v>
      </c>
      <c r="K75" s="518">
        <v>64953</v>
      </c>
      <c r="L75" s="518">
        <v>0</v>
      </c>
      <c r="M75" s="317">
        <v>0</v>
      </c>
      <c r="N75" s="313">
        <f t="shared" si="0"/>
        <v>0</v>
      </c>
    </row>
    <row r="76" spans="3:14" ht="15" customHeight="1" x14ac:dyDescent="0.3">
      <c r="C76" s="545" t="s">
        <v>4375</v>
      </c>
      <c r="D76" s="320" t="s">
        <v>374</v>
      </c>
      <c r="E76" s="544">
        <v>65565</v>
      </c>
      <c r="F76" s="544">
        <v>256935</v>
      </c>
      <c r="G76" s="544">
        <v>322500</v>
      </c>
      <c r="H76" s="544">
        <v>0</v>
      </c>
      <c r="I76" s="316">
        <v>65565</v>
      </c>
      <c r="J76" s="518">
        <v>256935</v>
      </c>
      <c r="K76" s="518">
        <v>322500</v>
      </c>
      <c r="L76" s="518">
        <v>0</v>
      </c>
      <c r="M76" s="317">
        <v>0</v>
      </c>
      <c r="N76" s="313">
        <f t="shared" si="0"/>
        <v>0</v>
      </c>
    </row>
    <row r="77" spans="3:14" ht="15" customHeight="1" x14ac:dyDescent="0.3">
      <c r="C77" s="545" t="s">
        <v>4376</v>
      </c>
      <c r="D77" s="320" t="s">
        <v>376</v>
      </c>
      <c r="E77" s="544">
        <v>17369.55</v>
      </c>
      <c r="F77" s="544">
        <v>0</v>
      </c>
      <c r="G77" s="544">
        <v>10989.55</v>
      </c>
      <c r="H77" s="544">
        <v>6380</v>
      </c>
      <c r="I77" s="316">
        <v>17369.55</v>
      </c>
      <c r="J77" s="518">
        <v>0</v>
      </c>
      <c r="K77" s="518">
        <v>10989.55</v>
      </c>
      <c r="L77" s="518">
        <v>6380</v>
      </c>
      <c r="M77" s="317">
        <v>6380</v>
      </c>
      <c r="N77" s="313">
        <f t="shared" ref="N77:N140" si="1">L77-M77</f>
        <v>0</v>
      </c>
    </row>
    <row r="78" spans="3:14" ht="15" customHeight="1" x14ac:dyDescent="0.3">
      <c r="C78" s="545" t="s">
        <v>4377</v>
      </c>
      <c r="D78" s="320" t="s">
        <v>381</v>
      </c>
      <c r="E78" s="544">
        <v>1342062</v>
      </c>
      <c r="F78" s="544">
        <v>2069831.5</v>
      </c>
      <c r="G78" s="544">
        <v>3411893.5</v>
      </c>
      <c r="H78" s="544">
        <v>0</v>
      </c>
      <c r="I78" s="316">
        <v>1342062</v>
      </c>
      <c r="J78" s="518">
        <v>2069831.5</v>
      </c>
      <c r="K78" s="518">
        <v>3411893.5</v>
      </c>
      <c r="L78" s="518">
        <v>0</v>
      </c>
      <c r="M78" s="317">
        <v>0</v>
      </c>
      <c r="N78" s="313">
        <f t="shared" si="1"/>
        <v>0</v>
      </c>
    </row>
    <row r="79" spans="3:14" ht="15" customHeight="1" x14ac:dyDescent="0.3">
      <c r="C79" s="545" t="s">
        <v>4378</v>
      </c>
      <c r="D79" s="320" t="s">
        <v>384</v>
      </c>
      <c r="E79" s="544">
        <v>21472</v>
      </c>
      <c r="F79" s="544">
        <v>34897.82</v>
      </c>
      <c r="G79" s="544">
        <v>56369.82</v>
      </c>
      <c r="H79" s="544">
        <v>0</v>
      </c>
      <c r="I79" s="316">
        <v>21472</v>
      </c>
      <c r="J79" s="518">
        <v>34897.82</v>
      </c>
      <c r="K79" s="518">
        <v>56369.82</v>
      </c>
      <c r="L79" s="518">
        <v>0</v>
      </c>
      <c r="M79" s="317">
        <v>0</v>
      </c>
      <c r="N79" s="313">
        <f t="shared" si="1"/>
        <v>0</v>
      </c>
    </row>
    <row r="80" spans="3:14" ht="15" customHeight="1" x14ac:dyDescent="0.3">
      <c r="C80" s="545" t="s">
        <v>4379</v>
      </c>
      <c r="D80" s="320" t="s">
        <v>388</v>
      </c>
      <c r="E80" s="544">
        <v>0</v>
      </c>
      <c r="F80" s="544">
        <v>7342.23</v>
      </c>
      <c r="G80" s="544">
        <v>7342.23</v>
      </c>
      <c r="H80" s="544">
        <v>0</v>
      </c>
      <c r="I80" s="316">
        <v>0</v>
      </c>
      <c r="J80" s="518">
        <v>7342.23</v>
      </c>
      <c r="K80" s="518">
        <v>7342.23</v>
      </c>
      <c r="L80" s="518">
        <v>0</v>
      </c>
      <c r="M80" s="317">
        <v>0</v>
      </c>
      <c r="N80" s="313">
        <f t="shared" si="1"/>
        <v>0</v>
      </c>
    </row>
    <row r="81" spans="3:14" ht="15" customHeight="1" x14ac:dyDescent="0.3">
      <c r="C81" s="545" t="s">
        <v>4380</v>
      </c>
      <c r="D81" s="320" t="s">
        <v>3378</v>
      </c>
      <c r="E81" s="544">
        <v>0</v>
      </c>
      <c r="F81" s="544">
        <v>62500</v>
      </c>
      <c r="G81" s="544">
        <v>62500</v>
      </c>
      <c r="H81" s="544">
        <v>0</v>
      </c>
      <c r="I81" s="316">
        <v>0</v>
      </c>
      <c r="J81" s="518">
        <v>62500</v>
      </c>
      <c r="K81" s="518">
        <v>62500</v>
      </c>
      <c r="L81" s="518">
        <v>0</v>
      </c>
      <c r="M81" s="317">
        <v>0</v>
      </c>
      <c r="N81" s="313">
        <f t="shared" si="1"/>
        <v>0</v>
      </c>
    </row>
    <row r="82" spans="3:14" ht="15" customHeight="1" x14ac:dyDescent="0.3">
      <c r="C82" s="545" t="s">
        <v>4381</v>
      </c>
      <c r="D82" s="320" t="s">
        <v>403</v>
      </c>
      <c r="E82" s="544">
        <v>0</v>
      </c>
      <c r="F82" s="544">
        <v>71300</v>
      </c>
      <c r="G82" s="544">
        <v>71300</v>
      </c>
      <c r="H82" s="544">
        <v>0</v>
      </c>
      <c r="I82" s="316">
        <v>0</v>
      </c>
      <c r="J82" s="518">
        <v>71300</v>
      </c>
      <c r="K82" s="518">
        <v>71300</v>
      </c>
      <c r="L82" s="518">
        <v>0</v>
      </c>
      <c r="M82" s="317">
        <v>0</v>
      </c>
      <c r="N82" s="313">
        <f t="shared" si="1"/>
        <v>0</v>
      </c>
    </row>
    <row r="83" spans="3:14" ht="15" customHeight="1" x14ac:dyDescent="0.3">
      <c r="C83" s="545" t="s">
        <v>4382</v>
      </c>
      <c r="D83" s="320" t="s">
        <v>3379</v>
      </c>
      <c r="E83" s="544">
        <v>77500</v>
      </c>
      <c r="F83" s="544">
        <v>0</v>
      </c>
      <c r="G83" s="544">
        <v>0</v>
      </c>
      <c r="H83" s="544">
        <v>77500</v>
      </c>
      <c r="I83" s="316">
        <v>77500</v>
      </c>
      <c r="J83" s="518">
        <v>0</v>
      </c>
      <c r="K83" s="518">
        <v>0</v>
      </c>
      <c r="L83" s="518">
        <v>77500</v>
      </c>
      <c r="M83" s="317">
        <v>77500</v>
      </c>
      <c r="N83" s="313">
        <f t="shared" si="1"/>
        <v>0</v>
      </c>
    </row>
    <row r="84" spans="3:14" ht="15" customHeight="1" x14ac:dyDescent="0.3">
      <c r="C84" s="545" t="s">
        <v>4383</v>
      </c>
      <c r="D84" s="320" t="s">
        <v>3380</v>
      </c>
      <c r="E84" s="544">
        <v>6980</v>
      </c>
      <c r="F84" s="544">
        <v>0</v>
      </c>
      <c r="G84" s="544">
        <v>6980</v>
      </c>
      <c r="H84" s="544">
        <v>0</v>
      </c>
      <c r="I84" s="316">
        <v>6980</v>
      </c>
      <c r="J84" s="518">
        <v>0</v>
      </c>
      <c r="K84" s="518">
        <v>6980</v>
      </c>
      <c r="L84" s="518">
        <v>0</v>
      </c>
      <c r="M84" s="317">
        <v>0</v>
      </c>
      <c r="N84" s="313">
        <f t="shared" si="1"/>
        <v>0</v>
      </c>
    </row>
    <row r="85" spans="3:14" ht="15" customHeight="1" x14ac:dyDescent="0.3">
      <c r="C85" s="545" t="s">
        <v>4384</v>
      </c>
      <c r="D85" s="320" t="s">
        <v>3381</v>
      </c>
      <c r="E85" s="544">
        <v>0</v>
      </c>
      <c r="F85" s="544">
        <v>259.10000000000002</v>
      </c>
      <c r="G85" s="544">
        <v>259.10000000000002</v>
      </c>
      <c r="H85" s="544">
        <v>0</v>
      </c>
      <c r="I85" s="316">
        <v>0</v>
      </c>
      <c r="J85" s="518">
        <v>259.10000000000002</v>
      </c>
      <c r="K85" s="518">
        <v>259.10000000000002</v>
      </c>
      <c r="L85" s="518">
        <v>0</v>
      </c>
      <c r="M85" s="317">
        <v>0</v>
      </c>
      <c r="N85" s="313">
        <f t="shared" si="1"/>
        <v>0</v>
      </c>
    </row>
    <row r="86" spans="3:14" ht="15" customHeight="1" x14ac:dyDescent="0.3">
      <c r="C86" s="545" t="s">
        <v>4385</v>
      </c>
      <c r="D86" s="320" t="s">
        <v>3382</v>
      </c>
      <c r="E86" s="544">
        <v>0</v>
      </c>
      <c r="F86" s="544">
        <v>59000</v>
      </c>
      <c r="G86" s="544">
        <v>59000</v>
      </c>
      <c r="H86" s="544">
        <v>0</v>
      </c>
      <c r="I86" s="316">
        <v>0</v>
      </c>
      <c r="J86" s="518">
        <v>59000</v>
      </c>
      <c r="K86" s="518">
        <v>59000</v>
      </c>
      <c r="L86" s="518">
        <v>0</v>
      </c>
      <c r="M86" s="317">
        <v>0</v>
      </c>
      <c r="N86" s="313">
        <f t="shared" si="1"/>
        <v>0</v>
      </c>
    </row>
    <row r="87" spans="3:14" ht="15" customHeight="1" x14ac:dyDescent="0.3">
      <c r="C87" s="545" t="s">
        <v>4386</v>
      </c>
      <c r="D87" s="320" t="s">
        <v>3383</v>
      </c>
      <c r="E87" s="544">
        <v>0</v>
      </c>
      <c r="F87" s="544">
        <v>29400</v>
      </c>
      <c r="G87" s="544">
        <v>29400</v>
      </c>
      <c r="H87" s="544">
        <v>0</v>
      </c>
      <c r="I87" s="316">
        <v>0</v>
      </c>
      <c r="J87" s="518">
        <v>29400</v>
      </c>
      <c r="K87" s="518">
        <v>29400</v>
      </c>
      <c r="L87" s="518">
        <v>0</v>
      </c>
      <c r="M87" s="317">
        <v>0</v>
      </c>
      <c r="N87" s="313">
        <f t="shared" si="1"/>
        <v>0</v>
      </c>
    </row>
    <row r="88" spans="3:14" ht="15" customHeight="1" x14ac:dyDescent="0.3">
      <c r="C88" s="545" t="s">
        <v>4387</v>
      </c>
      <c r="D88" s="320" t="s">
        <v>3384</v>
      </c>
      <c r="E88" s="544">
        <v>0</v>
      </c>
      <c r="F88" s="544">
        <v>2853</v>
      </c>
      <c r="G88" s="544">
        <v>2853</v>
      </c>
      <c r="H88" s="544">
        <v>0</v>
      </c>
      <c r="I88" s="316">
        <v>0</v>
      </c>
      <c r="J88" s="518">
        <v>2853</v>
      </c>
      <c r="K88" s="518">
        <v>2853</v>
      </c>
      <c r="L88" s="518">
        <v>0</v>
      </c>
      <c r="M88" s="317">
        <v>0</v>
      </c>
      <c r="N88" s="313">
        <f t="shared" si="1"/>
        <v>0</v>
      </c>
    </row>
    <row r="89" spans="3:14" ht="15" customHeight="1" x14ac:dyDescent="0.3">
      <c r="C89" s="545" t="s">
        <v>4388</v>
      </c>
      <c r="D89" s="320" t="s">
        <v>3385</v>
      </c>
      <c r="E89" s="544">
        <v>0</v>
      </c>
      <c r="F89" s="544">
        <v>30000</v>
      </c>
      <c r="G89" s="544">
        <v>30000</v>
      </c>
      <c r="H89" s="544">
        <v>0</v>
      </c>
      <c r="I89" s="316">
        <v>0</v>
      </c>
      <c r="J89" s="518">
        <v>30000</v>
      </c>
      <c r="K89" s="518">
        <v>30000</v>
      </c>
      <c r="L89" s="518">
        <v>0</v>
      </c>
      <c r="M89" s="317">
        <v>0</v>
      </c>
      <c r="N89" s="313">
        <f t="shared" si="1"/>
        <v>0</v>
      </c>
    </row>
    <row r="90" spans="3:14" ht="15" customHeight="1" x14ac:dyDescent="0.3">
      <c r="C90" s="545" t="s">
        <v>4389</v>
      </c>
      <c r="D90" s="320" t="s">
        <v>3386</v>
      </c>
      <c r="E90" s="544">
        <v>0</v>
      </c>
      <c r="F90" s="544">
        <v>10950</v>
      </c>
      <c r="G90" s="544">
        <v>10950</v>
      </c>
      <c r="H90" s="544">
        <v>0</v>
      </c>
      <c r="I90" s="316">
        <v>0</v>
      </c>
      <c r="J90" s="518">
        <v>10950</v>
      </c>
      <c r="K90" s="518">
        <v>10950</v>
      </c>
      <c r="L90" s="518">
        <v>0</v>
      </c>
      <c r="M90" s="317">
        <v>0</v>
      </c>
      <c r="N90" s="313">
        <f t="shared" si="1"/>
        <v>0</v>
      </c>
    </row>
    <row r="91" spans="3:14" ht="15" customHeight="1" x14ac:dyDescent="0.3">
      <c r="C91" s="545" t="s">
        <v>4390</v>
      </c>
      <c r="D91" s="320" t="s">
        <v>3387</v>
      </c>
      <c r="E91" s="544">
        <v>0</v>
      </c>
      <c r="F91" s="544">
        <v>27600</v>
      </c>
      <c r="G91" s="544">
        <v>27600</v>
      </c>
      <c r="H91" s="544">
        <v>0</v>
      </c>
      <c r="I91" s="316">
        <v>0</v>
      </c>
      <c r="J91" s="518">
        <v>27600</v>
      </c>
      <c r="K91" s="518">
        <v>27600</v>
      </c>
      <c r="L91" s="518">
        <v>0</v>
      </c>
      <c r="M91" s="317">
        <v>0</v>
      </c>
      <c r="N91" s="313">
        <f t="shared" si="1"/>
        <v>0</v>
      </c>
    </row>
    <row r="92" spans="3:14" ht="15" customHeight="1" x14ac:dyDescent="0.3">
      <c r="C92" s="545" t="s">
        <v>4391</v>
      </c>
      <c r="D92" s="320" t="s">
        <v>3388</v>
      </c>
      <c r="E92" s="544">
        <v>0</v>
      </c>
      <c r="F92" s="544">
        <v>2220</v>
      </c>
      <c r="G92" s="544">
        <v>2220</v>
      </c>
      <c r="H92" s="544">
        <v>0</v>
      </c>
      <c r="I92" s="316">
        <v>0</v>
      </c>
      <c r="J92" s="518">
        <v>2220</v>
      </c>
      <c r="K92" s="518">
        <v>2220</v>
      </c>
      <c r="L92" s="518">
        <v>0</v>
      </c>
      <c r="M92" s="317">
        <v>0</v>
      </c>
      <c r="N92" s="313">
        <f t="shared" si="1"/>
        <v>0</v>
      </c>
    </row>
    <row r="93" spans="3:14" ht="15" customHeight="1" x14ac:dyDescent="0.3">
      <c r="C93" s="545" t="s">
        <v>4392</v>
      </c>
      <c r="D93" s="320" t="s">
        <v>3389</v>
      </c>
      <c r="E93" s="544">
        <v>0</v>
      </c>
      <c r="F93" s="544">
        <v>3645</v>
      </c>
      <c r="G93" s="544">
        <v>3645</v>
      </c>
      <c r="H93" s="544">
        <v>0</v>
      </c>
      <c r="I93" s="316">
        <v>0</v>
      </c>
      <c r="J93" s="518">
        <v>3645</v>
      </c>
      <c r="K93" s="518">
        <v>3645</v>
      </c>
      <c r="L93" s="518">
        <v>0</v>
      </c>
      <c r="M93" s="317">
        <v>0</v>
      </c>
      <c r="N93" s="313">
        <f t="shared" si="1"/>
        <v>0</v>
      </c>
    </row>
    <row r="94" spans="3:14" ht="15" customHeight="1" x14ac:dyDescent="0.3">
      <c r="C94" s="545" t="s">
        <v>4393</v>
      </c>
      <c r="D94" s="320" t="s">
        <v>3390</v>
      </c>
      <c r="E94" s="544">
        <v>0</v>
      </c>
      <c r="F94" s="544">
        <v>3717.9</v>
      </c>
      <c r="G94" s="544">
        <v>0</v>
      </c>
      <c r="H94" s="544">
        <v>3717.9</v>
      </c>
      <c r="I94" s="316">
        <v>0</v>
      </c>
      <c r="J94" s="518">
        <v>3717.9</v>
      </c>
      <c r="K94" s="518">
        <v>0</v>
      </c>
      <c r="L94" s="518">
        <v>3717.9</v>
      </c>
      <c r="M94" s="317">
        <v>3717.9</v>
      </c>
      <c r="N94" s="313">
        <f t="shared" si="1"/>
        <v>0</v>
      </c>
    </row>
    <row r="95" spans="3:14" ht="15" customHeight="1" x14ac:dyDescent="0.3">
      <c r="C95" s="543" t="s">
        <v>4394</v>
      </c>
      <c r="D95" s="319" t="s">
        <v>408</v>
      </c>
      <c r="E95" s="544">
        <v>275622.2</v>
      </c>
      <c r="F95" s="544">
        <v>0</v>
      </c>
      <c r="G95" s="544">
        <v>275622.2</v>
      </c>
      <c r="H95" s="544">
        <v>0</v>
      </c>
      <c r="I95" s="312">
        <v>275622.2</v>
      </c>
      <c r="J95" s="517">
        <v>0</v>
      </c>
      <c r="K95" s="517">
        <v>275622.2</v>
      </c>
      <c r="L95" s="517">
        <v>0</v>
      </c>
      <c r="M95" s="313">
        <v>0</v>
      </c>
      <c r="N95" s="313">
        <f t="shared" si="1"/>
        <v>0</v>
      </c>
    </row>
    <row r="96" spans="3:14" ht="15" customHeight="1" x14ac:dyDescent="0.3">
      <c r="C96" s="545" t="s">
        <v>4395</v>
      </c>
      <c r="D96" s="320" t="s">
        <v>411</v>
      </c>
      <c r="E96" s="544">
        <v>275622.2</v>
      </c>
      <c r="F96" s="544">
        <v>0</v>
      </c>
      <c r="G96" s="544">
        <v>275622.2</v>
      </c>
      <c r="H96" s="544">
        <v>0</v>
      </c>
      <c r="I96" s="316">
        <v>275622.2</v>
      </c>
      <c r="J96" s="518">
        <v>0</v>
      </c>
      <c r="K96" s="518">
        <v>275622.2</v>
      </c>
      <c r="L96" s="518">
        <v>0</v>
      </c>
      <c r="M96" s="317">
        <v>0</v>
      </c>
      <c r="N96" s="313">
        <f t="shared" si="1"/>
        <v>0</v>
      </c>
    </row>
    <row r="97" spans="3:16" ht="15" customHeight="1" x14ac:dyDescent="0.3">
      <c r="C97" s="543" t="s">
        <v>4396</v>
      </c>
      <c r="D97" s="319" t="s">
        <v>3391</v>
      </c>
      <c r="E97" s="544">
        <v>2432944.75</v>
      </c>
      <c r="F97" s="544">
        <v>8624781.9399999995</v>
      </c>
      <c r="G97" s="544">
        <v>1420374.02</v>
      </c>
      <c r="H97" s="544">
        <v>9637352.6699999999</v>
      </c>
      <c r="I97" s="312">
        <v>2432944.75</v>
      </c>
      <c r="J97" s="517">
        <v>8624781.9399999995</v>
      </c>
      <c r="K97" s="517">
        <v>1420374.02</v>
      </c>
      <c r="L97" s="517">
        <v>9637352.6699999999</v>
      </c>
      <c r="M97" s="313">
        <f>M98+M101+M115</f>
        <v>581156.34000000032</v>
      </c>
      <c r="N97" s="313">
        <f t="shared" si="1"/>
        <v>9056196.3300000001</v>
      </c>
    </row>
    <row r="98" spans="3:16" ht="15" customHeight="1" x14ac:dyDescent="0.35">
      <c r="C98" s="543" t="s">
        <v>4397</v>
      </c>
      <c r="D98" s="319" t="s">
        <v>3392</v>
      </c>
      <c r="E98" s="544">
        <v>100920.1</v>
      </c>
      <c r="F98" s="544">
        <v>1206475.6100000001</v>
      </c>
      <c r="G98" s="544">
        <v>1021786.03</v>
      </c>
      <c r="H98" s="544">
        <v>285609.68</v>
      </c>
      <c r="I98" s="312">
        <v>100920.1</v>
      </c>
      <c r="J98" s="517">
        <v>1206475.6100000001</v>
      </c>
      <c r="K98" s="517">
        <v>1021786.03</v>
      </c>
      <c r="L98" s="517">
        <v>285609.68</v>
      </c>
      <c r="M98" s="313">
        <v>285609.68</v>
      </c>
      <c r="N98" s="313">
        <f t="shared" si="1"/>
        <v>0</v>
      </c>
      <c r="O98" s="529" t="s">
        <v>3363</v>
      </c>
      <c r="P98" s="291">
        <v>7</v>
      </c>
    </row>
    <row r="99" spans="3:16" ht="15" customHeight="1" x14ac:dyDescent="0.3">
      <c r="C99" s="545" t="s">
        <v>4398</v>
      </c>
      <c r="D99" s="320" t="s">
        <v>436</v>
      </c>
      <c r="E99" s="544">
        <v>0</v>
      </c>
      <c r="F99" s="544">
        <v>377173.55</v>
      </c>
      <c r="G99" s="544">
        <v>377173.55</v>
      </c>
      <c r="H99" s="544">
        <v>0</v>
      </c>
      <c r="I99" s="316">
        <v>0</v>
      </c>
      <c r="J99" s="518">
        <v>377173.55</v>
      </c>
      <c r="K99" s="518">
        <v>377173.55</v>
      </c>
      <c r="L99" s="518">
        <v>0</v>
      </c>
      <c r="M99" s="317">
        <v>0</v>
      </c>
      <c r="N99" s="313">
        <f t="shared" si="1"/>
        <v>0</v>
      </c>
    </row>
    <row r="100" spans="3:16" ht="15" customHeight="1" x14ac:dyDescent="0.3">
      <c r="C100" s="545" t="s">
        <v>4399</v>
      </c>
      <c r="D100" s="320" t="s">
        <v>438</v>
      </c>
      <c r="E100" s="544">
        <v>100920.1</v>
      </c>
      <c r="F100" s="544">
        <v>829302.06</v>
      </c>
      <c r="G100" s="544">
        <v>644612.48</v>
      </c>
      <c r="H100" s="544">
        <v>285609.68</v>
      </c>
      <c r="I100" s="316">
        <v>100920.1</v>
      </c>
      <c r="J100" s="518">
        <v>829302.06</v>
      </c>
      <c r="K100" s="518">
        <v>644612.48</v>
      </c>
      <c r="L100" s="518">
        <v>285609.68</v>
      </c>
      <c r="M100" s="317">
        <v>285609.68</v>
      </c>
      <c r="N100" s="313">
        <f t="shared" si="1"/>
        <v>0</v>
      </c>
    </row>
    <row r="101" spans="3:16" ht="15" customHeight="1" x14ac:dyDescent="0.35">
      <c r="C101" s="543" t="s">
        <v>4400</v>
      </c>
      <c r="D101" s="319" t="s">
        <v>3393</v>
      </c>
      <c r="E101" s="544">
        <v>2331952.69</v>
      </c>
      <c r="F101" s="544">
        <v>7418306.3300000001</v>
      </c>
      <c r="G101" s="544">
        <v>398587.99</v>
      </c>
      <c r="H101" s="544">
        <v>9351671.0299999993</v>
      </c>
      <c r="I101" s="312">
        <v>2331952.69</v>
      </c>
      <c r="J101" s="517">
        <v>7418306.3300000001</v>
      </c>
      <c r="K101" s="517">
        <v>398587.99</v>
      </c>
      <c r="L101" s="517">
        <v>9351671.0299999993</v>
      </c>
      <c r="M101" s="313">
        <f>SUM(M102:M114)</f>
        <v>295474.7000000003</v>
      </c>
      <c r="N101" s="313">
        <f t="shared" si="1"/>
        <v>9056196.3299999982</v>
      </c>
      <c r="O101" s="529"/>
      <c r="P101" s="291">
        <v>6</v>
      </c>
    </row>
    <row r="102" spans="3:16" ht="15" customHeight="1" x14ac:dyDescent="0.3">
      <c r="C102" s="545" t="s">
        <v>4401</v>
      </c>
      <c r="D102" s="320" t="s">
        <v>3394</v>
      </c>
      <c r="E102" s="544">
        <v>185.6</v>
      </c>
      <c r="F102" s="544">
        <v>0</v>
      </c>
      <c r="G102" s="544">
        <v>0</v>
      </c>
      <c r="H102" s="544">
        <v>185.6</v>
      </c>
      <c r="I102" s="316">
        <v>185.6</v>
      </c>
      <c r="J102" s="518">
        <v>0</v>
      </c>
      <c r="K102" s="518">
        <v>0</v>
      </c>
      <c r="L102" s="518">
        <v>185.6</v>
      </c>
      <c r="M102" s="317">
        <v>185.6</v>
      </c>
      <c r="N102" s="313">
        <f t="shared" si="1"/>
        <v>0</v>
      </c>
    </row>
    <row r="103" spans="3:16" ht="15" customHeight="1" x14ac:dyDescent="0.3">
      <c r="C103" s="545" t="s">
        <v>4402</v>
      </c>
      <c r="D103" s="320" t="s">
        <v>445</v>
      </c>
      <c r="E103" s="544">
        <v>1796.65</v>
      </c>
      <c r="F103" s="544">
        <v>0</v>
      </c>
      <c r="G103" s="544">
        <v>0</v>
      </c>
      <c r="H103" s="544">
        <v>1796.65</v>
      </c>
      <c r="I103" s="316">
        <v>1796.65</v>
      </c>
      <c r="J103" s="518">
        <v>0</v>
      </c>
      <c r="K103" s="518">
        <v>0</v>
      </c>
      <c r="L103" s="518">
        <v>1796.65</v>
      </c>
      <c r="M103" s="317">
        <v>1796.65</v>
      </c>
      <c r="N103" s="313">
        <f t="shared" si="1"/>
        <v>0</v>
      </c>
    </row>
    <row r="104" spans="3:16" ht="15" customHeight="1" x14ac:dyDescent="0.3">
      <c r="C104" s="545" t="s">
        <v>4403</v>
      </c>
      <c r="D104" s="320" t="s">
        <v>449</v>
      </c>
      <c r="E104" s="544">
        <v>397399.05</v>
      </c>
      <c r="F104" s="544">
        <v>1188.94</v>
      </c>
      <c r="G104" s="544">
        <v>398587.99</v>
      </c>
      <c r="H104" s="544">
        <v>0</v>
      </c>
      <c r="I104" s="316">
        <v>397399.05</v>
      </c>
      <c r="J104" s="518">
        <v>1188.94</v>
      </c>
      <c r="K104" s="518">
        <v>398587.99</v>
      </c>
      <c r="L104" s="518">
        <v>0</v>
      </c>
      <c r="M104" s="317">
        <v>0</v>
      </c>
      <c r="N104" s="313">
        <f t="shared" si="1"/>
        <v>0</v>
      </c>
    </row>
    <row r="105" spans="3:16" ht="15" customHeight="1" x14ac:dyDescent="0.3">
      <c r="C105" s="545" t="s">
        <v>4404</v>
      </c>
      <c r="D105" s="320" t="s">
        <v>453</v>
      </c>
      <c r="E105" s="544">
        <v>1587940.03</v>
      </c>
      <c r="F105" s="544">
        <v>6099640.7699999996</v>
      </c>
      <c r="G105" s="544">
        <v>0</v>
      </c>
      <c r="H105" s="544">
        <v>7687580.7999999998</v>
      </c>
      <c r="I105" s="316">
        <v>1587940.03</v>
      </c>
      <c r="J105" s="518">
        <v>6099640.7699999996</v>
      </c>
      <c r="K105" s="518">
        <v>0</v>
      </c>
      <c r="L105" s="518">
        <v>7687580.7999999998</v>
      </c>
      <c r="M105" s="555">
        <f>L105-K106-K107-K108</f>
        <v>206153.06000000029</v>
      </c>
      <c r="N105" s="313">
        <f t="shared" si="1"/>
        <v>7481427.7399999993</v>
      </c>
    </row>
    <row r="106" spans="3:16" ht="15" customHeight="1" x14ac:dyDescent="0.3">
      <c r="C106" s="545"/>
      <c r="D106" s="320"/>
      <c r="E106" s="544"/>
      <c r="F106" s="544"/>
      <c r="G106" s="544"/>
      <c r="H106" s="544"/>
      <c r="I106" s="589">
        <v>45293</v>
      </c>
      <c r="J106" s="557"/>
      <c r="K106" s="557">
        <v>5829400.5199999996</v>
      </c>
      <c r="L106" s="518"/>
      <c r="M106" s="317"/>
      <c r="N106" s="313">
        <f t="shared" si="1"/>
        <v>0</v>
      </c>
    </row>
    <row r="107" spans="3:16" ht="15" customHeight="1" x14ac:dyDescent="0.3">
      <c r="C107" s="545"/>
      <c r="D107" s="320"/>
      <c r="E107" s="544"/>
      <c r="F107" s="544"/>
      <c r="G107" s="544"/>
      <c r="H107" s="544"/>
      <c r="I107" s="589">
        <v>45293</v>
      </c>
      <c r="J107" s="557"/>
      <c r="K107" s="557">
        <v>270240.25</v>
      </c>
      <c r="L107" s="518"/>
      <c r="M107" s="317"/>
      <c r="N107" s="313">
        <f t="shared" si="1"/>
        <v>0</v>
      </c>
    </row>
    <row r="108" spans="3:16" ht="15" customHeight="1" x14ac:dyDescent="0.3">
      <c r="C108" s="545"/>
      <c r="D108" s="320"/>
      <c r="E108" s="544"/>
      <c r="F108" s="544"/>
      <c r="G108" s="544"/>
      <c r="H108" s="544"/>
      <c r="I108" s="589">
        <v>45657</v>
      </c>
      <c r="J108" s="557"/>
      <c r="K108" s="557">
        <v>1381786.97</v>
      </c>
      <c r="L108" s="518"/>
      <c r="M108" s="317"/>
      <c r="N108" s="313">
        <f t="shared" si="1"/>
        <v>0</v>
      </c>
    </row>
    <row r="109" spans="3:16" ht="15" customHeight="1" x14ac:dyDescent="0.3">
      <c r="C109" s="545" t="s">
        <v>4405</v>
      </c>
      <c r="D109" s="320" t="s">
        <v>457</v>
      </c>
      <c r="E109" s="544">
        <v>344566.26</v>
      </c>
      <c r="F109" s="544">
        <v>1317382.97</v>
      </c>
      <c r="G109" s="544">
        <v>0</v>
      </c>
      <c r="H109" s="544">
        <v>1661949.23</v>
      </c>
      <c r="I109" s="316">
        <v>344566.26</v>
      </c>
      <c r="J109" s="518">
        <v>1317382.97</v>
      </c>
      <c r="K109" s="518">
        <v>0</v>
      </c>
      <c r="L109" s="518">
        <v>1661949.23</v>
      </c>
      <c r="M109" s="555">
        <f>L109-K110-K111-K112</f>
        <v>87180.640000000014</v>
      </c>
      <c r="N109" s="313">
        <f t="shared" si="1"/>
        <v>1574768.5899999999</v>
      </c>
    </row>
    <row r="110" spans="3:16" ht="15" customHeight="1" x14ac:dyDescent="0.3">
      <c r="C110" s="545"/>
      <c r="D110" s="320"/>
      <c r="E110" s="544"/>
      <c r="F110" s="544"/>
      <c r="G110" s="544"/>
      <c r="H110" s="544"/>
      <c r="I110" s="589">
        <v>45293</v>
      </c>
      <c r="J110" s="518"/>
      <c r="K110" s="557">
        <v>1258574.21</v>
      </c>
      <c r="L110" s="518"/>
      <c r="M110" s="317"/>
      <c r="N110" s="313">
        <f t="shared" si="1"/>
        <v>0</v>
      </c>
    </row>
    <row r="111" spans="3:16" ht="15" customHeight="1" x14ac:dyDescent="0.3">
      <c r="C111" s="545"/>
      <c r="D111" s="320"/>
      <c r="E111" s="544"/>
      <c r="F111" s="544"/>
      <c r="G111" s="544"/>
      <c r="H111" s="544"/>
      <c r="I111" s="589">
        <v>45293</v>
      </c>
      <c r="J111" s="518"/>
      <c r="K111" s="557">
        <v>58808.76</v>
      </c>
      <c r="L111" s="518"/>
      <c r="M111" s="317"/>
      <c r="N111" s="313">
        <f t="shared" si="1"/>
        <v>0</v>
      </c>
    </row>
    <row r="112" spans="3:16" ht="15" customHeight="1" x14ac:dyDescent="0.3">
      <c r="C112" s="545"/>
      <c r="D112" s="320"/>
      <c r="E112" s="544"/>
      <c r="F112" s="544"/>
      <c r="G112" s="544"/>
      <c r="H112" s="544"/>
      <c r="I112" s="589">
        <v>45657</v>
      </c>
      <c r="J112" s="518"/>
      <c r="K112" s="557">
        <v>257385.62</v>
      </c>
      <c r="L112" s="518"/>
      <c r="M112" s="317"/>
      <c r="N112" s="313">
        <f t="shared" si="1"/>
        <v>0</v>
      </c>
    </row>
    <row r="113" spans="3:16" ht="15" customHeight="1" x14ac:dyDescent="0.3">
      <c r="C113" s="545" t="s">
        <v>4406</v>
      </c>
      <c r="D113" s="320" t="s">
        <v>467</v>
      </c>
      <c r="E113" s="544">
        <v>65.099999999999994</v>
      </c>
      <c r="F113" s="544">
        <v>0</v>
      </c>
      <c r="G113" s="544">
        <v>0</v>
      </c>
      <c r="H113" s="544">
        <v>65.099999999999994</v>
      </c>
      <c r="I113" s="316">
        <v>65.099999999999994</v>
      </c>
      <c r="J113" s="518">
        <v>0</v>
      </c>
      <c r="K113" s="518">
        <v>0</v>
      </c>
      <c r="L113" s="518">
        <v>65.099999999999994</v>
      </c>
      <c r="M113" s="317">
        <v>65.099999999999994</v>
      </c>
      <c r="N113" s="313">
        <f t="shared" si="1"/>
        <v>0</v>
      </c>
    </row>
    <row r="114" spans="3:16" ht="15" customHeight="1" x14ac:dyDescent="0.3">
      <c r="C114" s="545" t="s">
        <v>4407</v>
      </c>
      <c r="D114" s="320" t="s">
        <v>3395</v>
      </c>
      <c r="E114" s="544">
        <v>0</v>
      </c>
      <c r="F114" s="544">
        <v>93.65</v>
      </c>
      <c r="G114" s="544">
        <v>0</v>
      </c>
      <c r="H114" s="544">
        <v>93.65</v>
      </c>
      <c r="I114" s="316">
        <v>0</v>
      </c>
      <c r="J114" s="518">
        <v>93.65</v>
      </c>
      <c r="K114" s="518">
        <v>0</v>
      </c>
      <c r="L114" s="518">
        <v>93.65</v>
      </c>
      <c r="M114" s="317">
        <v>93.65</v>
      </c>
      <c r="N114" s="313">
        <f t="shared" si="1"/>
        <v>0</v>
      </c>
    </row>
    <row r="115" spans="3:16" ht="15" customHeight="1" x14ac:dyDescent="0.35">
      <c r="C115" s="543" t="s">
        <v>4408</v>
      </c>
      <c r="D115" s="319" t="s">
        <v>3396</v>
      </c>
      <c r="E115" s="544">
        <v>71.959999999999994</v>
      </c>
      <c r="F115" s="544">
        <v>0</v>
      </c>
      <c r="G115" s="544">
        <v>0</v>
      </c>
      <c r="H115" s="544">
        <v>71.959999999999994</v>
      </c>
      <c r="I115" s="312">
        <v>71.959999999999994</v>
      </c>
      <c r="J115" s="517">
        <v>0</v>
      </c>
      <c r="K115" s="517">
        <v>0</v>
      </c>
      <c r="L115" s="517">
        <v>71.959999999999994</v>
      </c>
      <c r="M115" s="313">
        <v>71.959999999999994</v>
      </c>
      <c r="N115" s="313">
        <f t="shared" si="1"/>
        <v>0</v>
      </c>
      <c r="O115" s="529" t="s">
        <v>3363</v>
      </c>
      <c r="P115" s="291">
        <v>6</v>
      </c>
    </row>
    <row r="116" spans="3:16" ht="15" customHeight="1" x14ac:dyDescent="0.3">
      <c r="C116" s="545" t="s">
        <v>4409</v>
      </c>
      <c r="D116" s="320" t="s">
        <v>474</v>
      </c>
      <c r="E116" s="544">
        <v>32.44</v>
      </c>
      <c r="F116" s="544">
        <v>0</v>
      </c>
      <c r="G116" s="544">
        <v>0</v>
      </c>
      <c r="H116" s="544">
        <v>32.44</v>
      </c>
      <c r="I116" s="316">
        <v>32.44</v>
      </c>
      <c r="J116" s="518">
        <v>0</v>
      </c>
      <c r="K116" s="518">
        <v>0</v>
      </c>
      <c r="L116" s="518">
        <v>32.44</v>
      </c>
      <c r="M116" s="317">
        <v>32.44</v>
      </c>
      <c r="N116" s="313">
        <f t="shared" si="1"/>
        <v>0</v>
      </c>
    </row>
    <row r="117" spans="3:16" ht="15" customHeight="1" x14ac:dyDescent="0.3">
      <c r="C117" s="545" t="s">
        <v>4410</v>
      </c>
      <c r="D117" s="320" t="s">
        <v>477</v>
      </c>
      <c r="E117" s="544">
        <v>30.14</v>
      </c>
      <c r="F117" s="544">
        <v>0</v>
      </c>
      <c r="G117" s="544">
        <v>0</v>
      </c>
      <c r="H117" s="544">
        <v>30.14</v>
      </c>
      <c r="I117" s="316">
        <v>30.14</v>
      </c>
      <c r="J117" s="518">
        <v>0</v>
      </c>
      <c r="K117" s="518">
        <v>0</v>
      </c>
      <c r="L117" s="518">
        <v>30.14</v>
      </c>
      <c r="M117" s="317">
        <v>30.14</v>
      </c>
      <c r="N117" s="313">
        <f t="shared" si="1"/>
        <v>0</v>
      </c>
    </row>
    <row r="118" spans="3:16" ht="15" customHeight="1" x14ac:dyDescent="0.3">
      <c r="C118" s="545" t="s">
        <v>4411</v>
      </c>
      <c r="D118" s="320" t="s">
        <v>480</v>
      </c>
      <c r="E118" s="544">
        <v>9.3800000000000008</v>
      </c>
      <c r="F118" s="544">
        <v>0</v>
      </c>
      <c r="G118" s="544">
        <v>0</v>
      </c>
      <c r="H118" s="544">
        <v>9.3800000000000008</v>
      </c>
      <c r="I118" s="316">
        <v>9.3800000000000008</v>
      </c>
      <c r="J118" s="518">
        <v>0</v>
      </c>
      <c r="K118" s="518">
        <v>0</v>
      </c>
      <c r="L118" s="518">
        <v>9.3800000000000008</v>
      </c>
      <c r="M118" s="317">
        <v>9.3800000000000008</v>
      </c>
      <c r="N118" s="313">
        <f t="shared" si="1"/>
        <v>0</v>
      </c>
    </row>
    <row r="119" spans="3:16" ht="15" customHeight="1" x14ac:dyDescent="0.3">
      <c r="C119" s="545"/>
      <c r="D119" s="320"/>
      <c r="E119" s="544"/>
      <c r="F119" s="544"/>
      <c r="G119" s="544"/>
      <c r="H119" s="544"/>
      <c r="I119" s="316"/>
      <c r="J119" s="518"/>
      <c r="K119" s="518"/>
      <c r="L119" s="518"/>
      <c r="M119" s="317"/>
      <c r="N119" s="313">
        <f t="shared" si="1"/>
        <v>0</v>
      </c>
    </row>
    <row r="120" spans="3:16" ht="15" customHeight="1" x14ac:dyDescent="0.35">
      <c r="C120" s="543" t="s">
        <v>4412</v>
      </c>
      <c r="D120" s="319" t="s">
        <v>3397</v>
      </c>
      <c r="E120" s="544">
        <v>120930.33</v>
      </c>
      <c r="F120" s="544">
        <v>1740550.87</v>
      </c>
      <c r="G120" s="544">
        <v>1861481.2</v>
      </c>
      <c r="H120" s="544">
        <v>0</v>
      </c>
      <c r="I120" s="312">
        <v>120930.33</v>
      </c>
      <c r="J120" s="517">
        <v>1740550.87</v>
      </c>
      <c r="K120" s="517">
        <v>1861481.2</v>
      </c>
      <c r="L120" s="517">
        <v>0</v>
      </c>
      <c r="M120" s="313">
        <f>SUM(M121:M128)</f>
        <v>5284.5699999999606</v>
      </c>
      <c r="N120" s="313">
        <f t="shared" si="1"/>
        <v>-5284.5699999999606</v>
      </c>
      <c r="O120" s="529" t="s">
        <v>3363</v>
      </c>
      <c r="P120" s="291">
        <v>8</v>
      </c>
    </row>
    <row r="121" spans="3:16" ht="15" customHeight="1" x14ac:dyDescent="0.3">
      <c r="C121" s="543" t="s">
        <v>4413</v>
      </c>
      <c r="D121" s="319" t="s">
        <v>3398</v>
      </c>
      <c r="E121" s="544">
        <v>120930.33</v>
      </c>
      <c r="F121" s="544">
        <v>1740550.87</v>
      </c>
      <c r="G121" s="544">
        <v>1861481.2</v>
      </c>
      <c r="H121" s="544">
        <v>0</v>
      </c>
      <c r="I121" s="312">
        <v>120930.33</v>
      </c>
      <c r="J121" s="517">
        <v>1740550.87</v>
      </c>
      <c r="K121" s="517">
        <v>1861481.2</v>
      </c>
      <c r="L121" s="517">
        <v>0</v>
      </c>
      <c r="M121" s="313">
        <f>SUM(M122:M129)</f>
        <v>5284.5699999999824</v>
      </c>
      <c r="N121" s="313">
        <f t="shared" si="1"/>
        <v>-5284.5699999999824</v>
      </c>
    </row>
    <row r="122" spans="3:16" ht="15" customHeight="1" x14ac:dyDescent="0.3">
      <c r="C122" s="545" t="s">
        <v>4414</v>
      </c>
      <c r="D122" s="320" t="s">
        <v>3399</v>
      </c>
      <c r="E122" s="544">
        <v>0</v>
      </c>
      <c r="F122" s="544">
        <v>33192.33</v>
      </c>
      <c r="G122" s="544">
        <v>159058.18</v>
      </c>
      <c r="H122" s="544">
        <v>-125865.85</v>
      </c>
      <c r="I122" s="316">
        <v>0</v>
      </c>
      <c r="J122" s="518">
        <v>33192.33</v>
      </c>
      <c r="K122" s="518">
        <v>159058.18</v>
      </c>
      <c r="L122" s="518">
        <v>-125865.85</v>
      </c>
      <c r="M122" s="317">
        <v>-125865.85</v>
      </c>
      <c r="N122" s="313">
        <f t="shared" si="1"/>
        <v>0</v>
      </c>
    </row>
    <row r="123" spans="3:16" ht="15" customHeight="1" x14ac:dyDescent="0.3">
      <c r="C123" s="545" t="s">
        <v>4415</v>
      </c>
      <c r="D123" s="320" t="s">
        <v>506</v>
      </c>
      <c r="E123" s="544">
        <v>-18391.52</v>
      </c>
      <c r="F123" s="544">
        <v>1701860.96</v>
      </c>
      <c r="G123" s="544">
        <v>1701860.96</v>
      </c>
      <c r="H123" s="544">
        <v>-18391.52</v>
      </c>
      <c r="I123" s="316">
        <v>-18391.52</v>
      </c>
      <c r="J123" s="518">
        <v>1701860.96</v>
      </c>
      <c r="K123" s="518">
        <v>1701860.96</v>
      </c>
      <c r="L123" s="518">
        <v>-18391.52</v>
      </c>
      <c r="M123" s="554">
        <f>L123+J124</f>
        <v>-13106.95</v>
      </c>
      <c r="N123" s="313">
        <f t="shared" si="1"/>
        <v>-5284.57</v>
      </c>
    </row>
    <row r="124" spans="3:16" ht="15" customHeight="1" x14ac:dyDescent="0.3">
      <c r="C124" s="545"/>
      <c r="D124" s="320"/>
      <c r="E124" s="544"/>
      <c r="F124" s="544"/>
      <c r="G124" s="544"/>
      <c r="H124" s="544"/>
      <c r="I124" s="589">
        <v>45322</v>
      </c>
      <c r="J124" s="557">
        <v>5284.57</v>
      </c>
      <c r="K124" s="518"/>
      <c r="L124" s="518"/>
      <c r="M124" s="317"/>
      <c r="N124" s="313">
        <f t="shared" si="1"/>
        <v>0</v>
      </c>
    </row>
    <row r="125" spans="3:16" ht="15" customHeight="1" x14ac:dyDescent="0.3">
      <c r="C125" s="545" t="s">
        <v>4416</v>
      </c>
      <c r="D125" s="320" t="s">
        <v>517</v>
      </c>
      <c r="E125" s="544">
        <v>98288.81</v>
      </c>
      <c r="F125" s="544">
        <v>0</v>
      </c>
      <c r="G125" s="544">
        <v>230.01</v>
      </c>
      <c r="H125" s="544">
        <v>98058.8</v>
      </c>
      <c r="I125" s="316">
        <v>98288.81</v>
      </c>
      <c r="J125" s="518">
        <v>0</v>
      </c>
      <c r="K125" s="518">
        <v>230.01</v>
      </c>
      <c r="L125" s="518">
        <v>98058.8</v>
      </c>
      <c r="M125" s="317">
        <v>98058.8</v>
      </c>
      <c r="N125" s="313">
        <f t="shared" si="1"/>
        <v>0</v>
      </c>
    </row>
    <row r="126" spans="3:16" ht="15" customHeight="1" x14ac:dyDescent="0.3">
      <c r="C126" s="545" t="s">
        <v>4417</v>
      </c>
      <c r="D126" s="320" t="s">
        <v>521</v>
      </c>
      <c r="E126" s="544">
        <v>37745.599999999999</v>
      </c>
      <c r="F126" s="544">
        <v>0</v>
      </c>
      <c r="G126" s="544">
        <v>119.04</v>
      </c>
      <c r="H126" s="544">
        <v>37626.559999999998</v>
      </c>
      <c r="I126" s="316">
        <v>37745.599999999999</v>
      </c>
      <c r="J126" s="518">
        <v>0</v>
      </c>
      <c r="K126" s="518">
        <v>119.04</v>
      </c>
      <c r="L126" s="518">
        <v>37626.559999999998</v>
      </c>
      <c r="M126" s="317">
        <v>37626.559999999998</v>
      </c>
      <c r="N126" s="313">
        <f t="shared" si="1"/>
        <v>0</v>
      </c>
    </row>
    <row r="127" spans="3:16" ht="15" customHeight="1" x14ac:dyDescent="0.3">
      <c r="C127" s="545" t="s">
        <v>4418</v>
      </c>
      <c r="D127" s="320" t="s">
        <v>525</v>
      </c>
      <c r="E127" s="544">
        <v>3138.45</v>
      </c>
      <c r="F127" s="544">
        <v>0</v>
      </c>
      <c r="G127" s="544">
        <v>0</v>
      </c>
      <c r="H127" s="544">
        <v>3138.45</v>
      </c>
      <c r="I127" s="316">
        <v>3138.45</v>
      </c>
      <c r="J127" s="518">
        <v>0</v>
      </c>
      <c r="K127" s="518">
        <v>0</v>
      </c>
      <c r="L127" s="518">
        <v>3138.45</v>
      </c>
      <c r="M127" s="317">
        <v>3138.45</v>
      </c>
      <c r="N127" s="313">
        <f t="shared" si="1"/>
        <v>0</v>
      </c>
    </row>
    <row r="128" spans="3:16" ht="15" customHeight="1" x14ac:dyDescent="0.3">
      <c r="C128" s="545" t="s">
        <v>4419</v>
      </c>
      <c r="D128" s="320" t="s">
        <v>529</v>
      </c>
      <c r="E128" s="544">
        <v>148.99</v>
      </c>
      <c r="F128" s="544">
        <v>0</v>
      </c>
      <c r="G128" s="544">
        <v>0</v>
      </c>
      <c r="H128" s="544">
        <v>148.99</v>
      </c>
      <c r="I128" s="316">
        <v>148.99</v>
      </c>
      <c r="J128" s="518">
        <v>0</v>
      </c>
      <c r="K128" s="518">
        <v>0</v>
      </c>
      <c r="L128" s="518">
        <v>148.99</v>
      </c>
      <c r="M128" s="317">
        <v>148.99</v>
      </c>
      <c r="N128" s="313">
        <f t="shared" si="1"/>
        <v>0</v>
      </c>
    </row>
    <row r="129" spans="3:16" ht="15" customHeight="1" x14ac:dyDescent="0.3">
      <c r="C129" s="545" t="s">
        <v>4420</v>
      </c>
      <c r="D129" s="320" t="s">
        <v>3400</v>
      </c>
      <c r="E129" s="544">
        <v>0</v>
      </c>
      <c r="F129" s="544">
        <v>5497.58</v>
      </c>
      <c r="G129" s="544">
        <v>213.01</v>
      </c>
      <c r="H129" s="544">
        <v>5284.57</v>
      </c>
      <c r="I129" s="316">
        <v>0</v>
      </c>
      <c r="J129" s="518">
        <v>5497.58</v>
      </c>
      <c r="K129" s="518">
        <v>213.01</v>
      </c>
      <c r="L129" s="518">
        <v>5284.57</v>
      </c>
      <c r="M129" s="317">
        <v>5284.57</v>
      </c>
      <c r="N129" s="313">
        <f t="shared" si="1"/>
        <v>0</v>
      </c>
    </row>
    <row r="130" spans="3:16" ht="15" customHeight="1" x14ac:dyDescent="0.3">
      <c r="C130" s="545"/>
      <c r="D130" s="320"/>
      <c r="E130" s="544"/>
      <c r="F130" s="544"/>
      <c r="G130" s="544"/>
      <c r="H130" s="544"/>
      <c r="I130" s="316"/>
      <c r="J130" s="518"/>
      <c r="K130" s="518"/>
      <c r="L130" s="518"/>
      <c r="M130" s="317"/>
      <c r="N130" s="313">
        <f t="shared" si="1"/>
        <v>0</v>
      </c>
    </row>
    <row r="131" spans="3:16" ht="15" customHeight="1" x14ac:dyDescent="0.35">
      <c r="C131" s="543" t="s">
        <v>4421</v>
      </c>
      <c r="D131" s="319" t="s">
        <v>3401</v>
      </c>
      <c r="E131" s="544">
        <v>16372.58</v>
      </c>
      <c r="F131" s="544">
        <v>0</v>
      </c>
      <c r="G131" s="544">
        <v>7447.58</v>
      </c>
      <c r="H131" s="544">
        <v>8925</v>
      </c>
      <c r="I131" s="312">
        <v>16372.58</v>
      </c>
      <c r="J131" s="517">
        <v>0</v>
      </c>
      <c r="K131" s="517">
        <v>7447.58</v>
      </c>
      <c r="L131" s="517">
        <v>8925</v>
      </c>
      <c r="M131" s="313">
        <v>8925</v>
      </c>
      <c r="N131" s="313">
        <f t="shared" si="1"/>
        <v>0</v>
      </c>
      <c r="O131" s="529" t="s">
        <v>3363</v>
      </c>
      <c r="P131" s="291">
        <v>8</v>
      </c>
    </row>
    <row r="132" spans="3:16" ht="15" customHeight="1" x14ac:dyDescent="0.3">
      <c r="C132" s="543" t="s">
        <v>4422</v>
      </c>
      <c r="D132" s="319" t="s">
        <v>3402</v>
      </c>
      <c r="E132" s="544">
        <v>16372.58</v>
      </c>
      <c r="F132" s="544">
        <v>0</v>
      </c>
      <c r="G132" s="544">
        <v>7447.58</v>
      </c>
      <c r="H132" s="544">
        <v>8925</v>
      </c>
      <c r="I132" s="312">
        <v>16372.58</v>
      </c>
      <c r="J132" s="517">
        <v>0</v>
      </c>
      <c r="K132" s="517">
        <v>7447.58</v>
      </c>
      <c r="L132" s="517">
        <v>8925</v>
      </c>
      <c r="M132" s="313">
        <v>8925</v>
      </c>
      <c r="N132" s="313">
        <f t="shared" si="1"/>
        <v>0</v>
      </c>
    </row>
    <row r="133" spans="3:16" ht="15" customHeight="1" x14ac:dyDescent="0.3">
      <c r="C133" s="545" t="s">
        <v>4423</v>
      </c>
      <c r="D133" s="320" t="s">
        <v>555</v>
      </c>
      <c r="E133" s="544">
        <v>10875</v>
      </c>
      <c r="F133" s="544">
        <v>0</v>
      </c>
      <c r="G133" s="544">
        <v>1950</v>
      </c>
      <c r="H133" s="544">
        <v>8925</v>
      </c>
      <c r="I133" s="316">
        <v>10875</v>
      </c>
      <c r="J133" s="518">
        <v>0</v>
      </c>
      <c r="K133" s="518">
        <v>1950</v>
      </c>
      <c r="L133" s="518">
        <v>8925</v>
      </c>
      <c r="M133" s="317">
        <v>8925</v>
      </c>
      <c r="N133" s="313">
        <f t="shared" si="1"/>
        <v>0</v>
      </c>
    </row>
    <row r="134" spans="3:16" ht="15" customHeight="1" x14ac:dyDescent="0.3">
      <c r="C134" s="545" t="s">
        <v>4424</v>
      </c>
      <c r="D134" s="320" t="s">
        <v>3403</v>
      </c>
      <c r="E134" s="544">
        <v>5497.58</v>
      </c>
      <c r="F134" s="544">
        <v>0</v>
      </c>
      <c r="G134" s="544">
        <v>5497.58</v>
      </c>
      <c r="H134" s="544">
        <v>0</v>
      </c>
      <c r="I134" s="316">
        <v>5497.58</v>
      </c>
      <c r="J134" s="518">
        <v>0</v>
      </c>
      <c r="K134" s="518">
        <v>5497.58</v>
      </c>
      <c r="L134" s="518">
        <v>0</v>
      </c>
      <c r="M134" s="317">
        <v>0</v>
      </c>
      <c r="N134" s="313">
        <f t="shared" si="1"/>
        <v>0</v>
      </c>
    </row>
    <row r="135" spans="3:16" ht="15" customHeight="1" x14ac:dyDescent="0.35">
      <c r="C135" s="543" t="s">
        <v>4425</v>
      </c>
      <c r="D135" s="319" t="s">
        <v>3404</v>
      </c>
      <c r="E135" s="544">
        <v>349578.28</v>
      </c>
      <c r="F135" s="544">
        <v>13619.48</v>
      </c>
      <c r="G135" s="544">
        <v>0</v>
      </c>
      <c r="H135" s="544">
        <v>363197.76</v>
      </c>
      <c r="I135" s="312">
        <v>349578.28</v>
      </c>
      <c r="J135" s="517">
        <v>13619.48</v>
      </c>
      <c r="K135" s="517">
        <v>0</v>
      </c>
      <c r="L135" s="517">
        <v>363197.76</v>
      </c>
      <c r="M135" s="313">
        <v>363197.76</v>
      </c>
      <c r="N135" s="313">
        <f t="shared" si="1"/>
        <v>0</v>
      </c>
      <c r="O135" s="529"/>
      <c r="P135" s="291"/>
    </row>
    <row r="136" spans="3:16" ht="15" customHeight="1" x14ac:dyDescent="0.35">
      <c r="C136" s="543" t="s">
        <v>4426</v>
      </c>
      <c r="D136" s="319" t="s">
        <v>560</v>
      </c>
      <c r="E136" s="544">
        <v>349578.28</v>
      </c>
      <c r="F136" s="544">
        <v>13619.48</v>
      </c>
      <c r="G136" s="544">
        <v>0</v>
      </c>
      <c r="H136" s="544">
        <v>363197.76</v>
      </c>
      <c r="I136" s="312">
        <v>349578.28</v>
      </c>
      <c r="J136" s="517">
        <v>13619.48</v>
      </c>
      <c r="K136" s="517">
        <v>0</v>
      </c>
      <c r="L136" s="517">
        <v>363197.76</v>
      </c>
      <c r="M136" s="313">
        <v>363197.76</v>
      </c>
      <c r="N136" s="313">
        <f t="shared" si="1"/>
        <v>0</v>
      </c>
      <c r="O136" s="529" t="s">
        <v>3363</v>
      </c>
      <c r="P136" s="291">
        <v>8</v>
      </c>
    </row>
    <row r="137" spans="3:16" ht="15" customHeight="1" x14ac:dyDescent="0.3">
      <c r="C137" s="545" t="s">
        <v>4427</v>
      </c>
      <c r="D137" s="320" t="s">
        <v>3405</v>
      </c>
      <c r="E137" s="544">
        <v>364995.54</v>
      </c>
      <c r="F137" s="544">
        <v>0</v>
      </c>
      <c r="G137" s="544">
        <v>0</v>
      </c>
      <c r="H137" s="544">
        <v>364995.54</v>
      </c>
      <c r="I137" s="316">
        <v>364995.54</v>
      </c>
      <c r="J137" s="518">
        <v>0</v>
      </c>
      <c r="K137" s="518">
        <v>0</v>
      </c>
      <c r="L137" s="518">
        <v>364995.54</v>
      </c>
      <c r="M137" s="317">
        <v>364995.54</v>
      </c>
      <c r="N137" s="313">
        <f t="shared" si="1"/>
        <v>0</v>
      </c>
    </row>
    <row r="138" spans="3:16" ht="15" customHeight="1" x14ac:dyDescent="0.3">
      <c r="C138" s="545" t="s">
        <v>4428</v>
      </c>
      <c r="D138" s="320" t="s">
        <v>3406</v>
      </c>
      <c r="E138" s="544">
        <v>-15417.26</v>
      </c>
      <c r="F138" s="544">
        <v>13619.48</v>
      </c>
      <c r="G138" s="544">
        <v>0</v>
      </c>
      <c r="H138" s="544">
        <v>-1797.78</v>
      </c>
      <c r="I138" s="316">
        <v>-15417.26</v>
      </c>
      <c r="J138" s="518">
        <v>13619.48</v>
      </c>
      <c r="K138" s="518">
        <v>0</v>
      </c>
      <c r="L138" s="518">
        <v>-1797.78</v>
      </c>
      <c r="M138" s="317">
        <v>-1797.78</v>
      </c>
      <c r="N138" s="313">
        <f t="shared" si="1"/>
        <v>0</v>
      </c>
    </row>
    <row r="139" spans="3:16" ht="15" customHeight="1" x14ac:dyDescent="0.35">
      <c r="C139" s="543" t="s">
        <v>4429</v>
      </c>
      <c r="D139" s="319" t="s">
        <v>3407</v>
      </c>
      <c r="E139" s="544">
        <v>9891466.0500000007</v>
      </c>
      <c r="F139" s="544">
        <v>3190445.69</v>
      </c>
      <c r="G139" s="544">
        <v>8719777.2200000007</v>
      </c>
      <c r="H139" s="544">
        <v>4362134.5199999996</v>
      </c>
      <c r="I139" s="312">
        <v>9891466.0500000007</v>
      </c>
      <c r="J139" s="517">
        <v>3190445.69</v>
      </c>
      <c r="K139" s="517">
        <v>8719777.2200000007</v>
      </c>
      <c r="L139" s="517">
        <v>4362134.5199999996</v>
      </c>
      <c r="M139" s="313">
        <v>4362134.5199999996</v>
      </c>
      <c r="N139" s="313">
        <f t="shared" si="1"/>
        <v>0</v>
      </c>
      <c r="O139" s="529" t="s">
        <v>3363</v>
      </c>
      <c r="P139" s="291">
        <v>8</v>
      </c>
    </row>
    <row r="140" spans="3:16" ht="15" customHeight="1" x14ac:dyDescent="0.3">
      <c r="C140" s="543" t="s">
        <v>4430</v>
      </c>
      <c r="D140" s="319" t="s">
        <v>3408</v>
      </c>
      <c r="E140" s="544">
        <v>9891466.0500000007</v>
      </c>
      <c r="F140" s="544">
        <v>3190445.69</v>
      </c>
      <c r="G140" s="544">
        <v>8719777.2200000007</v>
      </c>
      <c r="H140" s="544">
        <v>4362134.5199999996</v>
      </c>
      <c r="I140" s="312">
        <v>9891466.0500000007</v>
      </c>
      <c r="J140" s="517">
        <v>3190445.69</v>
      </c>
      <c r="K140" s="517">
        <v>8719777.2200000007</v>
      </c>
      <c r="L140" s="517">
        <v>4362134.5199999996</v>
      </c>
      <c r="M140" s="313">
        <v>4362134.5199999996</v>
      </c>
      <c r="N140" s="313">
        <f t="shared" si="1"/>
        <v>0</v>
      </c>
    </row>
    <row r="141" spans="3:16" ht="15" customHeight="1" x14ac:dyDescent="0.3">
      <c r="C141" s="545" t="s">
        <v>4431</v>
      </c>
      <c r="D141" s="320" t="s">
        <v>3409</v>
      </c>
      <c r="E141" s="544">
        <v>15037.61</v>
      </c>
      <c r="F141" s="544">
        <v>997.48</v>
      </c>
      <c r="G141" s="544">
        <v>1084.6400000000001</v>
      </c>
      <c r="H141" s="544">
        <v>14950.45</v>
      </c>
      <c r="I141" s="316">
        <v>15037.61</v>
      </c>
      <c r="J141" s="518">
        <v>997.48</v>
      </c>
      <c r="K141" s="518">
        <v>1084.6400000000001</v>
      </c>
      <c r="L141" s="518">
        <v>14950.45</v>
      </c>
      <c r="M141" s="317">
        <v>14950.45</v>
      </c>
      <c r="N141" s="313">
        <f t="shared" ref="N141:N204" si="2">L141-M141</f>
        <v>0</v>
      </c>
    </row>
    <row r="142" spans="3:16" ht="15" customHeight="1" x14ac:dyDescent="0.3">
      <c r="C142" s="545" t="s">
        <v>4432</v>
      </c>
      <c r="D142" s="320" t="s">
        <v>3410</v>
      </c>
      <c r="E142" s="544">
        <v>8083.82</v>
      </c>
      <c r="F142" s="544">
        <v>1315.08</v>
      </c>
      <c r="G142" s="544">
        <v>6745.04</v>
      </c>
      <c r="H142" s="544">
        <v>2653.86</v>
      </c>
      <c r="I142" s="316">
        <v>8083.82</v>
      </c>
      <c r="J142" s="518">
        <v>1315.08</v>
      </c>
      <c r="K142" s="518">
        <v>6745.04</v>
      </c>
      <c r="L142" s="518">
        <v>2653.86</v>
      </c>
      <c r="M142" s="317">
        <v>2653.86</v>
      </c>
      <c r="N142" s="313">
        <f t="shared" si="2"/>
        <v>0</v>
      </c>
    </row>
    <row r="143" spans="3:16" ht="15" customHeight="1" x14ac:dyDescent="0.3">
      <c r="C143" s="545" t="s">
        <v>4433</v>
      </c>
      <c r="D143" s="320" t="s">
        <v>3411</v>
      </c>
      <c r="E143" s="544">
        <v>329.84</v>
      </c>
      <c r="F143" s="544">
        <v>0</v>
      </c>
      <c r="G143" s="544">
        <v>1.68</v>
      </c>
      <c r="H143" s="544">
        <v>328.16</v>
      </c>
      <c r="I143" s="316">
        <v>329.84</v>
      </c>
      <c r="J143" s="518">
        <v>0</v>
      </c>
      <c r="K143" s="518">
        <v>1.68</v>
      </c>
      <c r="L143" s="518">
        <v>328.16</v>
      </c>
      <c r="M143" s="317">
        <v>328.16</v>
      </c>
      <c r="N143" s="313">
        <f t="shared" si="2"/>
        <v>0</v>
      </c>
    </row>
    <row r="144" spans="3:16" ht="15" customHeight="1" x14ac:dyDescent="0.3">
      <c r="C144" s="545" t="s">
        <v>4434</v>
      </c>
      <c r="D144" s="320" t="s">
        <v>3412</v>
      </c>
      <c r="E144" s="544">
        <v>384752.36</v>
      </c>
      <c r="F144" s="544">
        <v>12431.05</v>
      </c>
      <c r="G144" s="544">
        <v>277112.55</v>
      </c>
      <c r="H144" s="544">
        <v>120070.86</v>
      </c>
      <c r="I144" s="316">
        <v>384752.36</v>
      </c>
      <c r="J144" s="518">
        <v>12431.05</v>
      </c>
      <c r="K144" s="518">
        <v>277112.55</v>
      </c>
      <c r="L144" s="518">
        <v>120070.86</v>
      </c>
      <c r="M144" s="317">
        <v>120070.86</v>
      </c>
      <c r="N144" s="313">
        <f t="shared" si="2"/>
        <v>0</v>
      </c>
    </row>
    <row r="145" spans="3:16" ht="15" customHeight="1" x14ac:dyDescent="0.3">
      <c r="C145" s="545" t="s">
        <v>4435</v>
      </c>
      <c r="D145" s="320" t="s">
        <v>3413</v>
      </c>
      <c r="E145" s="544">
        <v>3090189.11</v>
      </c>
      <c r="F145" s="544">
        <v>2819807.25</v>
      </c>
      <c r="G145" s="544">
        <v>3462638.72</v>
      </c>
      <c r="H145" s="544">
        <v>2447357.64</v>
      </c>
      <c r="I145" s="316">
        <v>3090189.11</v>
      </c>
      <c r="J145" s="518">
        <v>2819807.25</v>
      </c>
      <c r="K145" s="518">
        <v>3462638.72</v>
      </c>
      <c r="L145" s="518">
        <v>2447357.64</v>
      </c>
      <c r="M145" s="317">
        <v>2447357.64</v>
      </c>
      <c r="N145" s="313">
        <f t="shared" si="2"/>
        <v>0</v>
      </c>
    </row>
    <row r="146" spans="3:16" ht="15" customHeight="1" x14ac:dyDescent="0.3">
      <c r="C146" s="545" t="s">
        <v>4436</v>
      </c>
      <c r="D146" s="320" t="s">
        <v>3414</v>
      </c>
      <c r="E146" s="544">
        <v>1870632</v>
      </c>
      <c r="F146" s="544">
        <v>147322.1</v>
      </c>
      <c r="G146" s="544">
        <v>205066.1</v>
      </c>
      <c r="H146" s="544">
        <v>1812888</v>
      </c>
      <c r="I146" s="316">
        <v>1870632</v>
      </c>
      <c r="J146" s="518">
        <v>147322.1</v>
      </c>
      <c r="K146" s="518">
        <v>205066.1</v>
      </c>
      <c r="L146" s="518">
        <v>1812888</v>
      </c>
      <c r="M146" s="317">
        <v>1812888</v>
      </c>
      <c r="N146" s="313">
        <f t="shared" si="2"/>
        <v>0</v>
      </c>
    </row>
    <row r="147" spans="3:16" ht="15" customHeight="1" x14ac:dyDescent="0.3">
      <c r="C147" s="545" t="s">
        <v>4437</v>
      </c>
      <c r="D147" s="320" t="s">
        <v>3415</v>
      </c>
      <c r="E147" s="544">
        <v>4522441.3099999996</v>
      </c>
      <c r="F147" s="544">
        <v>208572.73</v>
      </c>
      <c r="G147" s="544">
        <v>3015252.25</v>
      </c>
      <c r="H147" s="544">
        <v>1715761.79</v>
      </c>
      <c r="I147" s="316">
        <v>4522441.3099999996</v>
      </c>
      <c r="J147" s="518">
        <v>208572.73</v>
      </c>
      <c r="K147" s="518">
        <v>3015252.25</v>
      </c>
      <c r="L147" s="518">
        <v>1715761.79</v>
      </c>
      <c r="M147" s="317">
        <v>1715761.79</v>
      </c>
      <c r="N147" s="313">
        <f t="shared" si="2"/>
        <v>0</v>
      </c>
    </row>
    <row r="148" spans="3:16" ht="15" customHeight="1" x14ac:dyDescent="0.3">
      <c r="C148" s="545" t="s">
        <v>4438</v>
      </c>
      <c r="D148" s="320" t="s">
        <v>3416</v>
      </c>
      <c r="E148" s="544">
        <v>0</v>
      </c>
      <c r="F148" s="544">
        <v>0</v>
      </c>
      <c r="G148" s="544">
        <v>1751876.24</v>
      </c>
      <c r="H148" s="544">
        <v>-1751876.24</v>
      </c>
      <c r="I148" s="316">
        <v>0</v>
      </c>
      <c r="J148" s="518">
        <v>0</v>
      </c>
      <c r="K148" s="518">
        <v>1751876.24</v>
      </c>
      <c r="L148" s="518">
        <v>-1751876.24</v>
      </c>
      <c r="M148" s="317">
        <v>-1751876.24</v>
      </c>
      <c r="N148" s="313">
        <f t="shared" si="2"/>
        <v>0</v>
      </c>
    </row>
    <row r="149" spans="3:16" ht="15" customHeight="1" x14ac:dyDescent="0.3">
      <c r="C149" s="543" t="s">
        <v>4439</v>
      </c>
      <c r="D149" s="319" t="s">
        <v>3417</v>
      </c>
      <c r="E149" s="544">
        <v>0</v>
      </c>
      <c r="F149" s="544">
        <v>5550</v>
      </c>
      <c r="G149" s="544">
        <v>5550</v>
      </c>
      <c r="H149" s="544">
        <v>0</v>
      </c>
      <c r="I149" s="312">
        <v>0</v>
      </c>
      <c r="J149" s="517">
        <v>5550</v>
      </c>
      <c r="K149" s="517">
        <v>5550</v>
      </c>
      <c r="L149" s="517">
        <v>0</v>
      </c>
      <c r="M149" s="313">
        <v>0</v>
      </c>
      <c r="N149" s="313">
        <f t="shared" si="2"/>
        <v>0</v>
      </c>
    </row>
    <row r="150" spans="3:16" ht="15" customHeight="1" x14ac:dyDescent="0.3">
      <c r="C150" s="543" t="s">
        <v>4440</v>
      </c>
      <c r="D150" s="319" t="s">
        <v>3418</v>
      </c>
      <c r="E150" s="544">
        <v>0</v>
      </c>
      <c r="F150" s="544">
        <v>5550</v>
      </c>
      <c r="G150" s="544">
        <v>5550</v>
      </c>
      <c r="H150" s="544">
        <v>0</v>
      </c>
      <c r="I150" s="312">
        <v>0</v>
      </c>
      <c r="J150" s="517">
        <v>5550</v>
      </c>
      <c r="K150" s="517">
        <v>5550</v>
      </c>
      <c r="L150" s="517">
        <v>0</v>
      </c>
      <c r="M150" s="313">
        <v>0</v>
      </c>
      <c r="N150" s="313">
        <f t="shared" si="2"/>
        <v>0</v>
      </c>
    </row>
    <row r="151" spans="3:16" ht="15" customHeight="1" x14ac:dyDescent="0.3">
      <c r="C151" s="545" t="s">
        <v>4441</v>
      </c>
      <c r="D151" s="320" t="s">
        <v>3419</v>
      </c>
      <c r="E151" s="544">
        <v>0</v>
      </c>
      <c r="F151" s="544">
        <v>5550</v>
      </c>
      <c r="G151" s="544">
        <v>5550</v>
      </c>
      <c r="H151" s="544">
        <v>0</v>
      </c>
      <c r="I151" s="316">
        <v>0</v>
      </c>
      <c r="J151" s="518">
        <v>5550</v>
      </c>
      <c r="K151" s="518">
        <v>5550</v>
      </c>
      <c r="L151" s="518">
        <v>0</v>
      </c>
      <c r="M151" s="317">
        <v>0</v>
      </c>
      <c r="N151" s="313">
        <f t="shared" si="2"/>
        <v>0</v>
      </c>
    </row>
    <row r="152" spans="3:16" ht="15" customHeight="1" x14ac:dyDescent="0.3">
      <c r="C152" s="543" t="s">
        <v>4442</v>
      </c>
      <c r="D152" s="319" t="s">
        <v>3420</v>
      </c>
      <c r="E152" s="544">
        <v>1465155.6</v>
      </c>
      <c r="F152" s="544">
        <v>98265.79</v>
      </c>
      <c r="G152" s="544">
        <v>1457306.28</v>
      </c>
      <c r="H152" s="544">
        <v>106115.11</v>
      </c>
      <c r="I152" s="312">
        <v>1465155.6</v>
      </c>
      <c r="J152" s="517">
        <v>98265.79</v>
      </c>
      <c r="K152" s="517">
        <v>1457306.28</v>
      </c>
      <c r="L152" s="517">
        <v>106115.11</v>
      </c>
      <c r="M152" s="313">
        <f>M153</f>
        <v>158508.94</v>
      </c>
      <c r="N152" s="313">
        <f t="shared" si="2"/>
        <v>-52393.83</v>
      </c>
      <c r="O152" s="529" t="s">
        <v>3363</v>
      </c>
      <c r="P152" s="302">
        <v>8</v>
      </c>
    </row>
    <row r="153" spans="3:16" ht="15" customHeight="1" x14ac:dyDescent="0.3">
      <c r="C153" s="543" t="s">
        <v>4443</v>
      </c>
      <c r="D153" s="319" t="s">
        <v>3421</v>
      </c>
      <c r="E153" s="544">
        <v>1465155.6</v>
      </c>
      <c r="F153" s="544">
        <v>98265.79</v>
      </c>
      <c r="G153" s="544">
        <v>1457306.28</v>
      </c>
      <c r="H153" s="544">
        <v>106115.11</v>
      </c>
      <c r="I153" s="312">
        <v>1465155.6</v>
      </c>
      <c r="J153" s="517">
        <v>98265.79</v>
      </c>
      <c r="K153" s="517">
        <v>1457306.28</v>
      </c>
      <c r="L153" s="517">
        <v>106115.11</v>
      </c>
      <c r="M153" s="313">
        <f>M154</f>
        <v>158508.94</v>
      </c>
      <c r="N153" s="313">
        <f t="shared" si="2"/>
        <v>-52393.83</v>
      </c>
    </row>
    <row r="154" spans="3:16" ht="15" customHeight="1" x14ac:dyDescent="0.3">
      <c r="C154" s="545" t="s">
        <v>4444</v>
      </c>
      <c r="D154" s="320" t="s">
        <v>578</v>
      </c>
      <c r="E154" s="544">
        <v>97115.13</v>
      </c>
      <c r="F154" s="544">
        <v>98265.79</v>
      </c>
      <c r="G154" s="544">
        <v>89265.81</v>
      </c>
      <c r="H154" s="544">
        <v>106115.11</v>
      </c>
      <c r="I154" s="316">
        <v>97115.13</v>
      </c>
      <c r="J154" s="518">
        <v>98265.79</v>
      </c>
      <c r="K154" s="518">
        <v>89265.81</v>
      </c>
      <c r="L154" s="518">
        <v>106115.11</v>
      </c>
      <c r="M154" s="554">
        <f>L154+J155</f>
        <v>158508.94</v>
      </c>
      <c r="N154" s="313">
        <f t="shared" si="2"/>
        <v>-52393.83</v>
      </c>
    </row>
    <row r="155" spans="3:16" ht="15" customHeight="1" x14ac:dyDescent="0.3">
      <c r="C155" s="545"/>
      <c r="D155" s="320"/>
      <c r="E155" s="544"/>
      <c r="F155" s="544"/>
      <c r="G155" s="544"/>
      <c r="H155" s="544"/>
      <c r="I155" s="589">
        <v>45535</v>
      </c>
      <c r="J155" s="557">
        <v>52393.83</v>
      </c>
      <c r="K155" s="518"/>
      <c r="L155" s="518"/>
      <c r="M155" s="317"/>
      <c r="N155" s="313">
        <f t="shared" si="2"/>
        <v>0</v>
      </c>
    </row>
    <row r="156" spans="3:16" ht="15" customHeight="1" x14ac:dyDescent="0.3">
      <c r="C156" s="545" t="s">
        <v>4445</v>
      </c>
      <c r="D156" s="320" t="s">
        <v>582</v>
      </c>
      <c r="E156" s="544">
        <v>1368040.47</v>
      </c>
      <c r="F156" s="544">
        <v>0</v>
      </c>
      <c r="G156" s="544">
        <v>1368040.47</v>
      </c>
      <c r="H156" s="544">
        <v>0</v>
      </c>
      <c r="I156" s="316">
        <v>1368040.47</v>
      </c>
      <c r="J156" s="518">
        <v>0</v>
      </c>
      <c r="K156" s="518">
        <v>1368040.47</v>
      </c>
      <c r="L156" s="518">
        <v>0</v>
      </c>
      <c r="M156" s="317">
        <v>0</v>
      </c>
      <c r="N156" s="313">
        <f t="shared" si="2"/>
        <v>0</v>
      </c>
    </row>
    <row r="157" spans="3:16" ht="15" customHeight="1" x14ac:dyDescent="0.3">
      <c r="C157" s="543" t="s">
        <v>4446</v>
      </c>
      <c r="D157" s="319" t="s">
        <v>3422</v>
      </c>
      <c r="E157" s="544">
        <v>0</v>
      </c>
      <c r="F157" s="544">
        <v>1368040.47</v>
      </c>
      <c r="G157" s="544">
        <v>22.47</v>
      </c>
      <c r="H157" s="544">
        <v>1368018</v>
      </c>
      <c r="I157" s="312">
        <v>0</v>
      </c>
      <c r="J157" s="517">
        <v>1368040.47</v>
      </c>
      <c r="K157" s="517">
        <v>22.47</v>
      </c>
      <c r="L157" s="517">
        <v>1368018</v>
      </c>
      <c r="M157" s="313">
        <v>1368018</v>
      </c>
      <c r="N157" s="313">
        <f t="shared" si="2"/>
        <v>0</v>
      </c>
      <c r="O157" s="529" t="s">
        <v>3363</v>
      </c>
      <c r="P157" s="302">
        <v>8</v>
      </c>
    </row>
    <row r="158" spans="3:16" ht="15" customHeight="1" x14ac:dyDescent="0.3">
      <c r="C158" s="543" t="s">
        <v>4447</v>
      </c>
      <c r="D158" s="319" t="s">
        <v>3423</v>
      </c>
      <c r="E158" s="544">
        <v>0</v>
      </c>
      <c r="F158" s="544">
        <v>1368040.47</v>
      </c>
      <c r="G158" s="544">
        <v>22.47</v>
      </c>
      <c r="H158" s="544">
        <v>1368018</v>
      </c>
      <c r="I158" s="312">
        <v>0</v>
      </c>
      <c r="J158" s="517">
        <v>1368040.47</v>
      </c>
      <c r="K158" s="517">
        <v>22.47</v>
      </c>
      <c r="L158" s="517">
        <v>1368018</v>
      </c>
      <c r="M158" s="313">
        <v>1368018</v>
      </c>
      <c r="N158" s="313">
        <f t="shared" si="2"/>
        <v>0</v>
      </c>
    </row>
    <row r="159" spans="3:16" ht="15" customHeight="1" x14ac:dyDescent="0.3">
      <c r="C159" s="545" t="s">
        <v>4448</v>
      </c>
      <c r="D159" s="320" t="s">
        <v>3424</v>
      </c>
      <c r="E159" s="544">
        <v>0</v>
      </c>
      <c r="F159" s="544">
        <v>1368040.47</v>
      </c>
      <c r="G159" s="544">
        <v>22.47</v>
      </c>
      <c r="H159" s="544">
        <v>1368018</v>
      </c>
      <c r="I159" s="316">
        <v>0</v>
      </c>
      <c r="J159" s="518">
        <v>1368040.47</v>
      </c>
      <c r="K159" s="518">
        <v>22.47</v>
      </c>
      <c r="L159" s="518">
        <v>1368018</v>
      </c>
      <c r="M159" s="317">
        <v>1368018</v>
      </c>
      <c r="N159" s="313">
        <f t="shared" si="2"/>
        <v>0</v>
      </c>
    </row>
    <row r="160" spans="3:16" ht="15" customHeight="1" x14ac:dyDescent="0.35">
      <c r="C160" s="543" t="s">
        <v>4449</v>
      </c>
      <c r="D160" s="319" t="s">
        <v>3425</v>
      </c>
      <c r="E160" s="544">
        <v>3574860.45</v>
      </c>
      <c r="F160" s="544">
        <v>1191899.8899999999</v>
      </c>
      <c r="G160" s="544">
        <v>4522725.1399999997</v>
      </c>
      <c r="H160" s="544">
        <v>244035.20000000001</v>
      </c>
      <c r="I160" s="312">
        <v>3574860.45</v>
      </c>
      <c r="J160" s="517">
        <v>1191899.8899999999</v>
      </c>
      <c r="K160" s="517">
        <v>4522725.1399999997</v>
      </c>
      <c r="L160" s="517">
        <v>244035.20000000001</v>
      </c>
      <c r="M160" s="313">
        <v>244035.20000000001</v>
      </c>
      <c r="N160" s="313">
        <f t="shared" si="2"/>
        <v>0</v>
      </c>
      <c r="O160" s="529"/>
      <c r="P160" s="291"/>
    </row>
    <row r="161" spans="3:16" ht="15" customHeight="1" x14ac:dyDescent="0.35">
      <c r="C161" s="543" t="s">
        <v>4450</v>
      </c>
      <c r="D161" s="319" t="s">
        <v>3426</v>
      </c>
      <c r="E161" s="544">
        <v>3574860.45</v>
      </c>
      <c r="F161" s="544">
        <v>1191899.8899999999</v>
      </c>
      <c r="G161" s="544">
        <v>4522725.1399999997</v>
      </c>
      <c r="H161" s="544">
        <v>244035.20000000001</v>
      </c>
      <c r="I161" s="312">
        <v>3574860.45</v>
      </c>
      <c r="J161" s="517">
        <v>1191899.8899999999</v>
      </c>
      <c r="K161" s="517">
        <v>4522725.1399999997</v>
      </c>
      <c r="L161" s="517">
        <v>244035.20000000001</v>
      </c>
      <c r="M161" s="313">
        <v>244035.20000000001</v>
      </c>
      <c r="N161" s="313">
        <f t="shared" si="2"/>
        <v>0</v>
      </c>
      <c r="O161" s="529" t="s">
        <v>3363</v>
      </c>
      <c r="P161" s="291">
        <v>9</v>
      </c>
    </row>
    <row r="162" spans="3:16" ht="15" customHeight="1" x14ac:dyDescent="0.3">
      <c r="C162" s="545" t="s">
        <v>4451</v>
      </c>
      <c r="D162" s="320" t="s">
        <v>592</v>
      </c>
      <c r="E162" s="544">
        <v>3573981.13</v>
      </c>
      <c r="F162" s="544">
        <v>1188428.44</v>
      </c>
      <c r="G162" s="544">
        <v>4518374.37</v>
      </c>
      <c r="H162" s="544">
        <v>244035.20000000001</v>
      </c>
      <c r="I162" s="316">
        <v>3573981.13</v>
      </c>
      <c r="J162" s="518">
        <v>1188428.44</v>
      </c>
      <c r="K162" s="518">
        <v>4518374.37</v>
      </c>
      <c r="L162" s="518">
        <v>244035.20000000001</v>
      </c>
      <c r="M162" s="317">
        <v>244035.20000000001</v>
      </c>
      <c r="N162" s="313">
        <f t="shared" si="2"/>
        <v>0</v>
      </c>
    </row>
    <row r="163" spans="3:16" ht="15" customHeight="1" x14ac:dyDescent="0.3">
      <c r="C163" s="545" t="s">
        <v>4452</v>
      </c>
      <c r="D163" s="320" t="s">
        <v>3427</v>
      </c>
      <c r="E163" s="544">
        <v>879.32</v>
      </c>
      <c r="F163" s="544">
        <v>3471.45</v>
      </c>
      <c r="G163" s="544">
        <v>4350.7700000000004</v>
      </c>
      <c r="H163" s="544">
        <v>0</v>
      </c>
      <c r="I163" s="316">
        <v>879.32</v>
      </c>
      <c r="J163" s="518">
        <v>3471.45</v>
      </c>
      <c r="K163" s="518">
        <v>4350.7700000000004</v>
      </c>
      <c r="L163" s="518">
        <v>0</v>
      </c>
      <c r="M163" s="317">
        <v>0</v>
      </c>
      <c r="N163" s="313">
        <f t="shared" si="2"/>
        <v>0</v>
      </c>
    </row>
    <row r="164" spans="3:16" ht="15" customHeight="1" x14ac:dyDescent="0.3">
      <c r="C164" s="545"/>
      <c r="D164" s="320"/>
      <c r="E164" s="544"/>
      <c r="F164" s="544"/>
      <c r="G164" s="544"/>
      <c r="H164" s="544"/>
      <c r="I164" s="316"/>
      <c r="J164" s="518"/>
      <c r="K164" s="518"/>
      <c r="L164" s="518"/>
      <c r="M164" s="317"/>
      <c r="N164" s="313">
        <f t="shared" si="2"/>
        <v>0</v>
      </c>
    </row>
    <row r="165" spans="3:16" ht="15" customHeight="1" x14ac:dyDescent="0.3">
      <c r="C165" s="543" t="s">
        <v>4453</v>
      </c>
      <c r="D165" s="319" t="s">
        <v>3428</v>
      </c>
      <c r="E165" s="544">
        <v>35886327.490000002</v>
      </c>
      <c r="F165" s="544">
        <v>13100896.77</v>
      </c>
      <c r="G165" s="544">
        <v>12518439.720000001</v>
      </c>
      <c r="H165" s="544">
        <v>36468784.539999999</v>
      </c>
      <c r="I165" s="312">
        <v>35886327.490000002</v>
      </c>
      <c r="J165" s="517">
        <v>13100896.77</v>
      </c>
      <c r="K165" s="517">
        <v>12518439.720000001</v>
      </c>
      <c r="L165" s="517">
        <v>36468784.539999999</v>
      </c>
      <c r="M165" s="313">
        <f>M166+M180+M194+M197</f>
        <v>37835726.909999996</v>
      </c>
      <c r="N165" s="313">
        <f t="shared" si="2"/>
        <v>-1366942.3699999973</v>
      </c>
    </row>
    <row r="166" spans="3:16" ht="15" customHeight="1" x14ac:dyDescent="0.35">
      <c r="C166" s="543" t="s">
        <v>4454</v>
      </c>
      <c r="D166" s="319" t="s">
        <v>3429</v>
      </c>
      <c r="E166" s="544">
        <v>7496348.6299999999</v>
      </c>
      <c r="F166" s="544">
        <v>8822699.0500000007</v>
      </c>
      <c r="G166" s="544">
        <v>6522274.2199999997</v>
      </c>
      <c r="H166" s="544">
        <v>9796773.4600000009</v>
      </c>
      <c r="I166" s="312">
        <v>7496348.6299999999</v>
      </c>
      <c r="J166" s="517">
        <v>8822699.0500000007</v>
      </c>
      <c r="K166" s="517">
        <v>6522274.2199999997</v>
      </c>
      <c r="L166" s="517">
        <v>9796773.4600000009</v>
      </c>
      <c r="M166" s="313">
        <f>M167+M177</f>
        <v>9787807.6600000001</v>
      </c>
      <c r="N166" s="313">
        <f t="shared" si="2"/>
        <v>8965.8000000007451</v>
      </c>
      <c r="O166" s="529" t="s">
        <v>3363</v>
      </c>
      <c r="P166" s="291">
        <v>10</v>
      </c>
    </row>
    <row r="167" spans="3:16" ht="15" customHeight="1" x14ac:dyDescent="0.3">
      <c r="C167" s="543" t="s">
        <v>4455</v>
      </c>
      <c r="D167" s="319" t="s">
        <v>602</v>
      </c>
      <c r="E167" s="544">
        <v>8468.24</v>
      </c>
      <c r="F167" s="544">
        <v>583957.26</v>
      </c>
      <c r="G167" s="544">
        <v>0</v>
      </c>
      <c r="H167" s="544">
        <v>592425.5</v>
      </c>
      <c r="I167" s="312">
        <v>8468.24</v>
      </c>
      <c r="J167" s="517">
        <v>583957.26</v>
      </c>
      <c r="K167" s="517">
        <v>0</v>
      </c>
      <c r="L167" s="517">
        <v>592425.5</v>
      </c>
      <c r="M167" s="313">
        <f>SUM(M168:M176)</f>
        <v>583459.69999999995</v>
      </c>
      <c r="N167" s="313">
        <f t="shared" si="2"/>
        <v>8965.8000000000466</v>
      </c>
    </row>
    <row r="168" spans="3:16" ht="15" customHeight="1" x14ac:dyDescent="0.3">
      <c r="C168" s="545" t="s">
        <v>4456</v>
      </c>
      <c r="D168" s="320" t="s">
        <v>3430</v>
      </c>
      <c r="E168" s="544">
        <v>530.16</v>
      </c>
      <c r="F168" s="544">
        <v>14744.64</v>
      </c>
      <c r="G168" s="544">
        <v>0</v>
      </c>
      <c r="H168" s="544">
        <v>15274.8</v>
      </c>
      <c r="I168" s="316">
        <v>530.16</v>
      </c>
      <c r="J168" s="518">
        <v>14744.64</v>
      </c>
      <c r="K168" s="518">
        <v>0</v>
      </c>
      <c r="L168" s="518">
        <v>15274.8</v>
      </c>
      <c r="M168" s="555">
        <f>L168-K169</f>
        <v>6309</v>
      </c>
      <c r="N168" s="313">
        <f t="shared" si="2"/>
        <v>8965.7999999999993</v>
      </c>
    </row>
    <row r="169" spans="3:16" ht="15" customHeight="1" x14ac:dyDescent="0.3">
      <c r="C169" s="545"/>
      <c r="D169" s="320"/>
      <c r="E169" s="544"/>
      <c r="F169" s="544"/>
      <c r="G169" s="544"/>
      <c r="H169" s="544"/>
      <c r="I169" s="316"/>
      <c r="J169" s="518"/>
      <c r="K169" s="557">
        <v>8965.7999999999993</v>
      </c>
      <c r="L169" s="595"/>
      <c r="M169" s="317"/>
      <c r="N169" s="313">
        <f t="shared" si="2"/>
        <v>0</v>
      </c>
    </row>
    <row r="170" spans="3:16" ht="15" customHeight="1" x14ac:dyDescent="0.3">
      <c r="C170" s="545" t="s">
        <v>4457</v>
      </c>
      <c r="D170" s="320" t="s">
        <v>3431</v>
      </c>
      <c r="E170" s="544">
        <v>4088.75</v>
      </c>
      <c r="F170" s="544">
        <v>0</v>
      </c>
      <c r="G170" s="544">
        <v>0</v>
      </c>
      <c r="H170" s="544">
        <v>4088.75</v>
      </c>
      <c r="I170" s="316">
        <v>4088.75</v>
      </c>
      <c r="J170" s="518">
        <v>0</v>
      </c>
      <c r="K170" s="518">
        <v>0</v>
      </c>
      <c r="L170" s="518">
        <v>4088.75</v>
      </c>
      <c r="M170" s="317">
        <v>4088.75</v>
      </c>
      <c r="N170" s="313">
        <f t="shared" si="2"/>
        <v>0</v>
      </c>
    </row>
    <row r="171" spans="3:16" ht="15" customHeight="1" x14ac:dyDescent="0.3">
      <c r="C171" s="545" t="s">
        <v>4458</v>
      </c>
      <c r="D171" s="320" t="s">
        <v>3432</v>
      </c>
      <c r="E171" s="544">
        <v>0</v>
      </c>
      <c r="F171" s="544">
        <v>2725.44</v>
      </c>
      <c r="G171" s="544">
        <v>0</v>
      </c>
      <c r="H171" s="544">
        <v>2725.44</v>
      </c>
      <c r="I171" s="316">
        <v>0</v>
      </c>
      <c r="J171" s="518">
        <v>2725.44</v>
      </c>
      <c r="K171" s="518">
        <v>0</v>
      </c>
      <c r="L171" s="518">
        <v>2725.44</v>
      </c>
      <c r="M171" s="317">
        <v>2725.44</v>
      </c>
      <c r="N171" s="313">
        <f t="shared" si="2"/>
        <v>0</v>
      </c>
    </row>
    <row r="172" spans="3:16" ht="15" customHeight="1" x14ac:dyDescent="0.3">
      <c r="C172" s="545" t="s">
        <v>4459</v>
      </c>
      <c r="D172" s="320" t="s">
        <v>3433</v>
      </c>
      <c r="E172" s="544">
        <v>62.89</v>
      </c>
      <c r="F172" s="544">
        <v>5014.07</v>
      </c>
      <c r="G172" s="544">
        <v>0</v>
      </c>
      <c r="H172" s="544">
        <v>5076.96</v>
      </c>
      <c r="I172" s="316">
        <v>62.89</v>
      </c>
      <c r="J172" s="518">
        <v>5014.07</v>
      </c>
      <c r="K172" s="518">
        <v>0</v>
      </c>
      <c r="L172" s="518">
        <v>5076.96</v>
      </c>
      <c r="M172" s="317">
        <v>5076.96</v>
      </c>
      <c r="N172" s="313">
        <f t="shared" si="2"/>
        <v>0</v>
      </c>
    </row>
    <row r="173" spans="3:16" ht="15" customHeight="1" x14ac:dyDescent="0.3">
      <c r="C173" s="545" t="s">
        <v>4460</v>
      </c>
      <c r="D173" s="320" t="s">
        <v>3434</v>
      </c>
      <c r="E173" s="544">
        <v>0</v>
      </c>
      <c r="F173" s="544">
        <v>552024</v>
      </c>
      <c r="G173" s="544">
        <v>0</v>
      </c>
      <c r="H173" s="544">
        <v>552024</v>
      </c>
      <c r="I173" s="316">
        <v>0</v>
      </c>
      <c r="J173" s="518">
        <v>552024</v>
      </c>
      <c r="K173" s="518">
        <v>0</v>
      </c>
      <c r="L173" s="518">
        <v>552024</v>
      </c>
      <c r="M173" s="317">
        <v>552024</v>
      </c>
      <c r="N173" s="313">
        <f t="shared" si="2"/>
        <v>0</v>
      </c>
    </row>
    <row r="174" spans="3:16" ht="15" customHeight="1" x14ac:dyDescent="0.3">
      <c r="C174" s="545" t="s">
        <v>4461</v>
      </c>
      <c r="D174" s="320" t="s">
        <v>3435</v>
      </c>
      <c r="E174" s="544">
        <v>2720</v>
      </c>
      <c r="F174" s="544">
        <v>0</v>
      </c>
      <c r="G174" s="544">
        <v>0</v>
      </c>
      <c r="H174" s="544">
        <v>2720</v>
      </c>
      <c r="I174" s="316">
        <v>2720</v>
      </c>
      <c r="J174" s="518">
        <v>0</v>
      </c>
      <c r="K174" s="518">
        <v>0</v>
      </c>
      <c r="L174" s="518">
        <v>2720</v>
      </c>
      <c r="M174" s="317">
        <v>2720</v>
      </c>
      <c r="N174" s="313">
        <f t="shared" si="2"/>
        <v>0</v>
      </c>
    </row>
    <row r="175" spans="3:16" ht="15" customHeight="1" x14ac:dyDescent="0.3">
      <c r="C175" s="545" t="s">
        <v>4951</v>
      </c>
      <c r="D175" s="320" t="s">
        <v>3847</v>
      </c>
      <c r="E175" s="544"/>
      <c r="F175" s="544"/>
      <c r="G175" s="544"/>
      <c r="H175" s="544"/>
      <c r="I175" s="316">
        <v>0</v>
      </c>
      <c r="J175" s="518">
        <v>9449.11</v>
      </c>
      <c r="K175" s="518">
        <v>0</v>
      </c>
      <c r="L175" s="518">
        <v>9449.11</v>
      </c>
      <c r="M175" s="317">
        <v>9449.11</v>
      </c>
      <c r="N175" s="313">
        <f t="shared" si="2"/>
        <v>0</v>
      </c>
    </row>
    <row r="176" spans="3:16" ht="15" customHeight="1" x14ac:dyDescent="0.3">
      <c r="C176" s="545" t="s">
        <v>4462</v>
      </c>
      <c r="D176" s="320" t="s">
        <v>3436</v>
      </c>
      <c r="E176" s="544">
        <v>1066.44</v>
      </c>
      <c r="F176" s="544">
        <v>0</v>
      </c>
      <c r="G176" s="544">
        <v>0</v>
      </c>
      <c r="H176" s="544">
        <v>1066.44</v>
      </c>
      <c r="I176" s="316">
        <v>1066.44</v>
      </c>
      <c r="J176" s="518">
        <v>0</v>
      </c>
      <c r="K176" s="518">
        <v>0</v>
      </c>
      <c r="L176" s="518">
        <v>1066.44</v>
      </c>
      <c r="M176" s="317">
        <v>1066.44</v>
      </c>
      <c r="N176" s="313">
        <f t="shared" si="2"/>
        <v>0</v>
      </c>
    </row>
    <row r="177" spans="3:16" ht="15" customHeight="1" x14ac:dyDescent="0.3">
      <c r="C177" s="543" t="s">
        <v>4463</v>
      </c>
      <c r="D177" s="319" t="s">
        <v>3437</v>
      </c>
      <c r="E177" s="544">
        <v>7487880.3899999997</v>
      </c>
      <c r="F177" s="544">
        <v>8238741.79</v>
      </c>
      <c r="G177" s="544">
        <v>6522274.2199999997</v>
      </c>
      <c r="H177" s="544">
        <v>9204347.9600000009</v>
      </c>
      <c r="I177" s="312">
        <v>7487880.3899999997</v>
      </c>
      <c r="J177" s="517">
        <v>8238741.79</v>
      </c>
      <c r="K177" s="517">
        <v>6522274.2199999997</v>
      </c>
      <c r="L177" s="517">
        <v>9204347.9600000009</v>
      </c>
      <c r="M177" s="313">
        <v>9204347.9600000009</v>
      </c>
      <c r="N177" s="313">
        <f t="shared" si="2"/>
        <v>0</v>
      </c>
      <c r="O177" s="546"/>
    </row>
    <row r="178" spans="3:16" ht="15" customHeight="1" x14ac:dyDescent="0.3">
      <c r="C178" s="545" t="s">
        <v>4464</v>
      </c>
      <c r="D178" s="320" t="s">
        <v>616</v>
      </c>
      <c r="E178" s="544">
        <v>5436758.8700000001</v>
      </c>
      <c r="F178" s="544">
        <v>447.58</v>
      </c>
      <c r="G178" s="544">
        <v>5437206.4500000002</v>
      </c>
      <c r="H178" s="544">
        <v>0</v>
      </c>
      <c r="I178" s="316">
        <v>5436758.8700000001</v>
      </c>
      <c r="J178" s="518">
        <v>447.58</v>
      </c>
      <c r="K178" s="518">
        <v>5437206.4500000002</v>
      </c>
      <c r="L178" s="518">
        <v>0</v>
      </c>
      <c r="M178" s="317">
        <v>0</v>
      </c>
      <c r="N178" s="313">
        <f t="shared" si="2"/>
        <v>0</v>
      </c>
    </row>
    <row r="179" spans="3:16" ht="15" customHeight="1" x14ac:dyDescent="0.3">
      <c r="C179" s="545" t="s">
        <v>4465</v>
      </c>
      <c r="D179" s="320" t="s">
        <v>620</v>
      </c>
      <c r="E179" s="544">
        <v>2051121.52</v>
      </c>
      <c r="F179" s="544">
        <v>8238294.21</v>
      </c>
      <c r="G179" s="544">
        <v>1085067.77</v>
      </c>
      <c r="H179" s="544">
        <v>9204347.9600000009</v>
      </c>
      <c r="I179" s="316">
        <v>2051121.52</v>
      </c>
      <c r="J179" s="518">
        <v>8238294.21</v>
      </c>
      <c r="K179" s="518">
        <v>1085067.77</v>
      </c>
      <c r="L179" s="518">
        <v>9204347.9600000009</v>
      </c>
      <c r="M179" s="317">
        <v>9204347.9600000009</v>
      </c>
      <c r="N179" s="313">
        <f t="shared" si="2"/>
        <v>0</v>
      </c>
    </row>
    <row r="180" spans="3:16" ht="15" customHeight="1" x14ac:dyDescent="0.35">
      <c r="C180" s="543" t="s">
        <v>4466</v>
      </c>
      <c r="D180" s="319" t="s">
        <v>3438</v>
      </c>
      <c r="E180" s="544">
        <v>48785.07</v>
      </c>
      <c r="F180" s="544">
        <v>0</v>
      </c>
      <c r="G180" s="544">
        <v>450.01</v>
      </c>
      <c r="H180" s="544">
        <v>48335.06</v>
      </c>
      <c r="I180" s="312">
        <v>48785.07</v>
      </c>
      <c r="J180" s="517">
        <v>0</v>
      </c>
      <c r="K180" s="517">
        <v>450.01</v>
      </c>
      <c r="L180" s="517">
        <v>48335.06</v>
      </c>
      <c r="M180" s="313">
        <v>0</v>
      </c>
      <c r="N180" s="313">
        <f t="shared" si="2"/>
        <v>48335.06</v>
      </c>
      <c r="O180" s="529" t="s">
        <v>3363</v>
      </c>
      <c r="P180" s="291" t="s">
        <v>627</v>
      </c>
    </row>
    <row r="181" spans="3:16" ht="15" customHeight="1" x14ac:dyDescent="0.3">
      <c r="C181" s="543" t="s">
        <v>4467</v>
      </c>
      <c r="D181" s="319" t="s">
        <v>3439</v>
      </c>
      <c r="E181" s="544">
        <v>450.01</v>
      </c>
      <c r="F181" s="544">
        <v>0</v>
      </c>
      <c r="G181" s="544">
        <v>450.01</v>
      </c>
      <c r="H181" s="544">
        <v>0</v>
      </c>
      <c r="I181" s="312">
        <v>450.01</v>
      </c>
      <c r="J181" s="517">
        <v>0</v>
      </c>
      <c r="K181" s="517">
        <v>450.01</v>
      </c>
      <c r="L181" s="517">
        <v>0</v>
      </c>
      <c r="M181" s="313">
        <v>0</v>
      </c>
      <c r="N181" s="313">
        <f t="shared" si="2"/>
        <v>0</v>
      </c>
    </row>
    <row r="182" spans="3:16" ht="15" customHeight="1" x14ac:dyDescent="0.3">
      <c r="C182" s="545" t="s">
        <v>4468</v>
      </c>
      <c r="D182" s="320" t="s">
        <v>635</v>
      </c>
      <c r="E182" s="544">
        <v>450.01</v>
      </c>
      <c r="F182" s="544">
        <v>0</v>
      </c>
      <c r="G182" s="544">
        <v>450.01</v>
      </c>
      <c r="H182" s="544">
        <v>0</v>
      </c>
      <c r="I182" s="316">
        <v>450.01</v>
      </c>
      <c r="J182" s="518">
        <v>0</v>
      </c>
      <c r="K182" s="518">
        <v>450.01</v>
      </c>
      <c r="L182" s="518">
        <v>0</v>
      </c>
      <c r="M182" s="317">
        <v>0</v>
      </c>
      <c r="N182" s="313">
        <f t="shared" si="2"/>
        <v>0</v>
      </c>
    </row>
    <row r="183" spans="3:16" ht="15" customHeight="1" x14ac:dyDescent="0.3">
      <c r="C183" s="543" t="s">
        <v>4469</v>
      </c>
      <c r="D183" s="319" t="s">
        <v>3440</v>
      </c>
      <c r="E183" s="544">
        <v>48335.06</v>
      </c>
      <c r="F183" s="544">
        <v>0</v>
      </c>
      <c r="G183" s="544">
        <v>0</v>
      </c>
      <c r="H183" s="544">
        <v>48335.06</v>
      </c>
      <c r="I183" s="312">
        <v>48335.06</v>
      </c>
      <c r="J183" s="517">
        <v>0</v>
      </c>
      <c r="K183" s="517">
        <v>0</v>
      </c>
      <c r="L183" s="517">
        <v>48335.06</v>
      </c>
      <c r="M183" s="313">
        <f>SUM(M184:M193)</f>
        <v>0</v>
      </c>
      <c r="N183" s="313">
        <f t="shared" si="2"/>
        <v>48335.06</v>
      </c>
    </row>
    <row r="184" spans="3:16" ht="15" customHeight="1" x14ac:dyDescent="0.3">
      <c r="C184" s="545" t="s">
        <v>4470</v>
      </c>
      <c r="D184" s="320" t="s">
        <v>654</v>
      </c>
      <c r="E184" s="544">
        <v>3864.04</v>
      </c>
      <c r="F184" s="544">
        <v>0</v>
      </c>
      <c r="G184" s="544">
        <v>0</v>
      </c>
      <c r="H184" s="544">
        <v>3864.04</v>
      </c>
      <c r="I184" s="316">
        <v>3864.04</v>
      </c>
      <c r="J184" s="518">
        <v>0</v>
      </c>
      <c r="K184" s="518">
        <v>0</v>
      </c>
      <c r="L184" s="518">
        <v>3864.04</v>
      </c>
      <c r="M184" s="554">
        <f>L184-K185</f>
        <v>0</v>
      </c>
      <c r="N184" s="313">
        <f t="shared" si="2"/>
        <v>3864.04</v>
      </c>
    </row>
    <row r="185" spans="3:16" ht="15" customHeight="1" x14ac:dyDescent="0.3">
      <c r="C185" s="545"/>
      <c r="D185" s="320"/>
      <c r="E185" s="544"/>
      <c r="F185" s="544"/>
      <c r="G185" s="544"/>
      <c r="H185" s="544"/>
      <c r="I185" s="316"/>
      <c r="J185" s="518"/>
      <c r="K185" s="557">
        <v>3864.04</v>
      </c>
      <c r="L185" s="595"/>
      <c r="M185" s="317"/>
      <c r="N185" s="313">
        <f t="shared" si="2"/>
        <v>0</v>
      </c>
    </row>
    <row r="186" spans="3:16" ht="15" customHeight="1" x14ac:dyDescent="0.3">
      <c r="C186" s="545" t="s">
        <v>4471</v>
      </c>
      <c r="D186" s="320" t="s">
        <v>657</v>
      </c>
      <c r="E186" s="544">
        <v>2355.9899999999998</v>
      </c>
      <c r="F186" s="544">
        <v>0</v>
      </c>
      <c r="G186" s="544">
        <v>0</v>
      </c>
      <c r="H186" s="544">
        <v>2355.9899999999998</v>
      </c>
      <c r="I186" s="316">
        <v>2355.9899999999998</v>
      </c>
      <c r="J186" s="518">
        <v>0</v>
      </c>
      <c r="K186" s="518">
        <v>0</v>
      </c>
      <c r="L186" s="518">
        <v>2355.9899999999998</v>
      </c>
      <c r="M186" s="554">
        <f>L186-K187</f>
        <v>0</v>
      </c>
      <c r="N186" s="313">
        <f t="shared" si="2"/>
        <v>2355.9899999999998</v>
      </c>
    </row>
    <row r="187" spans="3:16" ht="15" customHeight="1" x14ac:dyDescent="0.3">
      <c r="C187" s="545"/>
      <c r="D187" s="320"/>
      <c r="E187" s="544"/>
      <c r="F187" s="544"/>
      <c r="G187" s="544"/>
      <c r="H187" s="544"/>
      <c r="I187" s="316"/>
      <c r="J187" s="518"/>
      <c r="K187" s="557">
        <v>2355.9899999999998</v>
      </c>
      <c r="L187" s="595"/>
      <c r="M187" s="317"/>
      <c r="N187" s="313">
        <f t="shared" si="2"/>
        <v>0</v>
      </c>
    </row>
    <row r="188" spans="3:16" ht="15" customHeight="1" x14ac:dyDescent="0.3">
      <c r="C188" s="545" t="s">
        <v>4472</v>
      </c>
      <c r="D188" s="320" t="s">
        <v>660</v>
      </c>
      <c r="E188" s="544">
        <v>4391.76</v>
      </c>
      <c r="F188" s="544">
        <v>0</v>
      </c>
      <c r="G188" s="544">
        <v>0</v>
      </c>
      <c r="H188" s="544">
        <v>4391.76</v>
      </c>
      <c r="I188" s="316">
        <v>4391.76</v>
      </c>
      <c r="J188" s="518">
        <v>0</v>
      </c>
      <c r="K188" s="518">
        <v>0</v>
      </c>
      <c r="L188" s="518">
        <v>4391.76</v>
      </c>
      <c r="M188" s="554">
        <f>L188-K189</f>
        <v>0</v>
      </c>
      <c r="N188" s="313">
        <f t="shared" si="2"/>
        <v>4391.76</v>
      </c>
    </row>
    <row r="189" spans="3:16" ht="15" customHeight="1" x14ac:dyDescent="0.3">
      <c r="C189" s="545"/>
      <c r="D189" s="320"/>
      <c r="E189" s="544"/>
      <c r="F189" s="544"/>
      <c r="G189" s="544"/>
      <c r="H189" s="544"/>
      <c r="I189" s="316"/>
      <c r="J189" s="518"/>
      <c r="K189" s="557">
        <v>4391.76</v>
      </c>
      <c r="L189" s="589"/>
      <c r="M189" s="317"/>
      <c r="N189" s="313">
        <f t="shared" si="2"/>
        <v>0</v>
      </c>
    </row>
    <row r="190" spans="3:16" ht="15" customHeight="1" x14ac:dyDescent="0.3">
      <c r="C190" s="545" t="s">
        <v>4473</v>
      </c>
      <c r="D190" s="320" t="s">
        <v>3441</v>
      </c>
      <c r="E190" s="544">
        <v>2725.64</v>
      </c>
      <c r="F190" s="544">
        <v>0</v>
      </c>
      <c r="G190" s="544">
        <v>0</v>
      </c>
      <c r="H190" s="544">
        <v>2725.64</v>
      </c>
      <c r="I190" s="316">
        <v>2725.64</v>
      </c>
      <c r="J190" s="518">
        <v>0</v>
      </c>
      <c r="K190" s="518">
        <v>0</v>
      </c>
      <c r="L190" s="518">
        <v>2725.64</v>
      </c>
      <c r="M190" s="554">
        <f>L190-K191</f>
        <v>0</v>
      </c>
      <c r="N190" s="313">
        <f t="shared" si="2"/>
        <v>2725.64</v>
      </c>
    </row>
    <row r="191" spans="3:16" ht="15" customHeight="1" x14ac:dyDescent="0.3">
      <c r="C191" s="545"/>
      <c r="D191" s="320"/>
      <c r="E191" s="544"/>
      <c r="F191" s="544"/>
      <c r="G191" s="544"/>
      <c r="H191" s="544"/>
      <c r="I191" s="316"/>
      <c r="J191" s="518"/>
      <c r="K191" s="557">
        <v>2725.64</v>
      </c>
      <c r="L191" s="589"/>
      <c r="M191" s="317"/>
      <c r="N191" s="313">
        <f t="shared" si="2"/>
        <v>0</v>
      </c>
    </row>
    <row r="192" spans="3:16" ht="15" customHeight="1" x14ac:dyDescent="0.3">
      <c r="C192" s="545" t="s">
        <v>4474</v>
      </c>
      <c r="D192" s="320" t="s">
        <v>3442</v>
      </c>
      <c r="E192" s="544">
        <v>34997.629999999997</v>
      </c>
      <c r="F192" s="544">
        <v>0</v>
      </c>
      <c r="G192" s="544">
        <v>0</v>
      </c>
      <c r="H192" s="544">
        <v>34997.629999999997</v>
      </c>
      <c r="I192" s="316">
        <v>34997.629999999997</v>
      </c>
      <c r="J192" s="518">
        <v>0</v>
      </c>
      <c r="K192" s="518">
        <v>0</v>
      </c>
      <c r="L192" s="518">
        <v>34997.629999999997</v>
      </c>
      <c r="M192" s="555">
        <f>L192-K193</f>
        <v>0</v>
      </c>
      <c r="N192" s="313">
        <f t="shared" si="2"/>
        <v>34997.629999999997</v>
      </c>
    </row>
    <row r="193" spans="3:17" ht="15" customHeight="1" x14ac:dyDescent="0.3">
      <c r="C193" s="545"/>
      <c r="D193" s="320"/>
      <c r="E193" s="544"/>
      <c r="F193" s="544"/>
      <c r="G193" s="544"/>
      <c r="H193" s="544"/>
      <c r="I193" s="316"/>
      <c r="J193" s="518"/>
      <c r="K193" s="557">
        <v>34997.629999999997</v>
      </c>
      <c r="L193" s="595"/>
      <c r="M193" s="317"/>
      <c r="N193" s="313">
        <f t="shared" si="2"/>
        <v>0</v>
      </c>
    </row>
    <row r="194" spans="3:17" ht="15" customHeight="1" x14ac:dyDescent="0.3">
      <c r="C194" s="543" t="s">
        <v>4475</v>
      </c>
      <c r="D194" s="319" t="s">
        <v>3443</v>
      </c>
      <c r="E194" s="544">
        <v>0</v>
      </c>
      <c r="F194" s="544">
        <v>405828.62</v>
      </c>
      <c r="G194" s="544">
        <v>146758.44</v>
      </c>
      <c r="H194" s="544">
        <v>259070.18</v>
      </c>
      <c r="I194" s="312">
        <v>0</v>
      </c>
      <c r="J194" s="517">
        <v>405828.62</v>
      </c>
      <c r="K194" s="517">
        <v>146758.44</v>
      </c>
      <c r="L194" s="517">
        <v>259070.18</v>
      </c>
      <c r="M194" s="313">
        <v>259070.18</v>
      </c>
      <c r="N194" s="313">
        <f t="shared" si="2"/>
        <v>0</v>
      </c>
      <c r="P194" s="303" t="s">
        <v>3444</v>
      </c>
    </row>
    <row r="195" spans="3:17" ht="15" customHeight="1" x14ac:dyDescent="0.3">
      <c r="C195" s="543" t="s">
        <v>4476</v>
      </c>
      <c r="D195" s="319" t="s">
        <v>3445</v>
      </c>
      <c r="E195" s="544">
        <v>0</v>
      </c>
      <c r="F195" s="544">
        <v>405828.62</v>
      </c>
      <c r="G195" s="544">
        <v>146758.44</v>
      </c>
      <c r="H195" s="544">
        <v>259070.18</v>
      </c>
      <c r="I195" s="312">
        <v>0</v>
      </c>
      <c r="J195" s="517">
        <v>405828.62</v>
      </c>
      <c r="K195" s="517">
        <v>146758.44</v>
      </c>
      <c r="L195" s="517">
        <v>259070.18</v>
      </c>
      <c r="M195" s="313">
        <v>259070.18</v>
      </c>
      <c r="N195" s="313">
        <f t="shared" si="2"/>
        <v>0</v>
      </c>
    </row>
    <row r="196" spans="3:17" ht="15" customHeight="1" x14ac:dyDescent="0.3">
      <c r="C196" s="545" t="s">
        <v>4477</v>
      </c>
      <c r="D196" s="320" t="s">
        <v>3446</v>
      </c>
      <c r="E196" s="544">
        <v>0</v>
      </c>
      <c r="F196" s="544">
        <v>405828.62</v>
      </c>
      <c r="G196" s="544">
        <v>146758.44</v>
      </c>
      <c r="H196" s="544">
        <v>259070.18</v>
      </c>
      <c r="I196" s="316">
        <v>0</v>
      </c>
      <c r="J196" s="518">
        <v>405828.62</v>
      </c>
      <c r="K196" s="518">
        <v>146758.44</v>
      </c>
      <c r="L196" s="518">
        <v>259070.18</v>
      </c>
      <c r="M196" s="317">
        <v>259070.18</v>
      </c>
      <c r="N196" s="313">
        <f t="shared" si="2"/>
        <v>0</v>
      </c>
    </row>
    <row r="197" spans="3:17" ht="15" customHeight="1" x14ac:dyDescent="0.35">
      <c r="C197" s="543" t="s">
        <v>4478</v>
      </c>
      <c r="D197" s="319" t="s">
        <v>3447</v>
      </c>
      <c r="E197" s="544">
        <v>28341193.789999999</v>
      </c>
      <c r="F197" s="544">
        <v>3872369.1</v>
      </c>
      <c r="G197" s="544">
        <v>5848957.0499999998</v>
      </c>
      <c r="H197" s="544">
        <v>26364605.84</v>
      </c>
      <c r="I197" s="312">
        <v>28341193.789999999</v>
      </c>
      <c r="J197" s="517">
        <v>3872369.1</v>
      </c>
      <c r="K197" s="517">
        <v>5848957.0499999998</v>
      </c>
      <c r="L197" s="517">
        <v>26364605.84</v>
      </c>
      <c r="M197" s="313">
        <f>M198+M211+M224+M234+M241+M247+M251+M261+M265+M267</f>
        <v>27788849.069999993</v>
      </c>
      <c r="N197" s="313">
        <f t="shared" si="2"/>
        <v>-1424243.229999993</v>
      </c>
      <c r="O197" s="529" t="s">
        <v>3363</v>
      </c>
      <c r="P197" s="291">
        <v>11</v>
      </c>
      <c r="Q197" s="547"/>
    </row>
    <row r="198" spans="3:17" ht="15" customHeight="1" x14ac:dyDescent="0.3">
      <c r="C198" s="543" t="s">
        <v>4479</v>
      </c>
      <c r="D198" s="319" t="s">
        <v>666</v>
      </c>
      <c r="E198" s="544">
        <v>31320759.48</v>
      </c>
      <c r="F198" s="544">
        <v>1616777.63</v>
      </c>
      <c r="G198" s="544">
        <v>2013077.37</v>
      </c>
      <c r="H198" s="544">
        <v>30924459.739999998</v>
      </c>
      <c r="I198" s="312">
        <v>31320759.48</v>
      </c>
      <c r="J198" s="517">
        <v>1616777.63</v>
      </c>
      <c r="K198" s="517">
        <v>2013077.37</v>
      </c>
      <c r="L198" s="517">
        <v>30924459.739999998</v>
      </c>
      <c r="M198" s="313">
        <v>30924459.739999998</v>
      </c>
      <c r="N198" s="313">
        <f t="shared" si="2"/>
        <v>0</v>
      </c>
    </row>
    <row r="199" spans="3:17" ht="15" customHeight="1" x14ac:dyDescent="0.3">
      <c r="C199" s="545" t="s">
        <v>4480</v>
      </c>
      <c r="D199" s="320" t="s">
        <v>670</v>
      </c>
      <c r="E199" s="544">
        <v>12378857.800000001</v>
      </c>
      <c r="F199" s="544">
        <v>0</v>
      </c>
      <c r="G199" s="544">
        <v>0</v>
      </c>
      <c r="H199" s="544">
        <v>12378857.800000001</v>
      </c>
      <c r="I199" s="316">
        <v>12378857.800000001</v>
      </c>
      <c r="J199" s="518">
        <v>0</v>
      </c>
      <c r="K199" s="518">
        <v>0</v>
      </c>
      <c r="L199" s="518">
        <v>12378857.800000001</v>
      </c>
      <c r="M199" s="317">
        <v>12378857.800000001</v>
      </c>
      <c r="N199" s="313">
        <f t="shared" si="2"/>
        <v>0</v>
      </c>
    </row>
    <row r="200" spans="3:17" ht="15" customHeight="1" x14ac:dyDescent="0.3">
      <c r="C200" s="545" t="s">
        <v>4481</v>
      </c>
      <c r="D200" s="320" t="s">
        <v>673</v>
      </c>
      <c r="E200" s="544">
        <v>7392054.1699999999</v>
      </c>
      <c r="F200" s="544">
        <v>0</v>
      </c>
      <c r="G200" s="544">
        <v>0</v>
      </c>
      <c r="H200" s="544">
        <v>7392054.1699999999</v>
      </c>
      <c r="I200" s="316">
        <v>7392054.1699999999</v>
      </c>
      <c r="J200" s="518">
        <v>0</v>
      </c>
      <c r="K200" s="518">
        <v>0</v>
      </c>
      <c r="L200" s="518">
        <v>7392054.1699999999</v>
      </c>
      <c r="M200" s="317">
        <v>7392054.1699999999</v>
      </c>
      <c r="N200" s="313">
        <f t="shared" si="2"/>
        <v>0</v>
      </c>
    </row>
    <row r="201" spans="3:17" ht="15" customHeight="1" x14ac:dyDescent="0.3">
      <c r="C201" s="545" t="s">
        <v>4482</v>
      </c>
      <c r="D201" s="320" t="s">
        <v>677</v>
      </c>
      <c r="E201" s="544">
        <v>928657.5</v>
      </c>
      <c r="F201" s="544">
        <v>0</v>
      </c>
      <c r="G201" s="544">
        <v>0</v>
      </c>
      <c r="H201" s="544">
        <v>928657.5</v>
      </c>
      <c r="I201" s="316">
        <v>928657.5</v>
      </c>
      <c r="J201" s="518">
        <v>0</v>
      </c>
      <c r="K201" s="518">
        <v>0</v>
      </c>
      <c r="L201" s="518">
        <v>928657.5</v>
      </c>
      <c r="M201" s="317">
        <v>928657.5</v>
      </c>
      <c r="N201" s="313">
        <f t="shared" si="2"/>
        <v>0</v>
      </c>
    </row>
    <row r="202" spans="3:17" ht="15" customHeight="1" x14ac:dyDescent="0.3">
      <c r="C202" s="545" t="s">
        <v>4483</v>
      </c>
      <c r="D202" s="320" t="s">
        <v>681</v>
      </c>
      <c r="E202" s="544">
        <v>265176.57</v>
      </c>
      <c r="F202" s="544">
        <v>0</v>
      </c>
      <c r="G202" s="544">
        <v>0</v>
      </c>
      <c r="H202" s="544">
        <v>265176.57</v>
      </c>
      <c r="I202" s="316">
        <v>265176.57</v>
      </c>
      <c r="J202" s="518">
        <v>0</v>
      </c>
      <c r="K202" s="518">
        <v>0</v>
      </c>
      <c r="L202" s="518">
        <v>265176.57</v>
      </c>
      <c r="M202" s="317">
        <v>265176.57</v>
      </c>
      <c r="N202" s="313">
        <f t="shared" si="2"/>
        <v>0</v>
      </c>
    </row>
    <row r="203" spans="3:17" ht="15" customHeight="1" x14ac:dyDescent="0.3">
      <c r="C203" s="545" t="s">
        <v>4484</v>
      </c>
      <c r="D203" s="320" t="s">
        <v>685</v>
      </c>
      <c r="E203" s="544">
        <v>275206.83</v>
      </c>
      <c r="F203" s="544">
        <v>0</v>
      </c>
      <c r="G203" s="544">
        <v>0</v>
      </c>
      <c r="H203" s="544">
        <v>275206.83</v>
      </c>
      <c r="I203" s="316">
        <v>275206.83</v>
      </c>
      <c r="J203" s="518">
        <v>0</v>
      </c>
      <c r="K203" s="518">
        <v>0</v>
      </c>
      <c r="L203" s="518">
        <v>275206.83</v>
      </c>
      <c r="M203" s="317">
        <v>275206.83</v>
      </c>
      <c r="N203" s="313">
        <f t="shared" si="2"/>
        <v>0</v>
      </c>
    </row>
    <row r="204" spans="3:17" ht="15" customHeight="1" x14ac:dyDescent="0.3">
      <c r="C204" s="545" t="s">
        <v>4485</v>
      </c>
      <c r="D204" s="320" t="s">
        <v>689</v>
      </c>
      <c r="E204" s="544">
        <v>320071.48</v>
      </c>
      <c r="F204" s="544">
        <v>0</v>
      </c>
      <c r="G204" s="544">
        <v>0</v>
      </c>
      <c r="H204" s="544">
        <v>320071.48</v>
      </c>
      <c r="I204" s="316">
        <v>320071.48</v>
      </c>
      <c r="J204" s="518">
        <v>0</v>
      </c>
      <c r="K204" s="518">
        <v>0</v>
      </c>
      <c r="L204" s="518">
        <v>320071.48</v>
      </c>
      <c r="M204" s="317">
        <v>320071.48</v>
      </c>
      <c r="N204" s="313">
        <f t="shared" si="2"/>
        <v>0</v>
      </c>
    </row>
    <row r="205" spans="3:17" ht="15" customHeight="1" x14ac:dyDescent="0.3">
      <c r="C205" s="545" t="s">
        <v>4486</v>
      </c>
      <c r="D205" s="320" t="s">
        <v>693</v>
      </c>
      <c r="E205" s="544">
        <v>12550576.34</v>
      </c>
      <c r="F205" s="544">
        <v>1616777.63</v>
      </c>
      <c r="G205" s="544">
        <v>0</v>
      </c>
      <c r="H205" s="544">
        <v>14167353.970000001</v>
      </c>
      <c r="I205" s="316">
        <v>12550576.34</v>
      </c>
      <c r="J205" s="518">
        <v>1616777.63</v>
      </c>
      <c r="K205" s="518">
        <v>0</v>
      </c>
      <c r="L205" s="518">
        <v>14167353.970000001</v>
      </c>
      <c r="M205" s="317">
        <v>14167353.970000001</v>
      </c>
      <c r="N205" s="313">
        <f t="shared" ref="N205:N268" si="3">L205-M205</f>
        <v>0</v>
      </c>
    </row>
    <row r="206" spans="3:17" ht="15" customHeight="1" x14ac:dyDescent="0.3">
      <c r="C206" s="545" t="s">
        <v>4487</v>
      </c>
      <c r="D206" s="320" t="s">
        <v>696</v>
      </c>
      <c r="E206" s="544">
        <v>243582.4</v>
      </c>
      <c r="F206" s="544">
        <v>0</v>
      </c>
      <c r="G206" s="544">
        <v>0</v>
      </c>
      <c r="H206" s="544">
        <v>243582.4</v>
      </c>
      <c r="I206" s="316">
        <v>243582.4</v>
      </c>
      <c r="J206" s="518">
        <v>0</v>
      </c>
      <c r="K206" s="518">
        <v>0</v>
      </c>
      <c r="L206" s="518">
        <v>243582.4</v>
      </c>
      <c r="M206" s="317">
        <v>243582.4</v>
      </c>
      <c r="N206" s="313">
        <f t="shared" si="3"/>
        <v>0</v>
      </c>
    </row>
    <row r="207" spans="3:17" ht="15" customHeight="1" x14ac:dyDescent="0.3">
      <c r="C207" s="545" t="s">
        <v>4488</v>
      </c>
      <c r="D207" s="320" t="s">
        <v>700</v>
      </c>
      <c r="E207" s="544">
        <v>1598750</v>
      </c>
      <c r="F207" s="544">
        <v>0</v>
      </c>
      <c r="G207" s="544">
        <v>0</v>
      </c>
      <c r="H207" s="544">
        <v>1598750</v>
      </c>
      <c r="I207" s="316">
        <v>1598750</v>
      </c>
      <c r="J207" s="518">
        <v>0</v>
      </c>
      <c r="K207" s="518">
        <v>0</v>
      </c>
      <c r="L207" s="518">
        <v>1598750</v>
      </c>
      <c r="M207" s="317">
        <v>1598750</v>
      </c>
      <c r="N207" s="313">
        <f t="shared" si="3"/>
        <v>0</v>
      </c>
    </row>
    <row r="208" spans="3:17" ht="15" customHeight="1" x14ac:dyDescent="0.3">
      <c r="C208" s="545" t="s">
        <v>4489</v>
      </c>
      <c r="D208" s="320" t="s">
        <v>704</v>
      </c>
      <c r="E208" s="544">
        <v>889821.57</v>
      </c>
      <c r="F208" s="544">
        <v>0</v>
      </c>
      <c r="G208" s="544">
        <v>0</v>
      </c>
      <c r="H208" s="544">
        <v>889821.57</v>
      </c>
      <c r="I208" s="316">
        <v>889821.57</v>
      </c>
      <c r="J208" s="518">
        <v>0</v>
      </c>
      <c r="K208" s="518">
        <v>0</v>
      </c>
      <c r="L208" s="518">
        <v>889821.57</v>
      </c>
      <c r="M208" s="317">
        <v>889821.57</v>
      </c>
      <c r="N208" s="313">
        <f t="shared" si="3"/>
        <v>0</v>
      </c>
    </row>
    <row r="209" spans="3:15" ht="15" customHeight="1" x14ac:dyDescent="0.3">
      <c r="C209" s="545" t="s">
        <v>4490</v>
      </c>
      <c r="D209" s="320" t="s">
        <v>3448</v>
      </c>
      <c r="E209" s="544">
        <v>494205</v>
      </c>
      <c r="F209" s="544">
        <v>0</v>
      </c>
      <c r="G209" s="544">
        <v>0</v>
      </c>
      <c r="H209" s="544">
        <v>494205</v>
      </c>
      <c r="I209" s="316">
        <v>494205</v>
      </c>
      <c r="J209" s="518">
        <v>0</v>
      </c>
      <c r="K209" s="518">
        <v>0</v>
      </c>
      <c r="L209" s="518">
        <v>494205</v>
      </c>
      <c r="M209" s="317">
        <v>494205</v>
      </c>
      <c r="N209" s="313">
        <f t="shared" si="3"/>
        <v>0</v>
      </c>
    </row>
    <row r="210" spans="3:15" ht="15" customHeight="1" x14ac:dyDescent="0.3">
      <c r="C210" s="545" t="s">
        <v>4491</v>
      </c>
      <c r="D210" s="320" t="s">
        <v>3449</v>
      </c>
      <c r="E210" s="544">
        <v>-6016200.1799999997</v>
      </c>
      <c r="F210" s="544">
        <v>0</v>
      </c>
      <c r="G210" s="544">
        <v>2013077.37</v>
      </c>
      <c r="H210" s="544">
        <v>-8029277.5499999998</v>
      </c>
      <c r="I210" s="316">
        <v>-6016200.1799999997</v>
      </c>
      <c r="J210" s="518">
        <v>0</v>
      </c>
      <c r="K210" s="518">
        <v>2013077.37</v>
      </c>
      <c r="L210" s="518">
        <v>-8029277.5499999998</v>
      </c>
      <c r="M210" s="317">
        <v>-8029277.5499999998</v>
      </c>
      <c r="N210" s="313">
        <f t="shared" si="3"/>
        <v>0</v>
      </c>
    </row>
    <row r="211" spans="3:15" ht="15" customHeight="1" x14ac:dyDescent="0.3">
      <c r="C211" s="543" t="s">
        <v>4492</v>
      </c>
      <c r="D211" s="319" t="s">
        <v>3450</v>
      </c>
      <c r="E211" s="544">
        <v>20901731.469999999</v>
      </c>
      <c r="F211" s="544">
        <v>359866.92</v>
      </c>
      <c r="G211" s="544">
        <v>1794726.01</v>
      </c>
      <c r="H211" s="544">
        <v>19466872.379999999</v>
      </c>
      <c r="I211" s="312">
        <v>20901731.469999999</v>
      </c>
      <c r="J211" s="517">
        <v>359866.92</v>
      </c>
      <c r="K211" s="517">
        <v>1794726.01</v>
      </c>
      <c r="L211" s="517">
        <v>19466872.379999999</v>
      </c>
      <c r="M211" s="313">
        <f>SUM(M212:M222)</f>
        <v>20413057.469999995</v>
      </c>
      <c r="N211" s="313">
        <f t="shared" si="3"/>
        <v>-946185.08999999613</v>
      </c>
      <c r="O211" s="548"/>
    </row>
    <row r="212" spans="3:15" ht="15" customHeight="1" x14ac:dyDescent="0.3">
      <c r="C212" s="545" t="s">
        <v>4493</v>
      </c>
      <c r="D212" s="320" t="s">
        <v>738</v>
      </c>
      <c r="E212" s="544">
        <v>14084602.359999999</v>
      </c>
      <c r="F212" s="544">
        <v>344076.32</v>
      </c>
      <c r="G212" s="544">
        <v>688152.64</v>
      </c>
      <c r="H212" s="544">
        <v>13740526.039999999</v>
      </c>
      <c r="I212" s="316">
        <v>14084602.359999999</v>
      </c>
      <c r="J212" s="518">
        <v>344076.32</v>
      </c>
      <c r="K212" s="518">
        <v>688152.64</v>
      </c>
      <c r="L212" s="518">
        <v>13740526.039999999</v>
      </c>
      <c r="M212" s="317">
        <v>13740526.039999999</v>
      </c>
      <c r="N212" s="313">
        <f t="shared" si="3"/>
        <v>0</v>
      </c>
    </row>
    <row r="213" spans="3:15" ht="15" customHeight="1" x14ac:dyDescent="0.3">
      <c r="C213" s="545" t="s">
        <v>4494</v>
      </c>
      <c r="D213" s="320" t="s">
        <v>742</v>
      </c>
      <c r="E213" s="544">
        <v>5813175.4400000004</v>
      </c>
      <c r="F213" s="544">
        <v>0</v>
      </c>
      <c r="G213" s="544">
        <v>0</v>
      </c>
      <c r="H213" s="544">
        <v>5813175.4400000004</v>
      </c>
      <c r="I213" s="316">
        <v>5813175.4400000004</v>
      </c>
      <c r="J213" s="518">
        <v>0</v>
      </c>
      <c r="K213" s="518">
        <v>0</v>
      </c>
      <c r="L213" s="518">
        <v>5813175.4400000004</v>
      </c>
      <c r="M213" s="554">
        <f>L213-K214</f>
        <v>5682068.3600000003</v>
      </c>
      <c r="N213" s="313">
        <f t="shared" si="3"/>
        <v>131107.08000000007</v>
      </c>
    </row>
    <row r="214" spans="3:15" ht="15" customHeight="1" x14ac:dyDescent="0.3">
      <c r="C214" s="545"/>
      <c r="D214" s="320"/>
      <c r="E214" s="544"/>
      <c r="F214" s="544"/>
      <c r="G214" s="544"/>
      <c r="H214" s="544"/>
      <c r="I214" s="316"/>
      <c r="J214" s="518"/>
      <c r="K214" s="557">
        <v>131107.07999999999</v>
      </c>
      <c r="L214" s="595"/>
      <c r="M214" s="317"/>
      <c r="N214" s="313">
        <f t="shared" si="3"/>
        <v>0</v>
      </c>
    </row>
    <row r="215" spans="3:15" ht="15" customHeight="1" x14ac:dyDescent="0.3">
      <c r="C215" s="545" t="s">
        <v>4495</v>
      </c>
      <c r="D215" s="320" t="s">
        <v>745</v>
      </c>
      <c r="E215" s="544">
        <v>718728.13</v>
      </c>
      <c r="F215" s="544">
        <v>1810</v>
      </c>
      <c r="G215" s="544">
        <v>3620</v>
      </c>
      <c r="H215" s="544">
        <v>716918.13</v>
      </c>
      <c r="I215" s="316">
        <v>718728.13</v>
      </c>
      <c r="J215" s="518">
        <v>1810</v>
      </c>
      <c r="K215" s="518">
        <v>3620</v>
      </c>
      <c r="L215" s="518">
        <v>716918.13</v>
      </c>
      <c r="M215" s="554">
        <f>L215-K216</f>
        <v>714918.13</v>
      </c>
      <c r="N215" s="313">
        <f t="shared" si="3"/>
        <v>2000</v>
      </c>
    </row>
    <row r="216" spans="3:15" ht="15" customHeight="1" x14ac:dyDescent="0.3">
      <c r="C216" s="545"/>
      <c r="D216" s="320"/>
      <c r="E216" s="544"/>
      <c r="F216" s="544"/>
      <c r="G216" s="544"/>
      <c r="H216" s="544"/>
      <c r="I216" s="316"/>
      <c r="J216" s="518"/>
      <c r="K216" s="557">
        <v>2000</v>
      </c>
      <c r="L216" s="595"/>
      <c r="M216" s="317"/>
      <c r="N216" s="313">
        <f t="shared" si="3"/>
        <v>0</v>
      </c>
    </row>
    <row r="217" spans="3:15" ht="15" customHeight="1" x14ac:dyDescent="0.3">
      <c r="C217" s="545" t="s">
        <v>4496</v>
      </c>
      <c r="D217" s="320" t="s">
        <v>748</v>
      </c>
      <c r="E217" s="544">
        <v>8050</v>
      </c>
      <c r="F217" s="544">
        <v>200</v>
      </c>
      <c r="G217" s="544">
        <v>400</v>
      </c>
      <c r="H217" s="544">
        <v>7850</v>
      </c>
      <c r="I217" s="316">
        <v>8050</v>
      </c>
      <c r="J217" s="518">
        <v>200</v>
      </c>
      <c r="K217" s="518">
        <v>400</v>
      </c>
      <c r="L217" s="518">
        <v>7850</v>
      </c>
      <c r="M217" s="317">
        <v>7850</v>
      </c>
      <c r="N217" s="313">
        <f t="shared" si="3"/>
        <v>0</v>
      </c>
    </row>
    <row r="218" spans="3:15" ht="15" customHeight="1" x14ac:dyDescent="0.3">
      <c r="C218" s="545" t="s">
        <v>4497</v>
      </c>
      <c r="D218" s="320" t="s">
        <v>751</v>
      </c>
      <c r="E218" s="544">
        <v>259784.67</v>
      </c>
      <c r="F218" s="544">
        <v>11630.6</v>
      </c>
      <c r="G218" s="544">
        <v>23261.200000000001</v>
      </c>
      <c r="H218" s="544">
        <v>248154.07</v>
      </c>
      <c r="I218" s="316">
        <v>259784.67</v>
      </c>
      <c r="J218" s="518">
        <v>11630.6</v>
      </c>
      <c r="K218" s="518">
        <v>23261.200000000001</v>
      </c>
      <c r="L218" s="518">
        <v>248154.07</v>
      </c>
      <c r="M218" s="317">
        <v>248154.07</v>
      </c>
      <c r="N218" s="313">
        <f t="shared" si="3"/>
        <v>0</v>
      </c>
    </row>
    <row r="219" spans="3:15" ht="15" customHeight="1" x14ac:dyDescent="0.3">
      <c r="C219" s="545" t="s">
        <v>4498</v>
      </c>
      <c r="D219" s="320" t="s">
        <v>754</v>
      </c>
      <c r="E219" s="544">
        <v>2282.4899999999998</v>
      </c>
      <c r="F219" s="544">
        <v>0</v>
      </c>
      <c r="G219" s="544">
        <v>0</v>
      </c>
      <c r="H219" s="544">
        <v>2282.4899999999998</v>
      </c>
      <c r="I219" s="316">
        <v>2282.4899999999998</v>
      </c>
      <c r="J219" s="518">
        <v>0</v>
      </c>
      <c r="K219" s="518">
        <v>0</v>
      </c>
      <c r="L219" s="518">
        <v>2282.4899999999998</v>
      </c>
      <c r="M219" s="317">
        <v>2282.4899999999998</v>
      </c>
      <c r="N219" s="313">
        <f t="shared" si="3"/>
        <v>0</v>
      </c>
    </row>
    <row r="220" spans="3:15" ht="15" customHeight="1" x14ac:dyDescent="0.3">
      <c r="C220" s="545" t="s">
        <v>4499</v>
      </c>
      <c r="D220" s="320" t="s">
        <v>757</v>
      </c>
      <c r="E220" s="544">
        <v>15108.38</v>
      </c>
      <c r="F220" s="544">
        <v>0</v>
      </c>
      <c r="G220" s="544">
        <v>0</v>
      </c>
      <c r="H220" s="544">
        <v>15108.38</v>
      </c>
      <c r="I220" s="316">
        <v>15108.38</v>
      </c>
      <c r="J220" s="518">
        <v>0</v>
      </c>
      <c r="K220" s="518">
        <v>0</v>
      </c>
      <c r="L220" s="518">
        <v>15108.38</v>
      </c>
      <c r="M220" s="317">
        <v>15108.38</v>
      </c>
      <c r="N220" s="313">
        <f t="shared" si="3"/>
        <v>0</v>
      </c>
    </row>
    <row r="221" spans="3:15" ht="15" customHeight="1" x14ac:dyDescent="0.3">
      <c r="C221" s="545" t="s">
        <v>4500</v>
      </c>
      <c r="D221" s="320" t="s">
        <v>3451</v>
      </c>
      <c r="E221" s="544">
        <v>0</v>
      </c>
      <c r="F221" s="544">
        <v>2150</v>
      </c>
      <c r="G221" s="544">
        <v>0</v>
      </c>
      <c r="H221" s="544">
        <v>2150</v>
      </c>
      <c r="I221" s="316">
        <v>0</v>
      </c>
      <c r="J221" s="518">
        <v>2150</v>
      </c>
      <c r="K221" s="518">
        <v>0</v>
      </c>
      <c r="L221" s="518">
        <v>2150</v>
      </c>
      <c r="M221" s="317">
        <v>2150</v>
      </c>
      <c r="N221" s="313">
        <f t="shared" si="3"/>
        <v>0</v>
      </c>
    </row>
    <row r="222" spans="3:15" ht="15" customHeight="1" x14ac:dyDescent="0.3">
      <c r="C222" s="545" t="s">
        <v>4501</v>
      </c>
      <c r="D222" s="320" t="s">
        <v>3452</v>
      </c>
      <c r="E222" s="544">
        <v>0</v>
      </c>
      <c r="F222" s="544">
        <v>0</v>
      </c>
      <c r="G222" s="544">
        <v>1079292.17</v>
      </c>
      <c r="H222" s="544">
        <v>-1079292.17</v>
      </c>
      <c r="I222" s="316">
        <v>0</v>
      </c>
      <c r="J222" s="518">
        <v>0</v>
      </c>
      <c r="K222" s="518">
        <v>1079292.17</v>
      </c>
      <c r="L222" s="518">
        <v>-1079292.17</v>
      </c>
      <c r="M222" s="555">
        <f>L222+J223</f>
        <v>0</v>
      </c>
      <c r="N222" s="313">
        <f t="shared" si="3"/>
        <v>-1079292.17</v>
      </c>
    </row>
    <row r="223" spans="3:15" ht="15" customHeight="1" x14ac:dyDescent="0.3">
      <c r="C223" s="545"/>
      <c r="D223" s="320"/>
      <c r="E223" s="544"/>
      <c r="F223" s="544"/>
      <c r="G223" s="544"/>
      <c r="H223" s="544"/>
      <c r="I223" s="589">
        <v>45657</v>
      </c>
      <c r="J223" s="557">
        <v>1079292.17</v>
      </c>
      <c r="K223" s="518"/>
      <c r="L223" s="518"/>
      <c r="M223" s="317"/>
      <c r="N223" s="313">
        <f t="shared" si="3"/>
        <v>0</v>
      </c>
    </row>
    <row r="224" spans="3:15" ht="15" customHeight="1" x14ac:dyDescent="0.3">
      <c r="C224" s="543" t="s">
        <v>4502</v>
      </c>
      <c r="D224" s="319" t="s">
        <v>3453</v>
      </c>
      <c r="E224" s="544">
        <v>687191.35</v>
      </c>
      <c r="F224" s="544">
        <v>36300.239999999998</v>
      </c>
      <c r="G224" s="544">
        <v>491500.32</v>
      </c>
      <c r="H224" s="544">
        <v>231991.27</v>
      </c>
      <c r="I224" s="312">
        <v>687191.35</v>
      </c>
      <c r="J224" s="517">
        <v>36300.239999999998</v>
      </c>
      <c r="K224" s="517">
        <v>491500.32</v>
      </c>
      <c r="L224" s="517">
        <v>231991.27</v>
      </c>
      <c r="M224" s="313">
        <f>SUM(M225:M232)</f>
        <v>664537.11</v>
      </c>
      <c r="N224" s="313">
        <f t="shared" si="3"/>
        <v>-432545.83999999997</v>
      </c>
      <c r="O224" s="548"/>
    </row>
    <row r="225" spans="3:15" ht="15" customHeight="1" x14ac:dyDescent="0.3">
      <c r="C225" s="545" t="s">
        <v>4503</v>
      </c>
      <c r="D225" s="320" t="s">
        <v>767</v>
      </c>
      <c r="E225" s="544">
        <v>72032.53</v>
      </c>
      <c r="F225" s="544">
        <v>490</v>
      </c>
      <c r="G225" s="544">
        <v>980</v>
      </c>
      <c r="H225" s="544">
        <v>71542.53</v>
      </c>
      <c r="I225" s="316">
        <v>72032.53</v>
      </c>
      <c r="J225" s="518">
        <v>490</v>
      </c>
      <c r="K225" s="518">
        <v>980</v>
      </c>
      <c r="L225" s="518">
        <v>71542.53</v>
      </c>
      <c r="M225" s="317">
        <v>71542.53</v>
      </c>
      <c r="N225" s="313">
        <f t="shared" si="3"/>
        <v>0</v>
      </c>
    </row>
    <row r="226" spans="3:15" ht="15" customHeight="1" x14ac:dyDescent="0.3">
      <c r="C226" s="545" t="s">
        <v>4504</v>
      </c>
      <c r="D226" s="320" t="s">
        <v>770</v>
      </c>
      <c r="E226" s="544">
        <v>25270</v>
      </c>
      <c r="F226" s="544">
        <v>0</v>
      </c>
      <c r="G226" s="544">
        <v>0</v>
      </c>
      <c r="H226" s="544">
        <v>25270</v>
      </c>
      <c r="I226" s="316">
        <v>25270</v>
      </c>
      <c r="J226" s="518">
        <v>0</v>
      </c>
      <c r="K226" s="518">
        <v>0</v>
      </c>
      <c r="L226" s="518">
        <v>25270</v>
      </c>
      <c r="M226" s="317">
        <v>25270</v>
      </c>
      <c r="N226" s="313">
        <f t="shared" si="3"/>
        <v>0</v>
      </c>
    </row>
    <row r="227" spans="3:15" ht="15" customHeight="1" x14ac:dyDescent="0.3">
      <c r="C227" s="545" t="s">
        <v>4505</v>
      </c>
      <c r="D227" s="320" t="s">
        <v>773</v>
      </c>
      <c r="E227" s="544">
        <v>345503.5</v>
      </c>
      <c r="F227" s="544">
        <v>11183</v>
      </c>
      <c r="G227" s="544">
        <v>23666</v>
      </c>
      <c r="H227" s="544">
        <v>333020.5</v>
      </c>
      <c r="I227" s="316">
        <v>345503.5</v>
      </c>
      <c r="J227" s="518">
        <v>11183</v>
      </c>
      <c r="K227" s="518">
        <v>23666</v>
      </c>
      <c r="L227" s="518">
        <v>333020.5</v>
      </c>
      <c r="M227" s="317">
        <f>L227+J228</f>
        <v>333090.5</v>
      </c>
      <c r="N227" s="313">
        <f t="shared" si="3"/>
        <v>-70</v>
      </c>
    </row>
    <row r="228" spans="3:15" ht="15" customHeight="1" x14ac:dyDescent="0.3">
      <c r="C228" s="545"/>
      <c r="D228" s="320"/>
      <c r="E228" s="544"/>
      <c r="F228" s="544"/>
      <c r="G228" s="544"/>
      <c r="H228" s="544"/>
      <c r="I228" s="589">
        <v>45657</v>
      </c>
      <c r="J228" s="557">
        <v>70</v>
      </c>
      <c r="K228" s="518"/>
      <c r="L228" s="518"/>
      <c r="M228" s="317"/>
      <c r="N228" s="313">
        <f t="shared" si="3"/>
        <v>0</v>
      </c>
    </row>
    <row r="229" spans="3:15" ht="15" customHeight="1" x14ac:dyDescent="0.3">
      <c r="C229" s="545" t="s">
        <v>4506</v>
      </c>
      <c r="D229" s="320" t="s">
        <v>776</v>
      </c>
      <c r="E229" s="544">
        <v>243588.32</v>
      </c>
      <c r="F229" s="544">
        <v>17189.240000000002</v>
      </c>
      <c r="G229" s="544">
        <v>34378.480000000003</v>
      </c>
      <c r="H229" s="544">
        <v>226399.08</v>
      </c>
      <c r="I229" s="316">
        <v>243588.32</v>
      </c>
      <c r="J229" s="518">
        <v>17189.240000000002</v>
      </c>
      <c r="K229" s="518">
        <v>34378.480000000003</v>
      </c>
      <c r="L229" s="518">
        <v>226399.08</v>
      </c>
      <c r="M229" s="317">
        <v>226399.08</v>
      </c>
      <c r="N229" s="313">
        <f t="shared" si="3"/>
        <v>0</v>
      </c>
    </row>
    <row r="230" spans="3:15" ht="15" customHeight="1" x14ac:dyDescent="0.3">
      <c r="C230" s="545" t="s">
        <v>4507</v>
      </c>
      <c r="D230" s="320" t="s">
        <v>3454</v>
      </c>
      <c r="E230" s="544">
        <v>0</v>
      </c>
      <c r="F230" s="544">
        <v>7438</v>
      </c>
      <c r="G230" s="544">
        <v>0</v>
      </c>
      <c r="H230" s="544">
        <v>7438</v>
      </c>
      <c r="I230" s="316">
        <v>0</v>
      </c>
      <c r="J230" s="518">
        <v>7438</v>
      </c>
      <c r="K230" s="518">
        <v>0</v>
      </c>
      <c r="L230" s="518">
        <v>7438</v>
      </c>
      <c r="M230" s="317">
        <v>7438</v>
      </c>
      <c r="N230" s="313">
        <f t="shared" si="3"/>
        <v>0</v>
      </c>
    </row>
    <row r="231" spans="3:15" ht="15" customHeight="1" x14ac:dyDescent="0.3">
      <c r="C231" s="545" t="s">
        <v>4508</v>
      </c>
      <c r="D231" s="320" t="s">
        <v>779</v>
      </c>
      <c r="E231" s="544">
        <v>797</v>
      </c>
      <c r="F231" s="544">
        <v>0</v>
      </c>
      <c r="G231" s="544">
        <v>0</v>
      </c>
      <c r="H231" s="544">
        <v>797</v>
      </c>
      <c r="I231" s="316">
        <v>797</v>
      </c>
      <c r="J231" s="518">
        <v>0</v>
      </c>
      <c r="K231" s="518">
        <v>0</v>
      </c>
      <c r="L231" s="518">
        <v>797</v>
      </c>
      <c r="M231" s="317">
        <v>797</v>
      </c>
      <c r="N231" s="313">
        <f t="shared" si="3"/>
        <v>0</v>
      </c>
    </row>
    <row r="232" spans="3:15" ht="15" customHeight="1" x14ac:dyDescent="0.3">
      <c r="C232" s="545" t="s">
        <v>4509</v>
      </c>
      <c r="D232" s="320" t="s">
        <v>3455</v>
      </c>
      <c r="E232" s="544">
        <v>0</v>
      </c>
      <c r="F232" s="544">
        <v>0</v>
      </c>
      <c r="G232" s="544">
        <v>432475.84</v>
      </c>
      <c r="H232" s="544">
        <v>-432475.84</v>
      </c>
      <c r="I232" s="316">
        <v>0</v>
      </c>
      <c r="J232" s="518">
        <v>0</v>
      </c>
      <c r="K232" s="518">
        <v>432475.84</v>
      </c>
      <c r="L232" s="518">
        <v>-432475.84</v>
      </c>
      <c r="M232" s="554">
        <f>L232+J233</f>
        <v>0</v>
      </c>
      <c r="N232" s="313">
        <f t="shared" si="3"/>
        <v>-432475.84</v>
      </c>
    </row>
    <row r="233" spans="3:15" ht="15" customHeight="1" x14ac:dyDescent="0.3">
      <c r="C233" s="545"/>
      <c r="D233" s="320"/>
      <c r="E233" s="544"/>
      <c r="F233" s="544"/>
      <c r="G233" s="544"/>
      <c r="H233" s="544"/>
      <c r="I233" s="589">
        <v>45657</v>
      </c>
      <c r="J233" s="557">
        <v>432475.84</v>
      </c>
      <c r="K233" s="518"/>
      <c r="L233" s="518"/>
      <c r="M233" s="317"/>
      <c r="N233" s="313">
        <f t="shared" si="3"/>
        <v>0</v>
      </c>
    </row>
    <row r="234" spans="3:15" ht="15" customHeight="1" x14ac:dyDescent="0.3">
      <c r="C234" s="543" t="s">
        <v>4510</v>
      </c>
      <c r="D234" s="319" t="s">
        <v>3456</v>
      </c>
      <c r="E234" s="544">
        <v>3202809.3</v>
      </c>
      <c r="F234" s="544">
        <v>0</v>
      </c>
      <c r="G234" s="544">
        <v>0</v>
      </c>
      <c r="H234" s="544">
        <v>3202809.3</v>
      </c>
      <c r="I234" s="312">
        <v>3202809.3</v>
      </c>
      <c r="J234" s="517">
        <v>0</v>
      </c>
      <c r="K234" s="517">
        <v>0</v>
      </c>
      <c r="L234" s="517">
        <v>3202809.3</v>
      </c>
      <c r="M234" s="313">
        <f>SUM(M235:M239)</f>
        <v>3205589.3</v>
      </c>
      <c r="N234" s="313">
        <f t="shared" si="3"/>
        <v>-2780</v>
      </c>
      <c r="O234" s="548"/>
    </row>
    <row r="235" spans="3:15" ht="15" customHeight="1" x14ac:dyDescent="0.3">
      <c r="C235" s="545" t="s">
        <v>4511</v>
      </c>
      <c r="D235" s="320" t="s">
        <v>785</v>
      </c>
      <c r="E235" s="544">
        <v>1537069.64</v>
      </c>
      <c r="F235" s="544">
        <v>0</v>
      </c>
      <c r="G235" s="544">
        <v>0</v>
      </c>
      <c r="H235" s="544">
        <v>1537069.64</v>
      </c>
      <c r="I235" s="316">
        <v>1537069.64</v>
      </c>
      <c r="J235" s="518">
        <v>0</v>
      </c>
      <c r="K235" s="518">
        <v>0</v>
      </c>
      <c r="L235" s="518">
        <v>1537069.64</v>
      </c>
      <c r="M235" s="317">
        <v>1537069.64</v>
      </c>
      <c r="N235" s="313">
        <f t="shared" si="3"/>
        <v>0</v>
      </c>
    </row>
    <row r="236" spans="3:15" ht="15" customHeight="1" x14ac:dyDescent="0.3">
      <c r="C236" s="545" t="s">
        <v>4512</v>
      </c>
      <c r="D236" s="320" t="s">
        <v>789</v>
      </c>
      <c r="E236" s="544">
        <v>264873.58</v>
      </c>
      <c r="F236" s="544">
        <v>0</v>
      </c>
      <c r="G236" s="544">
        <v>0</v>
      </c>
      <c r="H236" s="544">
        <v>264873.58</v>
      </c>
      <c r="I236" s="316">
        <v>264873.58</v>
      </c>
      <c r="J236" s="518">
        <v>0</v>
      </c>
      <c r="K236" s="518">
        <v>0</v>
      </c>
      <c r="L236" s="518">
        <v>264873.58</v>
      </c>
      <c r="M236" s="317">
        <v>264873.58</v>
      </c>
      <c r="N236" s="313">
        <f t="shared" si="3"/>
        <v>0</v>
      </c>
    </row>
    <row r="237" spans="3:15" ht="15" customHeight="1" x14ac:dyDescent="0.3">
      <c r="C237" s="545" t="s">
        <v>4513</v>
      </c>
      <c r="D237" s="320" t="s">
        <v>793</v>
      </c>
      <c r="E237" s="544">
        <v>1130835.2</v>
      </c>
      <c r="F237" s="544">
        <v>0</v>
      </c>
      <c r="G237" s="544">
        <v>0</v>
      </c>
      <c r="H237" s="544">
        <v>1130835.2</v>
      </c>
      <c r="I237" s="316">
        <v>1130835.2</v>
      </c>
      <c r="J237" s="518">
        <v>0</v>
      </c>
      <c r="K237" s="518">
        <v>0</v>
      </c>
      <c r="L237" s="518">
        <v>1130835.2</v>
      </c>
      <c r="M237" s="317">
        <v>1130835.2</v>
      </c>
      <c r="N237" s="313">
        <f t="shared" si="3"/>
        <v>0</v>
      </c>
    </row>
    <row r="238" spans="3:15" ht="15" customHeight="1" x14ac:dyDescent="0.3">
      <c r="C238" s="545" t="s">
        <v>4514</v>
      </c>
      <c r="D238" s="320" t="s">
        <v>797</v>
      </c>
      <c r="E238" s="544">
        <v>900</v>
      </c>
      <c r="F238" s="544">
        <v>0</v>
      </c>
      <c r="G238" s="544">
        <v>0</v>
      </c>
      <c r="H238" s="544">
        <v>900</v>
      </c>
      <c r="I238" s="316">
        <v>900</v>
      </c>
      <c r="J238" s="518">
        <v>0</v>
      </c>
      <c r="K238" s="518">
        <v>0</v>
      </c>
      <c r="L238" s="518">
        <v>900</v>
      </c>
      <c r="M238" s="317">
        <v>900</v>
      </c>
      <c r="N238" s="313">
        <f t="shared" si="3"/>
        <v>0</v>
      </c>
    </row>
    <row r="239" spans="3:15" ht="15" customHeight="1" x14ac:dyDescent="0.3">
      <c r="C239" s="545" t="s">
        <v>4515</v>
      </c>
      <c r="D239" s="320" t="s">
        <v>801</v>
      </c>
      <c r="E239" s="544">
        <v>269130.88</v>
      </c>
      <c r="F239" s="544">
        <v>0</v>
      </c>
      <c r="G239" s="544">
        <v>0</v>
      </c>
      <c r="H239" s="544">
        <v>269130.88</v>
      </c>
      <c r="I239" s="316">
        <v>269130.88</v>
      </c>
      <c r="J239" s="518">
        <v>0</v>
      </c>
      <c r="K239" s="518">
        <v>0</v>
      </c>
      <c r="L239" s="518">
        <v>269130.88</v>
      </c>
      <c r="M239" s="554">
        <f>L239+J240</f>
        <v>271910.88</v>
      </c>
      <c r="N239" s="313">
        <f t="shared" si="3"/>
        <v>-2780</v>
      </c>
    </row>
    <row r="240" spans="3:15" ht="15" customHeight="1" x14ac:dyDescent="0.3">
      <c r="C240" s="545"/>
      <c r="D240" s="320"/>
      <c r="E240" s="544"/>
      <c r="F240" s="544"/>
      <c r="G240" s="544"/>
      <c r="H240" s="544"/>
      <c r="I240" s="589">
        <v>45657</v>
      </c>
      <c r="J240" s="557">
        <v>2780</v>
      </c>
      <c r="K240" s="518"/>
      <c r="L240" s="518"/>
      <c r="M240" s="317"/>
      <c r="N240" s="313">
        <f t="shared" si="3"/>
        <v>0</v>
      </c>
    </row>
    <row r="241" spans="3:14" ht="15" customHeight="1" x14ac:dyDescent="0.3">
      <c r="C241" s="543" t="s">
        <v>4516</v>
      </c>
      <c r="D241" s="319" t="s">
        <v>3457</v>
      </c>
      <c r="E241" s="544">
        <v>32880.080000000002</v>
      </c>
      <c r="F241" s="544">
        <v>0</v>
      </c>
      <c r="G241" s="544">
        <v>4979.88</v>
      </c>
      <c r="H241" s="544">
        <v>27900.2</v>
      </c>
      <c r="I241" s="312">
        <v>32880.080000000002</v>
      </c>
      <c r="J241" s="517">
        <v>0</v>
      </c>
      <c r="K241" s="517">
        <v>4979.88</v>
      </c>
      <c r="L241" s="517">
        <v>27900.2</v>
      </c>
      <c r="M241" s="313">
        <f>SUM(M242:M246)</f>
        <v>32880.080000000002</v>
      </c>
      <c r="N241" s="313">
        <f t="shared" si="3"/>
        <v>-4979.880000000001</v>
      </c>
    </row>
    <row r="242" spans="3:14" ht="15" customHeight="1" x14ac:dyDescent="0.3">
      <c r="C242" s="545" t="s">
        <v>4517</v>
      </c>
      <c r="D242" s="320" t="s">
        <v>824</v>
      </c>
      <c r="E242" s="544">
        <v>8945.5</v>
      </c>
      <c r="F242" s="544">
        <v>0</v>
      </c>
      <c r="G242" s="544">
        <v>0</v>
      </c>
      <c r="H242" s="544">
        <v>8945.5</v>
      </c>
      <c r="I242" s="316">
        <v>8945.5</v>
      </c>
      <c r="J242" s="518">
        <v>0</v>
      </c>
      <c r="K242" s="518">
        <v>0</v>
      </c>
      <c r="L242" s="518">
        <v>8945.5</v>
      </c>
      <c r="M242" s="317">
        <v>8945.5</v>
      </c>
      <c r="N242" s="313">
        <f t="shared" si="3"/>
        <v>0</v>
      </c>
    </row>
    <row r="243" spans="3:14" ht="15" customHeight="1" x14ac:dyDescent="0.3">
      <c r="C243" s="545" t="s">
        <v>4518</v>
      </c>
      <c r="D243" s="320" t="s">
        <v>827</v>
      </c>
      <c r="E243" s="544">
        <v>19674.09</v>
      </c>
      <c r="F243" s="544">
        <v>0</v>
      </c>
      <c r="G243" s="544">
        <v>0</v>
      </c>
      <c r="H243" s="544">
        <v>19674.09</v>
      </c>
      <c r="I243" s="316">
        <v>19674.09</v>
      </c>
      <c r="J243" s="518">
        <v>0</v>
      </c>
      <c r="K243" s="518">
        <v>0</v>
      </c>
      <c r="L243" s="518">
        <v>19674.09</v>
      </c>
      <c r="M243" s="317">
        <v>19674.09</v>
      </c>
      <c r="N243" s="313">
        <f t="shared" si="3"/>
        <v>0</v>
      </c>
    </row>
    <row r="244" spans="3:14" ht="15" customHeight="1" x14ac:dyDescent="0.3">
      <c r="C244" s="545" t="s">
        <v>4519</v>
      </c>
      <c r="D244" s="320" t="s">
        <v>830</v>
      </c>
      <c r="E244" s="544">
        <v>4260.49</v>
      </c>
      <c r="F244" s="544">
        <v>0</v>
      </c>
      <c r="G244" s="544">
        <v>0</v>
      </c>
      <c r="H244" s="544">
        <v>4260.49</v>
      </c>
      <c r="I244" s="316">
        <v>4260.49</v>
      </c>
      <c r="J244" s="518">
        <v>0</v>
      </c>
      <c r="K244" s="518">
        <v>0</v>
      </c>
      <c r="L244" s="518">
        <v>4260.49</v>
      </c>
      <c r="M244" s="317">
        <v>4260.49</v>
      </c>
      <c r="N244" s="313">
        <f t="shared" si="3"/>
        <v>0</v>
      </c>
    </row>
    <row r="245" spans="3:14" ht="15" customHeight="1" x14ac:dyDescent="0.3">
      <c r="C245" s="545" t="s">
        <v>4520</v>
      </c>
      <c r="D245" s="320" t="s">
        <v>5906</v>
      </c>
      <c r="E245" s="544">
        <v>0</v>
      </c>
      <c r="F245" s="544">
        <v>0</v>
      </c>
      <c r="G245" s="544">
        <v>4979.88</v>
      </c>
      <c r="H245" s="544">
        <v>-4979.88</v>
      </c>
      <c r="I245" s="316">
        <v>0</v>
      </c>
      <c r="J245" s="518">
        <v>0</v>
      </c>
      <c r="K245" s="518">
        <v>4979.88</v>
      </c>
      <c r="L245" s="518">
        <v>-4979.88</v>
      </c>
      <c r="M245" s="554">
        <f>L245+J246</f>
        <v>0</v>
      </c>
      <c r="N245" s="313">
        <f t="shared" si="3"/>
        <v>-4979.88</v>
      </c>
    </row>
    <row r="246" spans="3:14" ht="15" customHeight="1" x14ac:dyDescent="0.3">
      <c r="C246" s="545"/>
      <c r="D246" s="320"/>
      <c r="E246" s="544"/>
      <c r="F246" s="544"/>
      <c r="G246" s="544"/>
      <c r="H246" s="544"/>
      <c r="I246" s="589">
        <v>45657</v>
      </c>
      <c r="J246" s="557">
        <v>4979.88</v>
      </c>
      <c r="K246" s="517"/>
      <c r="L246" s="517"/>
      <c r="M246" s="313"/>
      <c r="N246" s="313">
        <f t="shared" si="3"/>
        <v>0</v>
      </c>
    </row>
    <row r="247" spans="3:14" ht="15" customHeight="1" x14ac:dyDescent="0.3">
      <c r="C247" s="543" t="s">
        <v>4521</v>
      </c>
      <c r="D247" s="319" t="s">
        <v>833</v>
      </c>
      <c r="E247" s="544">
        <v>846786.11</v>
      </c>
      <c r="F247" s="544">
        <v>67800</v>
      </c>
      <c r="G247" s="544">
        <v>290433.71999999997</v>
      </c>
      <c r="H247" s="544">
        <v>624152.39</v>
      </c>
      <c r="I247" s="312">
        <v>846786.11</v>
      </c>
      <c r="J247" s="517">
        <v>67800</v>
      </c>
      <c r="K247" s="517">
        <v>290433.71999999997</v>
      </c>
      <c r="L247" s="517">
        <v>624152.39</v>
      </c>
      <c r="M247" s="313">
        <v>778986.11</v>
      </c>
      <c r="N247" s="313">
        <f t="shared" si="3"/>
        <v>-154833.71999999997</v>
      </c>
    </row>
    <row r="248" spans="3:14" ht="15" customHeight="1" x14ac:dyDescent="0.3">
      <c r="C248" s="545" t="s">
        <v>4522</v>
      </c>
      <c r="D248" s="320" t="s">
        <v>3459</v>
      </c>
      <c r="E248" s="544">
        <v>846786.11</v>
      </c>
      <c r="F248" s="544">
        <v>67800</v>
      </c>
      <c r="G248" s="544">
        <v>135600</v>
      </c>
      <c r="H248" s="544">
        <v>778986.11</v>
      </c>
      <c r="I248" s="316">
        <v>846786.11</v>
      </c>
      <c r="J248" s="518">
        <v>67800</v>
      </c>
      <c r="K248" s="518">
        <v>135600</v>
      </c>
      <c r="L248" s="518">
        <v>778986.11</v>
      </c>
      <c r="M248" s="317">
        <v>778986.11</v>
      </c>
      <c r="N248" s="313">
        <f t="shared" si="3"/>
        <v>0</v>
      </c>
    </row>
    <row r="249" spans="3:14" ht="15" customHeight="1" x14ac:dyDescent="0.3">
      <c r="C249" s="545" t="s">
        <v>4523</v>
      </c>
      <c r="D249" s="320" t="s">
        <v>3460</v>
      </c>
      <c r="E249" s="544">
        <v>0</v>
      </c>
      <c r="F249" s="544">
        <v>0</v>
      </c>
      <c r="G249" s="544">
        <v>154833.72</v>
      </c>
      <c r="H249" s="544">
        <v>-154833.72</v>
      </c>
      <c r="I249" s="316">
        <v>0</v>
      </c>
      <c r="J249" s="518">
        <v>0</v>
      </c>
      <c r="K249" s="518">
        <v>154833.72</v>
      </c>
      <c r="L249" s="518">
        <v>-154833.72</v>
      </c>
      <c r="M249" s="554">
        <f>L249+J250</f>
        <v>0</v>
      </c>
      <c r="N249" s="313">
        <f t="shared" si="3"/>
        <v>-154833.72</v>
      </c>
    </row>
    <row r="250" spans="3:14" ht="15" customHeight="1" x14ac:dyDescent="0.3">
      <c r="C250" s="545"/>
      <c r="D250" s="320"/>
      <c r="E250" s="544"/>
      <c r="F250" s="544"/>
      <c r="G250" s="544"/>
      <c r="H250" s="544"/>
      <c r="I250" s="589">
        <v>45657</v>
      </c>
      <c r="J250" s="557">
        <v>154833.72</v>
      </c>
      <c r="K250" s="518"/>
      <c r="L250" s="518"/>
      <c r="M250" s="317"/>
      <c r="N250" s="313">
        <f t="shared" si="3"/>
        <v>0</v>
      </c>
    </row>
    <row r="251" spans="3:14" ht="15" customHeight="1" x14ac:dyDescent="0.3">
      <c r="C251" s="543" t="s">
        <v>4524</v>
      </c>
      <c r="D251" s="319" t="s">
        <v>839</v>
      </c>
      <c r="E251" s="544">
        <v>449068.7</v>
      </c>
      <c r="F251" s="544">
        <v>209092.45</v>
      </c>
      <c r="G251" s="544">
        <v>168037.11</v>
      </c>
      <c r="H251" s="544">
        <v>490124.04</v>
      </c>
      <c r="I251" s="312">
        <v>449068.7</v>
      </c>
      <c r="J251" s="517">
        <v>209092.45</v>
      </c>
      <c r="K251" s="517">
        <v>168037.11</v>
      </c>
      <c r="L251" s="517">
        <v>490124.04</v>
      </c>
      <c r="M251" s="313">
        <f>SUM(M252:M260)</f>
        <v>582857.32000000007</v>
      </c>
      <c r="N251" s="313">
        <f t="shared" si="3"/>
        <v>-92733.280000000086</v>
      </c>
    </row>
    <row r="252" spans="3:14" ht="15" customHeight="1" x14ac:dyDescent="0.3">
      <c r="C252" s="545" t="s">
        <v>4525</v>
      </c>
      <c r="D252" s="320" t="s">
        <v>843</v>
      </c>
      <c r="E252" s="544">
        <v>182065.14</v>
      </c>
      <c r="F252" s="544">
        <v>11747.33</v>
      </c>
      <c r="G252" s="544">
        <v>23494.66</v>
      </c>
      <c r="H252" s="544">
        <v>170317.81</v>
      </c>
      <c r="I252" s="316">
        <v>182065.14</v>
      </c>
      <c r="J252" s="518">
        <v>11747.33</v>
      </c>
      <c r="K252" s="518">
        <v>23494.66</v>
      </c>
      <c r="L252" s="518">
        <v>170317.81</v>
      </c>
      <c r="M252" s="317">
        <v>170317.81</v>
      </c>
      <c r="N252" s="313">
        <f t="shared" si="3"/>
        <v>0</v>
      </c>
    </row>
    <row r="253" spans="3:14" ht="15" customHeight="1" x14ac:dyDescent="0.3">
      <c r="C253" s="545" t="s">
        <v>4526</v>
      </c>
      <c r="D253" s="320" t="s">
        <v>846</v>
      </c>
      <c r="E253" s="544">
        <v>69781.06</v>
      </c>
      <c r="F253" s="544">
        <v>2156.3200000000002</v>
      </c>
      <c r="G253" s="544">
        <v>4312.6400000000003</v>
      </c>
      <c r="H253" s="544">
        <v>67624.740000000005</v>
      </c>
      <c r="I253" s="316">
        <v>69781.06</v>
      </c>
      <c r="J253" s="518">
        <v>2156.3200000000002</v>
      </c>
      <c r="K253" s="518">
        <v>4312.6400000000003</v>
      </c>
      <c r="L253" s="518">
        <v>67624.740000000005</v>
      </c>
      <c r="M253" s="317">
        <v>67624.740000000005</v>
      </c>
      <c r="N253" s="313">
        <f t="shared" si="3"/>
        <v>0</v>
      </c>
    </row>
    <row r="254" spans="3:14" ht="15" customHeight="1" x14ac:dyDescent="0.3">
      <c r="C254" s="545" t="s">
        <v>4527</v>
      </c>
      <c r="D254" s="320" t="s">
        <v>849</v>
      </c>
      <c r="E254" s="544">
        <v>9604.94</v>
      </c>
      <c r="F254" s="544">
        <v>0</v>
      </c>
      <c r="G254" s="544">
        <v>0</v>
      </c>
      <c r="H254" s="544">
        <v>9604.94</v>
      </c>
      <c r="I254" s="316">
        <v>9604.94</v>
      </c>
      <c r="J254" s="518">
        <v>0</v>
      </c>
      <c r="K254" s="518">
        <v>0</v>
      </c>
      <c r="L254" s="518">
        <v>9604.94</v>
      </c>
      <c r="M254" s="317">
        <v>9604.94</v>
      </c>
      <c r="N254" s="313">
        <f t="shared" si="3"/>
        <v>0</v>
      </c>
    </row>
    <row r="255" spans="3:14" ht="15" customHeight="1" x14ac:dyDescent="0.3">
      <c r="C255" s="545" t="s">
        <v>4528</v>
      </c>
      <c r="D255" s="320" t="s">
        <v>852</v>
      </c>
      <c r="E255" s="544">
        <v>187617.56</v>
      </c>
      <c r="F255" s="544">
        <v>20808.8</v>
      </c>
      <c r="G255" s="544">
        <v>41617.599999999999</v>
      </c>
      <c r="H255" s="544">
        <v>166808.76</v>
      </c>
      <c r="I255" s="316">
        <v>187617.56</v>
      </c>
      <c r="J255" s="518">
        <v>20808.8</v>
      </c>
      <c r="K255" s="518">
        <v>41617.599999999999</v>
      </c>
      <c r="L255" s="518">
        <v>166808.76</v>
      </c>
      <c r="M255" s="554">
        <f>L255-K256</f>
        <v>162378.76</v>
      </c>
      <c r="N255" s="313">
        <f t="shared" si="3"/>
        <v>4430</v>
      </c>
    </row>
    <row r="256" spans="3:14" ht="15" customHeight="1" x14ac:dyDescent="0.3">
      <c r="C256" s="545"/>
      <c r="D256" s="320"/>
      <c r="E256" s="544"/>
      <c r="F256" s="544"/>
      <c r="G256" s="544"/>
      <c r="H256" s="544"/>
      <c r="I256" s="316"/>
      <c r="J256" s="518"/>
      <c r="K256" s="557">
        <v>4430</v>
      </c>
      <c r="L256" s="589"/>
      <c r="M256" s="317"/>
      <c r="N256" s="313">
        <f t="shared" si="3"/>
        <v>0</v>
      </c>
    </row>
    <row r="257" spans="3:14" ht="15" customHeight="1" x14ac:dyDescent="0.3">
      <c r="C257" s="545" t="s">
        <v>4529</v>
      </c>
      <c r="D257" s="320" t="s">
        <v>3461</v>
      </c>
      <c r="E257" s="544">
        <v>0</v>
      </c>
      <c r="F257" s="544">
        <v>174380</v>
      </c>
      <c r="G257" s="544">
        <v>0</v>
      </c>
      <c r="H257" s="544">
        <v>174380</v>
      </c>
      <c r="I257" s="316">
        <v>0</v>
      </c>
      <c r="J257" s="518">
        <v>174380</v>
      </c>
      <c r="K257" s="518">
        <v>0</v>
      </c>
      <c r="L257" s="518">
        <v>174380</v>
      </c>
      <c r="M257" s="554">
        <f>L257-K258</f>
        <v>172931.07</v>
      </c>
      <c r="N257" s="313">
        <f t="shared" si="3"/>
        <v>1448.929999999993</v>
      </c>
    </row>
    <row r="258" spans="3:14" ht="15" customHeight="1" x14ac:dyDescent="0.3">
      <c r="C258" s="545"/>
      <c r="D258" s="320"/>
      <c r="E258" s="544"/>
      <c r="F258" s="544"/>
      <c r="G258" s="544"/>
      <c r="H258" s="544"/>
      <c r="I258" s="316"/>
      <c r="J258" s="518"/>
      <c r="K258" s="557">
        <v>1448.93</v>
      </c>
      <c r="L258" s="589"/>
      <c r="M258" s="317"/>
      <c r="N258" s="313">
        <f t="shared" si="3"/>
        <v>0</v>
      </c>
    </row>
    <row r="259" spans="3:14" ht="15" customHeight="1" x14ac:dyDescent="0.3">
      <c r="C259" s="545" t="s">
        <v>4530</v>
      </c>
      <c r="D259" s="320" t="s">
        <v>3462</v>
      </c>
      <c r="E259" s="544">
        <v>0</v>
      </c>
      <c r="F259" s="544">
        <v>0</v>
      </c>
      <c r="G259" s="544">
        <v>98612.21</v>
      </c>
      <c r="H259" s="544">
        <v>-98612.21</v>
      </c>
      <c r="I259" s="316">
        <v>0</v>
      </c>
      <c r="J259" s="518">
        <v>0</v>
      </c>
      <c r="K259" s="518">
        <v>98612.21</v>
      </c>
      <c r="L259" s="518">
        <v>-98612.21</v>
      </c>
      <c r="M259" s="554">
        <f>L259+J260</f>
        <v>0</v>
      </c>
      <c r="N259" s="313">
        <f t="shared" si="3"/>
        <v>-98612.21</v>
      </c>
    </row>
    <row r="260" spans="3:14" ht="15" customHeight="1" x14ac:dyDescent="0.3">
      <c r="C260" s="545"/>
      <c r="D260" s="320"/>
      <c r="E260" s="544"/>
      <c r="F260" s="544"/>
      <c r="G260" s="544"/>
      <c r="H260" s="544"/>
      <c r="I260" s="589">
        <v>45657</v>
      </c>
      <c r="J260" s="557">
        <v>98612.21</v>
      </c>
      <c r="K260" s="518"/>
      <c r="L260" s="518"/>
      <c r="M260" s="317"/>
      <c r="N260" s="313">
        <f t="shared" si="3"/>
        <v>0</v>
      </c>
    </row>
    <row r="261" spans="3:14" ht="15" customHeight="1" x14ac:dyDescent="0.3">
      <c r="C261" s="543" t="s">
        <v>4531</v>
      </c>
      <c r="D261" s="319" t="s">
        <v>858</v>
      </c>
      <c r="E261" s="544">
        <v>337165.95</v>
      </c>
      <c r="F261" s="544">
        <v>0</v>
      </c>
      <c r="G261" s="544">
        <v>0</v>
      </c>
      <c r="H261" s="544">
        <v>337165.95</v>
      </c>
      <c r="I261" s="312">
        <v>337165.95</v>
      </c>
      <c r="J261" s="517">
        <v>0</v>
      </c>
      <c r="K261" s="517">
        <v>0</v>
      </c>
      <c r="L261" s="517">
        <v>337165.95</v>
      </c>
      <c r="M261" s="313">
        <v>337165.95</v>
      </c>
      <c r="N261" s="313">
        <f t="shared" si="3"/>
        <v>0</v>
      </c>
    </row>
    <row r="262" spans="3:14" ht="15" customHeight="1" x14ac:dyDescent="0.3">
      <c r="C262" s="545" t="s">
        <v>4532</v>
      </c>
      <c r="D262" s="320" t="s">
        <v>862</v>
      </c>
      <c r="E262" s="544">
        <v>5210.63</v>
      </c>
      <c r="F262" s="544">
        <v>0</v>
      </c>
      <c r="G262" s="544">
        <v>0</v>
      </c>
      <c r="H262" s="544">
        <v>5210.63</v>
      </c>
      <c r="I262" s="316">
        <v>5210.63</v>
      </c>
      <c r="J262" s="518">
        <v>0</v>
      </c>
      <c r="K262" s="518">
        <v>0</v>
      </c>
      <c r="L262" s="518">
        <v>5210.63</v>
      </c>
      <c r="M262" s="317">
        <v>5210.63</v>
      </c>
      <c r="N262" s="313">
        <f t="shared" si="3"/>
        <v>0</v>
      </c>
    </row>
    <row r="263" spans="3:14" ht="15" customHeight="1" x14ac:dyDescent="0.3">
      <c r="C263" s="545" t="s">
        <v>4533</v>
      </c>
      <c r="D263" s="320" t="s">
        <v>865</v>
      </c>
      <c r="E263" s="544">
        <v>490</v>
      </c>
      <c r="F263" s="544">
        <v>0</v>
      </c>
      <c r="G263" s="544">
        <v>0</v>
      </c>
      <c r="H263" s="544">
        <v>490</v>
      </c>
      <c r="I263" s="316">
        <v>490</v>
      </c>
      <c r="J263" s="518">
        <v>0</v>
      </c>
      <c r="K263" s="518">
        <v>0</v>
      </c>
      <c r="L263" s="518">
        <v>490</v>
      </c>
      <c r="M263" s="317">
        <v>490</v>
      </c>
      <c r="N263" s="313">
        <f t="shared" si="3"/>
        <v>0</v>
      </c>
    </row>
    <row r="264" spans="3:14" ht="15" customHeight="1" x14ac:dyDescent="0.3">
      <c r="C264" s="545" t="s">
        <v>4534</v>
      </c>
      <c r="D264" s="320" t="s">
        <v>868</v>
      </c>
      <c r="E264" s="544">
        <v>331465.32</v>
      </c>
      <c r="F264" s="544">
        <v>0</v>
      </c>
      <c r="G264" s="544">
        <v>0</v>
      </c>
      <c r="H264" s="544">
        <v>331465.32</v>
      </c>
      <c r="I264" s="316">
        <v>331465.32</v>
      </c>
      <c r="J264" s="518">
        <v>0</v>
      </c>
      <c r="K264" s="518">
        <v>0</v>
      </c>
      <c r="L264" s="518">
        <v>331465.32</v>
      </c>
      <c r="M264" s="317">
        <v>331465.32</v>
      </c>
      <c r="N264" s="313">
        <f t="shared" si="3"/>
        <v>0</v>
      </c>
    </row>
    <row r="265" spans="3:14" ht="15" customHeight="1" x14ac:dyDescent="0.3">
      <c r="C265" s="543" t="s">
        <v>4535</v>
      </c>
      <c r="D265" s="319" t="s">
        <v>3463</v>
      </c>
      <c r="E265" s="544">
        <v>4569.91</v>
      </c>
      <c r="F265" s="544">
        <v>0</v>
      </c>
      <c r="G265" s="544">
        <v>0</v>
      </c>
      <c r="H265" s="544">
        <v>4569.91</v>
      </c>
      <c r="I265" s="312">
        <v>4569.91</v>
      </c>
      <c r="J265" s="517">
        <v>0</v>
      </c>
      <c r="K265" s="517">
        <v>0</v>
      </c>
      <c r="L265" s="517">
        <v>4569.91</v>
      </c>
      <c r="M265" s="313">
        <v>4569.91</v>
      </c>
      <c r="N265" s="313">
        <f t="shared" si="3"/>
        <v>0</v>
      </c>
    </row>
    <row r="266" spans="3:14" ht="15" customHeight="1" x14ac:dyDescent="0.3">
      <c r="C266" s="545" t="s">
        <v>4536</v>
      </c>
      <c r="D266" s="320" t="s">
        <v>875</v>
      </c>
      <c r="E266" s="544">
        <v>4569.91</v>
      </c>
      <c r="F266" s="544">
        <v>0</v>
      </c>
      <c r="G266" s="544">
        <v>0</v>
      </c>
      <c r="H266" s="544">
        <v>4569.91</v>
      </c>
      <c r="I266" s="316">
        <v>4569.91</v>
      </c>
      <c r="J266" s="518">
        <v>0</v>
      </c>
      <c r="K266" s="518">
        <v>0</v>
      </c>
      <c r="L266" s="518">
        <v>4569.91</v>
      </c>
      <c r="M266" s="317">
        <v>4569.91</v>
      </c>
      <c r="N266" s="313">
        <f t="shared" si="3"/>
        <v>0</v>
      </c>
    </row>
    <row r="267" spans="3:14" ht="15" customHeight="1" x14ac:dyDescent="0.3">
      <c r="C267" s="543" t="s">
        <v>4537</v>
      </c>
      <c r="D267" s="319" t="s">
        <v>3465</v>
      </c>
      <c r="E267" s="544">
        <v>-29441768.559999999</v>
      </c>
      <c r="F267" s="544">
        <v>1582531.86</v>
      </c>
      <c r="G267" s="544">
        <v>1086202.6399999999</v>
      </c>
      <c r="H267" s="544">
        <v>-28945439.34</v>
      </c>
      <c r="I267" s="312">
        <v>-29441768.559999999</v>
      </c>
      <c r="J267" s="517">
        <v>1582531.86</v>
      </c>
      <c r="K267" s="517">
        <v>1086202.6399999999</v>
      </c>
      <c r="L267" s="517">
        <v>-28945439.34</v>
      </c>
      <c r="M267" s="313">
        <f>SUM(M268:M283)</f>
        <v>-29155253.919999994</v>
      </c>
      <c r="N267" s="313">
        <f t="shared" si="3"/>
        <v>209814.57999999449</v>
      </c>
    </row>
    <row r="268" spans="3:14" ht="15" customHeight="1" x14ac:dyDescent="0.3">
      <c r="C268" s="545" t="s">
        <v>4538</v>
      </c>
      <c r="D268" s="320" t="s">
        <v>881</v>
      </c>
      <c r="E268" s="544">
        <v>-6711170.5700000003</v>
      </c>
      <c r="F268" s="544">
        <v>0</v>
      </c>
      <c r="G268" s="544">
        <v>476532.82</v>
      </c>
      <c r="H268" s="544">
        <v>-7187703.3899999997</v>
      </c>
      <c r="I268" s="316">
        <v>-6711170.5700000003</v>
      </c>
      <c r="J268" s="518">
        <v>0</v>
      </c>
      <c r="K268" s="518">
        <v>476532.82</v>
      </c>
      <c r="L268" s="518">
        <v>-7187703.3899999997</v>
      </c>
      <c r="M268" s="554">
        <f>L268-K269</f>
        <v>-7879355.9799999995</v>
      </c>
      <c r="N268" s="313">
        <f t="shared" si="3"/>
        <v>691652.58999999985</v>
      </c>
    </row>
    <row r="269" spans="3:14" ht="15" customHeight="1" x14ac:dyDescent="0.3">
      <c r="C269" s="545"/>
      <c r="D269" s="320"/>
      <c r="E269" s="544"/>
      <c r="F269" s="544"/>
      <c r="G269" s="544"/>
      <c r="H269" s="544"/>
      <c r="I269" s="316"/>
      <c r="J269" s="518"/>
      <c r="K269" s="557">
        <v>691652.59</v>
      </c>
      <c r="L269" s="595"/>
      <c r="M269" s="554"/>
      <c r="N269" s="313">
        <f t="shared" ref="N269:N332" si="4">L269-M269</f>
        <v>0</v>
      </c>
    </row>
    <row r="270" spans="3:14" ht="15" customHeight="1" x14ac:dyDescent="0.3">
      <c r="C270" s="545" t="s">
        <v>4539</v>
      </c>
      <c r="D270" s="320" t="s">
        <v>885</v>
      </c>
      <c r="E270" s="544">
        <v>-17859322.640000001</v>
      </c>
      <c r="F270" s="544">
        <v>1096358</v>
      </c>
      <c r="G270" s="544">
        <v>376233.72</v>
      </c>
      <c r="H270" s="544">
        <v>-17139198.359999999</v>
      </c>
      <c r="I270" s="316">
        <v>-17859322.640000001</v>
      </c>
      <c r="J270" s="518">
        <v>1096358</v>
      </c>
      <c r="K270" s="518">
        <v>376233.72</v>
      </c>
      <c r="L270" s="518">
        <v>-17139198.359999999</v>
      </c>
      <c r="M270" s="554">
        <f>L270+J271</f>
        <v>-16661120</v>
      </c>
      <c r="N270" s="313">
        <f t="shared" si="4"/>
        <v>-478078.3599999994</v>
      </c>
    </row>
    <row r="271" spans="3:14" ht="15" customHeight="1" x14ac:dyDescent="0.3">
      <c r="C271" s="545"/>
      <c r="D271" s="320"/>
      <c r="E271" s="544"/>
      <c r="F271" s="544"/>
      <c r="G271" s="544"/>
      <c r="H271" s="544"/>
      <c r="I271" s="589">
        <v>45657</v>
      </c>
      <c r="J271" s="557">
        <v>478078.36</v>
      </c>
      <c r="K271" s="518"/>
      <c r="L271" s="518"/>
      <c r="M271" s="554"/>
      <c r="N271" s="313">
        <f t="shared" si="4"/>
        <v>0</v>
      </c>
    </row>
    <row r="272" spans="3:14" ht="15" customHeight="1" x14ac:dyDescent="0.3">
      <c r="C272" s="545" t="s">
        <v>4540</v>
      </c>
      <c r="D272" s="320" t="s">
        <v>889</v>
      </c>
      <c r="E272" s="544">
        <v>-145360.85</v>
      </c>
      <c r="F272" s="544">
        <v>58424.480000000003</v>
      </c>
      <c r="G272" s="544">
        <v>32241.27</v>
      </c>
      <c r="H272" s="544">
        <v>-119177.64</v>
      </c>
      <c r="I272" s="316">
        <v>-145360.85</v>
      </c>
      <c r="J272" s="518">
        <v>58424.480000000003</v>
      </c>
      <c r="K272" s="518">
        <v>32241.27</v>
      </c>
      <c r="L272" s="518">
        <v>-119177.64</v>
      </c>
      <c r="M272" s="554">
        <f>L272+J273</f>
        <v>-27804.490000000005</v>
      </c>
      <c r="N272" s="313">
        <f t="shared" si="4"/>
        <v>-91373.15</v>
      </c>
    </row>
    <row r="273" spans="3:18" ht="15" customHeight="1" x14ac:dyDescent="0.3">
      <c r="C273" s="545"/>
      <c r="D273" s="320"/>
      <c r="E273" s="544"/>
      <c r="F273" s="544"/>
      <c r="G273" s="544"/>
      <c r="H273" s="544"/>
      <c r="I273" s="589">
        <v>45657</v>
      </c>
      <c r="J273" s="557">
        <v>91373.15</v>
      </c>
      <c r="K273" s="518"/>
      <c r="L273" s="518"/>
      <c r="M273" s="554"/>
      <c r="N273" s="313">
        <f t="shared" si="4"/>
        <v>0</v>
      </c>
    </row>
    <row r="274" spans="3:18" ht="15" customHeight="1" x14ac:dyDescent="0.3">
      <c r="C274" s="545" t="s">
        <v>4541</v>
      </c>
      <c r="D274" s="320" t="s">
        <v>892</v>
      </c>
      <c r="E274" s="544">
        <v>-3202809.3</v>
      </c>
      <c r="F274" s="544">
        <v>0</v>
      </c>
      <c r="G274" s="544">
        <v>0</v>
      </c>
      <c r="H274" s="544">
        <v>-3202809.3</v>
      </c>
      <c r="I274" s="316">
        <v>-3202809.3</v>
      </c>
      <c r="J274" s="518">
        <v>0</v>
      </c>
      <c r="K274" s="518">
        <v>0</v>
      </c>
      <c r="L274" s="518">
        <v>-3202809.3</v>
      </c>
      <c r="M274" s="554">
        <f>L274+J275</f>
        <v>-3202258.13</v>
      </c>
      <c r="N274" s="313">
        <f t="shared" si="4"/>
        <v>-551.16999999992549</v>
      </c>
    </row>
    <row r="275" spans="3:18" ht="15" customHeight="1" x14ac:dyDescent="0.3">
      <c r="C275" s="545"/>
      <c r="D275" s="320"/>
      <c r="E275" s="544"/>
      <c r="F275" s="544"/>
      <c r="G275" s="544"/>
      <c r="H275" s="544"/>
      <c r="I275" s="589">
        <v>45657</v>
      </c>
      <c r="J275" s="557">
        <v>551.16999999999996</v>
      </c>
      <c r="K275" s="518"/>
      <c r="L275" s="518"/>
      <c r="M275" s="554"/>
      <c r="N275" s="313">
        <f t="shared" si="4"/>
        <v>0</v>
      </c>
    </row>
    <row r="276" spans="3:18" ht="15" customHeight="1" x14ac:dyDescent="0.3">
      <c r="C276" s="545" t="s">
        <v>4542</v>
      </c>
      <c r="D276" s="320" t="s">
        <v>895</v>
      </c>
      <c r="E276" s="544">
        <v>-27900.2</v>
      </c>
      <c r="F276" s="544">
        <v>0</v>
      </c>
      <c r="G276" s="544">
        <v>0</v>
      </c>
      <c r="H276" s="544">
        <v>-27900.2</v>
      </c>
      <c r="I276" s="316">
        <v>-27900.2</v>
      </c>
      <c r="J276" s="518">
        <v>0</v>
      </c>
      <c r="K276" s="518">
        <v>0</v>
      </c>
      <c r="L276" s="518">
        <v>-27900.2</v>
      </c>
      <c r="M276" s="554">
        <f>L276-K277</f>
        <v>-32880.080000000002</v>
      </c>
      <c r="N276" s="313">
        <f t="shared" si="4"/>
        <v>4979.880000000001</v>
      </c>
    </row>
    <row r="277" spans="3:18" ht="15" customHeight="1" x14ac:dyDescent="0.3">
      <c r="C277" s="545"/>
      <c r="D277" s="320"/>
      <c r="E277" s="544"/>
      <c r="F277" s="544"/>
      <c r="G277" s="544"/>
      <c r="H277" s="544"/>
      <c r="I277" s="316"/>
      <c r="J277" s="518"/>
      <c r="K277" s="557">
        <v>4979.88</v>
      </c>
      <c r="L277" s="589"/>
      <c r="M277" s="554"/>
      <c r="N277" s="313">
        <f t="shared" si="4"/>
        <v>0</v>
      </c>
    </row>
    <row r="278" spans="3:18" ht="15" customHeight="1" x14ac:dyDescent="0.3">
      <c r="C278" s="545" t="s">
        <v>4543</v>
      </c>
      <c r="D278" s="320" t="s">
        <v>899</v>
      </c>
      <c r="E278" s="544">
        <v>-789851.11</v>
      </c>
      <c r="F278" s="544">
        <v>279658.12</v>
      </c>
      <c r="G278" s="544">
        <v>67800</v>
      </c>
      <c r="H278" s="544">
        <v>-577992.99</v>
      </c>
      <c r="I278" s="316">
        <v>-789851.11</v>
      </c>
      <c r="J278" s="518">
        <v>279658.12</v>
      </c>
      <c r="K278" s="518">
        <v>67800</v>
      </c>
      <c r="L278" s="518">
        <v>-577992.99</v>
      </c>
      <c r="M278" s="554">
        <f>L278-K279</f>
        <v>-653046.11</v>
      </c>
      <c r="N278" s="313">
        <f t="shared" si="4"/>
        <v>75053.119999999995</v>
      </c>
    </row>
    <row r="279" spans="3:18" ht="15" customHeight="1" x14ac:dyDescent="0.3">
      <c r="C279" s="545"/>
      <c r="D279" s="320"/>
      <c r="E279" s="544"/>
      <c r="F279" s="544"/>
      <c r="G279" s="544"/>
      <c r="H279" s="544"/>
      <c r="I279" s="316"/>
      <c r="J279" s="518"/>
      <c r="K279" s="557">
        <v>75053.119999999995</v>
      </c>
      <c r="L279" s="595"/>
      <c r="M279" s="554"/>
      <c r="N279" s="313">
        <f t="shared" si="4"/>
        <v>0</v>
      </c>
    </row>
    <row r="280" spans="3:18" ht="15" customHeight="1" x14ac:dyDescent="0.3">
      <c r="C280" s="545" t="s">
        <v>4544</v>
      </c>
      <c r="D280" s="320" t="s">
        <v>902</v>
      </c>
      <c r="E280" s="544">
        <v>-368187.94</v>
      </c>
      <c r="F280" s="544">
        <v>70848.100000000006</v>
      </c>
      <c r="G280" s="544">
        <v>56151.67</v>
      </c>
      <c r="H280" s="544">
        <v>-353491.51</v>
      </c>
      <c r="I280" s="316">
        <v>-368187.94</v>
      </c>
      <c r="J280" s="518">
        <v>70848.100000000006</v>
      </c>
      <c r="K280" s="518">
        <v>56151.67</v>
      </c>
      <c r="L280" s="518">
        <v>-353491.51</v>
      </c>
      <c r="M280" s="554">
        <f>L280-K281</f>
        <v>-361623.18</v>
      </c>
      <c r="N280" s="313">
        <f t="shared" si="4"/>
        <v>8131.6699999999837</v>
      </c>
    </row>
    <row r="281" spans="3:18" ht="15" customHeight="1" x14ac:dyDescent="0.3">
      <c r="C281" s="545"/>
      <c r="D281" s="320"/>
      <c r="E281" s="544"/>
      <c r="F281" s="544"/>
      <c r="G281" s="544"/>
      <c r="H281" s="544"/>
      <c r="I281" s="316"/>
      <c r="J281" s="518"/>
      <c r="K281" s="557">
        <v>8131.67</v>
      </c>
      <c r="L281" s="589"/>
      <c r="M281" s="555"/>
      <c r="N281" s="313">
        <f t="shared" si="4"/>
        <v>0</v>
      </c>
    </row>
    <row r="282" spans="3:18" ht="15" customHeight="1" x14ac:dyDescent="0.3">
      <c r="C282" s="545" t="s">
        <v>4545</v>
      </c>
      <c r="D282" s="320" t="s">
        <v>905</v>
      </c>
      <c r="E282" s="544">
        <v>-337165.95</v>
      </c>
      <c r="F282" s="544">
        <v>0</v>
      </c>
      <c r="G282" s="544">
        <v>0</v>
      </c>
      <c r="H282" s="544">
        <v>-337165.95</v>
      </c>
      <c r="I282" s="316">
        <v>-337165.95</v>
      </c>
      <c r="J282" s="518">
        <v>0</v>
      </c>
      <c r="K282" s="518">
        <v>0</v>
      </c>
      <c r="L282" s="518">
        <v>-337165.95</v>
      </c>
      <c r="M282" s="317">
        <v>-337165.95</v>
      </c>
      <c r="N282" s="313">
        <f t="shared" si="4"/>
        <v>0</v>
      </c>
    </row>
    <row r="283" spans="3:18" ht="15" customHeight="1" x14ac:dyDescent="0.3">
      <c r="C283" s="545" t="s">
        <v>4546</v>
      </c>
      <c r="D283" s="320" t="s">
        <v>3466</v>
      </c>
      <c r="E283" s="544">
        <v>0</v>
      </c>
      <c r="F283" s="544">
        <v>77243.16</v>
      </c>
      <c r="G283" s="544">
        <v>77243.16</v>
      </c>
      <c r="H283" s="544">
        <v>0</v>
      </c>
      <c r="I283" s="316">
        <v>0</v>
      </c>
      <c r="J283" s="518">
        <v>77243.16</v>
      </c>
      <c r="K283" s="518">
        <v>77243.16</v>
      </c>
      <c r="L283" s="518">
        <v>0</v>
      </c>
      <c r="M283" s="317">
        <v>0</v>
      </c>
      <c r="N283" s="313">
        <f t="shared" si="4"/>
        <v>0</v>
      </c>
    </row>
    <row r="284" spans="3:18" ht="15" customHeight="1" x14ac:dyDescent="0.3">
      <c r="C284" s="545"/>
      <c r="D284" s="320"/>
      <c r="E284" s="544"/>
      <c r="F284" s="544"/>
      <c r="G284" s="544"/>
      <c r="H284" s="544"/>
      <c r="I284" s="316"/>
      <c r="J284" s="554"/>
      <c r="K284" s="554"/>
      <c r="L284" s="518"/>
      <c r="M284" s="317"/>
      <c r="N284" s="313">
        <f t="shared" si="4"/>
        <v>0</v>
      </c>
      <c r="O284" s="548"/>
    </row>
    <row r="285" spans="3:18" ht="15" customHeight="1" x14ac:dyDescent="0.3">
      <c r="C285" s="545"/>
      <c r="D285" s="320"/>
      <c r="E285" s="544"/>
      <c r="F285" s="544"/>
      <c r="G285" s="544"/>
      <c r="H285" s="544"/>
      <c r="I285" s="316"/>
      <c r="J285" s="518"/>
      <c r="K285" s="518"/>
      <c r="L285" s="518"/>
      <c r="M285" s="317"/>
      <c r="N285" s="313">
        <f t="shared" si="4"/>
        <v>0</v>
      </c>
      <c r="O285" s="548"/>
    </row>
    <row r="286" spans="3:18" ht="15" customHeight="1" x14ac:dyDescent="0.3">
      <c r="C286" s="545"/>
      <c r="D286" s="320"/>
      <c r="E286" s="544"/>
      <c r="F286" s="544"/>
      <c r="G286" s="544"/>
      <c r="H286" s="544"/>
      <c r="I286" s="316"/>
      <c r="J286" s="518"/>
      <c r="K286" s="518"/>
      <c r="L286" s="518"/>
      <c r="M286" s="317"/>
      <c r="N286" s="313">
        <f t="shared" si="4"/>
        <v>0</v>
      </c>
    </row>
    <row r="287" spans="3:18" ht="15" customHeight="1" x14ac:dyDescent="0.3">
      <c r="C287" s="543">
        <v>2</v>
      </c>
      <c r="D287" s="319" t="s">
        <v>3467</v>
      </c>
      <c r="E287" s="544">
        <v>-58488220.68</v>
      </c>
      <c r="F287" s="544">
        <v>179972520.94999999</v>
      </c>
      <c r="G287" s="544">
        <v>187082863.00999999</v>
      </c>
      <c r="H287" s="544">
        <v>-65598562.740000002</v>
      </c>
      <c r="I287" s="312">
        <v>-58488220.68</v>
      </c>
      <c r="J287" s="517">
        <v>179972520.94999999</v>
      </c>
      <c r="K287" s="517">
        <v>187082863.00999999</v>
      </c>
      <c r="L287" s="517">
        <v>-65598562.740000002</v>
      </c>
      <c r="M287" s="313">
        <f>M288+M500+M519</f>
        <v>-63176566.079999998</v>
      </c>
      <c r="N287" s="313">
        <f t="shared" si="4"/>
        <v>-2421996.6600000039</v>
      </c>
      <c r="O287" s="548"/>
      <c r="R287" s="547"/>
    </row>
    <row r="288" spans="3:18" ht="15" customHeight="1" x14ac:dyDescent="0.3">
      <c r="C288" s="543" t="s">
        <v>4547</v>
      </c>
      <c r="D288" s="319" t="s">
        <v>3468</v>
      </c>
      <c r="E288" s="544">
        <v>-36773048.049999997</v>
      </c>
      <c r="F288" s="544">
        <v>102162126.09999999</v>
      </c>
      <c r="G288" s="544">
        <v>96427473.840000004</v>
      </c>
      <c r="H288" s="544">
        <v>-31038395.789999999</v>
      </c>
      <c r="I288" s="312">
        <v>-36773048.049999997</v>
      </c>
      <c r="J288" s="517">
        <v>102162126.09999999</v>
      </c>
      <c r="K288" s="517">
        <v>96427473.840000004</v>
      </c>
      <c r="L288" s="517">
        <v>-31038395.789999999</v>
      </c>
      <c r="M288" s="313">
        <f>M289+M438+M458+M477+M484+M488+M493</f>
        <v>-28616399.130000003</v>
      </c>
      <c r="N288" s="313">
        <f t="shared" si="4"/>
        <v>-2421996.6599999964</v>
      </c>
    </row>
    <row r="289" spans="3:18" ht="15" customHeight="1" x14ac:dyDescent="0.35">
      <c r="C289" s="543" t="s">
        <v>4548</v>
      </c>
      <c r="D289" s="319" t="s">
        <v>3469</v>
      </c>
      <c r="E289" s="544">
        <v>-22911739.98</v>
      </c>
      <c r="F289" s="544">
        <v>31083504.460000001</v>
      </c>
      <c r="G289" s="544">
        <v>12249196.16</v>
      </c>
      <c r="H289" s="544">
        <v>-4077431.68</v>
      </c>
      <c r="I289" s="312">
        <v>-22911739.98</v>
      </c>
      <c r="J289" s="517">
        <v>31083504.460000001</v>
      </c>
      <c r="K289" s="517">
        <v>12249196.16</v>
      </c>
      <c r="L289" s="517">
        <v>-4077431.68</v>
      </c>
      <c r="M289" s="313">
        <f>M290+M299+M302+M308+M331+M428+M430</f>
        <v>-2151906.86</v>
      </c>
      <c r="N289" s="313">
        <f t="shared" si="4"/>
        <v>-1925524.8200000003</v>
      </c>
      <c r="O289" s="529" t="s">
        <v>3470</v>
      </c>
      <c r="P289" s="291">
        <v>12</v>
      </c>
    </row>
    <row r="290" spans="3:18" ht="15" customHeight="1" x14ac:dyDescent="0.3">
      <c r="C290" s="543" t="s">
        <v>4549</v>
      </c>
      <c r="D290" s="319" t="s">
        <v>3471</v>
      </c>
      <c r="E290" s="544">
        <v>-288491.62</v>
      </c>
      <c r="F290" s="544">
        <v>278948.86</v>
      </c>
      <c r="G290" s="544">
        <v>779761.04</v>
      </c>
      <c r="H290" s="544">
        <v>-789303.8</v>
      </c>
      <c r="I290" s="312">
        <v>-288491.62</v>
      </c>
      <c r="J290" s="517">
        <v>278948.86</v>
      </c>
      <c r="K290" s="517">
        <v>779761.04</v>
      </c>
      <c r="L290" s="517">
        <v>-789303.8</v>
      </c>
      <c r="M290" s="313">
        <v>-789303.8</v>
      </c>
      <c r="N290" s="313">
        <f t="shared" si="4"/>
        <v>0</v>
      </c>
    </row>
    <row r="291" spans="3:18" ht="15" customHeight="1" x14ac:dyDescent="0.3">
      <c r="C291" s="545" t="s">
        <v>4550</v>
      </c>
      <c r="D291" s="320" t="s">
        <v>923</v>
      </c>
      <c r="E291" s="544">
        <v>-2428</v>
      </c>
      <c r="F291" s="544">
        <v>2428</v>
      </c>
      <c r="G291" s="544">
        <v>0</v>
      </c>
      <c r="H291" s="544">
        <v>0</v>
      </c>
      <c r="I291" s="316">
        <v>-2428</v>
      </c>
      <c r="J291" s="518">
        <v>2428</v>
      </c>
      <c r="K291" s="518">
        <v>0</v>
      </c>
      <c r="L291" s="518">
        <v>0</v>
      </c>
      <c r="M291" s="317">
        <v>0</v>
      </c>
      <c r="N291" s="313">
        <f t="shared" si="4"/>
        <v>0</v>
      </c>
    </row>
    <row r="292" spans="3:18" ht="15" customHeight="1" x14ac:dyDescent="0.3">
      <c r="C292" s="545" t="s">
        <v>4551</v>
      </c>
      <c r="D292" s="320" t="s">
        <v>926</v>
      </c>
      <c r="E292" s="544">
        <v>-118073.7</v>
      </c>
      <c r="F292" s="544">
        <v>118073.7</v>
      </c>
      <c r="G292" s="544">
        <v>0</v>
      </c>
      <c r="H292" s="544">
        <v>0</v>
      </c>
      <c r="I292" s="316">
        <v>-118073.7</v>
      </c>
      <c r="J292" s="518">
        <v>118073.7</v>
      </c>
      <c r="K292" s="518">
        <v>0</v>
      </c>
      <c r="L292" s="518">
        <v>0</v>
      </c>
      <c r="M292" s="317">
        <v>0</v>
      </c>
      <c r="N292" s="313">
        <f t="shared" si="4"/>
        <v>0</v>
      </c>
      <c r="O292" s="548"/>
    </row>
    <row r="293" spans="3:18" ht="15" customHeight="1" x14ac:dyDescent="0.3">
      <c r="C293" s="545" t="s">
        <v>4552</v>
      </c>
      <c r="D293" s="320" t="s">
        <v>3472</v>
      </c>
      <c r="E293" s="544">
        <v>0</v>
      </c>
      <c r="F293" s="544">
        <v>0</v>
      </c>
      <c r="G293" s="544">
        <v>621313.88</v>
      </c>
      <c r="H293" s="544">
        <v>-621313.88</v>
      </c>
      <c r="I293" s="316">
        <v>0</v>
      </c>
      <c r="J293" s="518">
        <v>0</v>
      </c>
      <c r="K293" s="518">
        <v>621313.88</v>
      </c>
      <c r="L293" s="518">
        <v>-621313.88</v>
      </c>
      <c r="M293" s="317">
        <v>-621313.88</v>
      </c>
      <c r="N293" s="313">
        <f t="shared" si="4"/>
        <v>0</v>
      </c>
      <c r="O293" s="548"/>
      <c r="R293" s="547"/>
    </row>
    <row r="294" spans="3:18" ht="15" customHeight="1" x14ac:dyDescent="0.3">
      <c r="C294" s="545" t="s">
        <v>4553</v>
      </c>
      <c r="D294" s="320" t="s">
        <v>929</v>
      </c>
      <c r="E294" s="544">
        <v>-7300.9</v>
      </c>
      <c r="F294" s="544">
        <v>0</v>
      </c>
      <c r="G294" s="544">
        <v>0</v>
      </c>
      <c r="H294" s="544">
        <v>-7300.9</v>
      </c>
      <c r="I294" s="316">
        <v>-7300.9</v>
      </c>
      <c r="J294" s="518">
        <v>0</v>
      </c>
      <c r="K294" s="518">
        <v>0</v>
      </c>
      <c r="L294" s="518">
        <v>-7300.9</v>
      </c>
      <c r="M294" s="317">
        <v>-7300.9</v>
      </c>
      <c r="N294" s="313">
        <f t="shared" si="4"/>
        <v>0</v>
      </c>
      <c r="R294" s="547"/>
    </row>
    <row r="295" spans="3:18" ht="15" customHeight="1" x14ac:dyDescent="0.3">
      <c r="C295" s="545" t="s">
        <v>4554</v>
      </c>
      <c r="D295" s="320" t="s">
        <v>932</v>
      </c>
      <c r="E295" s="544">
        <v>-30000</v>
      </c>
      <c r="F295" s="544">
        <v>0</v>
      </c>
      <c r="G295" s="544">
        <v>0</v>
      </c>
      <c r="H295" s="544">
        <v>-30000</v>
      </c>
      <c r="I295" s="316">
        <v>-30000</v>
      </c>
      <c r="J295" s="518">
        <v>0</v>
      </c>
      <c r="K295" s="518">
        <v>0</v>
      </c>
      <c r="L295" s="518">
        <v>-30000</v>
      </c>
      <c r="M295" s="317">
        <v>-30000</v>
      </c>
      <c r="N295" s="313">
        <f t="shared" si="4"/>
        <v>0</v>
      </c>
      <c r="O295" s="548"/>
      <c r="R295" s="547"/>
    </row>
    <row r="296" spans="3:18" ht="15" customHeight="1" x14ac:dyDescent="0.3">
      <c r="C296" s="545" t="s">
        <v>4555</v>
      </c>
      <c r="D296" s="320" t="s">
        <v>935</v>
      </c>
      <c r="E296" s="544">
        <v>-130689.02</v>
      </c>
      <c r="F296" s="544">
        <v>0</v>
      </c>
      <c r="G296" s="544">
        <v>0</v>
      </c>
      <c r="H296" s="544">
        <v>-130689.02</v>
      </c>
      <c r="I296" s="316">
        <v>-130689.02</v>
      </c>
      <c r="J296" s="518">
        <v>0</v>
      </c>
      <c r="K296" s="518">
        <v>0</v>
      </c>
      <c r="L296" s="518">
        <v>-130689.02</v>
      </c>
      <c r="M296" s="317">
        <v>-130689.02</v>
      </c>
      <c r="N296" s="313">
        <f t="shared" si="4"/>
        <v>0</v>
      </c>
      <c r="O296" s="548"/>
    </row>
    <row r="297" spans="3:18" ht="15" customHeight="1" x14ac:dyDescent="0.3">
      <c r="C297" s="545" t="s">
        <v>4556</v>
      </c>
      <c r="D297" s="320" t="s">
        <v>3473</v>
      </c>
      <c r="E297" s="544">
        <v>0</v>
      </c>
      <c r="F297" s="544">
        <v>89309</v>
      </c>
      <c r="G297" s="544">
        <v>89309</v>
      </c>
      <c r="H297" s="544">
        <v>0</v>
      </c>
      <c r="I297" s="316">
        <v>0</v>
      </c>
      <c r="J297" s="518">
        <v>89309</v>
      </c>
      <c r="K297" s="518">
        <v>89309</v>
      </c>
      <c r="L297" s="518">
        <v>0</v>
      </c>
      <c r="M297" s="317">
        <v>0</v>
      </c>
      <c r="N297" s="313">
        <f t="shared" si="4"/>
        <v>0</v>
      </c>
      <c r="O297" s="548"/>
      <c r="R297" s="547"/>
    </row>
    <row r="298" spans="3:18" ht="15" customHeight="1" x14ac:dyDescent="0.3">
      <c r="C298" s="545" t="s">
        <v>4557</v>
      </c>
      <c r="D298" s="320" t="s">
        <v>3474</v>
      </c>
      <c r="E298" s="544">
        <v>0</v>
      </c>
      <c r="F298" s="544">
        <v>69138.16</v>
      </c>
      <c r="G298" s="544">
        <v>69138.16</v>
      </c>
      <c r="H298" s="544">
        <v>0</v>
      </c>
      <c r="I298" s="316">
        <v>0</v>
      </c>
      <c r="J298" s="518">
        <v>69138.16</v>
      </c>
      <c r="K298" s="518">
        <v>69138.16</v>
      </c>
      <c r="L298" s="518">
        <v>0</v>
      </c>
      <c r="M298" s="317">
        <v>0</v>
      </c>
      <c r="N298" s="313">
        <f t="shared" si="4"/>
        <v>0</v>
      </c>
    </row>
    <row r="299" spans="3:18" ht="15" customHeight="1" x14ac:dyDescent="0.3">
      <c r="C299" s="543" t="s">
        <v>4558</v>
      </c>
      <c r="D299" s="319" t="s">
        <v>3475</v>
      </c>
      <c r="E299" s="544">
        <v>-29498.1</v>
      </c>
      <c r="F299" s="544">
        <v>0</v>
      </c>
      <c r="G299" s="544">
        <v>0</v>
      </c>
      <c r="H299" s="544">
        <v>-29498.1</v>
      </c>
      <c r="I299" s="312">
        <v>-29498.1</v>
      </c>
      <c r="J299" s="517">
        <v>0</v>
      </c>
      <c r="K299" s="517">
        <v>0</v>
      </c>
      <c r="L299" s="517">
        <v>-29498.1</v>
      </c>
      <c r="M299" s="313">
        <v>-29498.1</v>
      </c>
      <c r="N299" s="313">
        <f t="shared" si="4"/>
        <v>0</v>
      </c>
    </row>
    <row r="300" spans="3:18" ht="15" customHeight="1" x14ac:dyDescent="0.3">
      <c r="C300" s="545" t="s">
        <v>4559</v>
      </c>
      <c r="D300" s="320" t="s">
        <v>948</v>
      </c>
      <c r="E300" s="544">
        <v>-18626.23</v>
      </c>
      <c r="F300" s="544">
        <v>0</v>
      </c>
      <c r="G300" s="544">
        <v>0</v>
      </c>
      <c r="H300" s="544">
        <v>-18626.23</v>
      </c>
      <c r="I300" s="316">
        <v>-18626.23</v>
      </c>
      <c r="J300" s="518">
        <v>0</v>
      </c>
      <c r="K300" s="518">
        <v>0</v>
      </c>
      <c r="L300" s="518">
        <v>-18626.23</v>
      </c>
      <c r="M300" s="317">
        <v>-18626.23</v>
      </c>
      <c r="N300" s="313">
        <f t="shared" si="4"/>
        <v>0</v>
      </c>
    </row>
    <row r="301" spans="3:18" ht="15" customHeight="1" x14ac:dyDescent="0.3">
      <c r="C301" s="545" t="s">
        <v>4560</v>
      </c>
      <c r="D301" s="320" t="s">
        <v>951</v>
      </c>
      <c r="E301" s="544">
        <v>-10871.87</v>
      </c>
      <c r="F301" s="544">
        <v>0</v>
      </c>
      <c r="G301" s="544">
        <v>0</v>
      </c>
      <c r="H301" s="544">
        <v>-10871.87</v>
      </c>
      <c r="I301" s="316">
        <v>-10871.87</v>
      </c>
      <c r="J301" s="518">
        <v>0</v>
      </c>
      <c r="K301" s="518">
        <v>0</v>
      </c>
      <c r="L301" s="518">
        <v>-10871.87</v>
      </c>
      <c r="M301" s="317">
        <v>-10871.87</v>
      </c>
      <c r="N301" s="313">
        <f t="shared" si="4"/>
        <v>0</v>
      </c>
    </row>
    <row r="302" spans="3:18" ht="15" customHeight="1" x14ac:dyDescent="0.3">
      <c r="C302" s="543" t="s">
        <v>4561</v>
      </c>
      <c r="D302" s="319" t="s">
        <v>954</v>
      </c>
      <c r="E302" s="544">
        <v>-20812607.010000002</v>
      </c>
      <c r="F302" s="544">
        <v>23550084.32</v>
      </c>
      <c r="G302" s="544">
        <v>4904447.17</v>
      </c>
      <c r="H302" s="544">
        <v>-2166969.86</v>
      </c>
      <c r="I302" s="312">
        <v>-20812607.010000002</v>
      </c>
      <c r="J302" s="517">
        <v>23550084.32</v>
      </c>
      <c r="K302" s="517">
        <v>4904447.17</v>
      </c>
      <c r="L302" s="517">
        <v>-2166969.86</v>
      </c>
      <c r="M302" s="313">
        <f>+M303+M304+M306+M307</f>
        <v>-64248.119999999792</v>
      </c>
      <c r="N302" s="313">
        <f t="shared" si="4"/>
        <v>-2102721.7400000002</v>
      </c>
    </row>
    <row r="303" spans="3:18" ht="15" customHeight="1" x14ac:dyDescent="0.3">
      <c r="C303" s="545" t="s">
        <v>4562</v>
      </c>
      <c r="D303" s="320" t="s">
        <v>3476</v>
      </c>
      <c r="E303" s="544">
        <v>0</v>
      </c>
      <c r="F303" s="544">
        <v>0</v>
      </c>
      <c r="G303" s="544">
        <v>58720.59</v>
      </c>
      <c r="H303" s="544">
        <v>-58720.59</v>
      </c>
      <c r="I303" s="316">
        <v>0</v>
      </c>
      <c r="J303" s="518">
        <v>0</v>
      </c>
      <c r="K303" s="518">
        <v>58720.59</v>
      </c>
      <c r="L303" s="518">
        <v>-58720.59</v>
      </c>
      <c r="M303" s="317">
        <v>-58720.59</v>
      </c>
      <c r="N303" s="313">
        <f t="shared" si="4"/>
        <v>0</v>
      </c>
    </row>
    <row r="304" spans="3:18" ht="15" customHeight="1" x14ac:dyDescent="0.3">
      <c r="C304" s="545" t="s">
        <v>4563</v>
      </c>
      <c r="D304" s="320" t="s">
        <v>958</v>
      </c>
      <c r="E304" s="544">
        <v>-20812607.010000002</v>
      </c>
      <c r="F304" s="544">
        <v>23500022.469999999</v>
      </c>
      <c r="G304" s="544">
        <v>4790114.7300000004</v>
      </c>
      <c r="H304" s="544">
        <v>-2102699.27</v>
      </c>
      <c r="I304" s="316">
        <v>-20812607.010000002</v>
      </c>
      <c r="J304" s="518">
        <v>23500022.469999999</v>
      </c>
      <c r="K304" s="518">
        <v>4790114.7300000004</v>
      </c>
      <c r="L304" s="518">
        <v>-2102699.27</v>
      </c>
      <c r="M304" s="554">
        <f>L304+J305</f>
        <v>22.470000000204891</v>
      </c>
      <c r="N304" s="313">
        <f t="shared" si="4"/>
        <v>-2102721.7400000002</v>
      </c>
    </row>
    <row r="305" spans="3:14" ht="15" customHeight="1" x14ac:dyDescent="0.3">
      <c r="C305" s="545"/>
      <c r="D305" s="320"/>
      <c r="E305" s="544"/>
      <c r="F305" s="544"/>
      <c r="G305" s="544"/>
      <c r="H305" s="544"/>
      <c r="I305" s="589">
        <v>45474</v>
      </c>
      <c r="J305" s="557">
        <v>2102721.7400000002</v>
      </c>
      <c r="K305" s="518"/>
      <c r="L305" s="518"/>
      <c r="M305" s="317"/>
      <c r="N305" s="313">
        <f t="shared" si="4"/>
        <v>0</v>
      </c>
    </row>
    <row r="306" spans="3:14" ht="15" customHeight="1" x14ac:dyDescent="0.3">
      <c r="C306" s="545" t="s">
        <v>4564</v>
      </c>
      <c r="D306" s="320" t="s">
        <v>3477</v>
      </c>
      <c r="E306" s="544">
        <v>0</v>
      </c>
      <c r="F306" s="544">
        <v>50061.85</v>
      </c>
      <c r="G306" s="544">
        <v>50061.85</v>
      </c>
      <c r="H306" s="544">
        <v>0</v>
      </c>
      <c r="I306" s="316">
        <v>0</v>
      </c>
      <c r="J306" s="518">
        <v>50061.85</v>
      </c>
      <c r="K306" s="518">
        <v>50061.85</v>
      </c>
      <c r="L306" s="518">
        <v>0</v>
      </c>
      <c r="M306" s="317">
        <v>0</v>
      </c>
      <c r="N306" s="313">
        <f t="shared" si="4"/>
        <v>0</v>
      </c>
    </row>
    <row r="307" spans="3:14" ht="15" customHeight="1" x14ac:dyDescent="0.3">
      <c r="C307" s="545" t="s">
        <v>4565</v>
      </c>
      <c r="D307" s="320" t="s">
        <v>3478</v>
      </c>
      <c r="E307" s="544">
        <v>0</v>
      </c>
      <c r="F307" s="544">
        <v>0</v>
      </c>
      <c r="G307" s="544">
        <v>5550</v>
      </c>
      <c r="H307" s="544">
        <v>-5550</v>
      </c>
      <c r="I307" s="316">
        <v>0</v>
      </c>
      <c r="J307" s="518">
        <v>0</v>
      </c>
      <c r="K307" s="518">
        <v>5550</v>
      </c>
      <c r="L307" s="518">
        <v>-5550</v>
      </c>
      <c r="M307" s="317">
        <v>-5550</v>
      </c>
      <c r="N307" s="313">
        <f t="shared" si="4"/>
        <v>0</v>
      </c>
    </row>
    <row r="308" spans="3:14" ht="15" customHeight="1" x14ac:dyDescent="0.3">
      <c r="C308" s="543" t="s">
        <v>4566</v>
      </c>
      <c r="D308" s="319" t="s">
        <v>3479</v>
      </c>
      <c r="E308" s="544">
        <v>-300841.14</v>
      </c>
      <c r="F308" s="544">
        <v>97070.77</v>
      </c>
      <c r="G308" s="544">
        <v>68167.259999999995</v>
      </c>
      <c r="H308" s="544">
        <v>-271937.63</v>
      </c>
      <c r="I308" s="312">
        <v>-300841.14</v>
      </c>
      <c r="J308" s="517">
        <v>97070.77</v>
      </c>
      <c r="K308" s="517">
        <v>68167.259999999995</v>
      </c>
      <c r="L308" s="517">
        <v>-271937.63</v>
      </c>
      <c r="M308" s="313">
        <v>-271937.63</v>
      </c>
      <c r="N308" s="313">
        <f t="shared" si="4"/>
        <v>0</v>
      </c>
    </row>
    <row r="309" spans="3:14" ht="15" customHeight="1" x14ac:dyDescent="0.3">
      <c r="C309" s="545" t="s">
        <v>4567</v>
      </c>
      <c r="D309" s="320" t="s">
        <v>965</v>
      </c>
      <c r="E309" s="544">
        <v>-1076.93</v>
      </c>
      <c r="F309" s="544">
        <v>1076.93</v>
      </c>
      <c r="G309" s="544">
        <v>0</v>
      </c>
      <c r="H309" s="544">
        <v>0</v>
      </c>
      <c r="I309" s="316">
        <v>-1076.93</v>
      </c>
      <c r="J309" s="518">
        <v>1076.93</v>
      </c>
      <c r="K309" s="518">
        <v>0</v>
      </c>
      <c r="L309" s="518">
        <v>0</v>
      </c>
      <c r="M309" s="317">
        <v>0</v>
      </c>
      <c r="N309" s="313">
        <f t="shared" si="4"/>
        <v>0</v>
      </c>
    </row>
    <row r="310" spans="3:14" ht="15" customHeight="1" x14ac:dyDescent="0.3">
      <c r="C310" s="545" t="s">
        <v>4568</v>
      </c>
      <c r="D310" s="320" t="s">
        <v>970</v>
      </c>
      <c r="E310" s="544">
        <v>-31783.88</v>
      </c>
      <c r="F310" s="544">
        <v>31783.88</v>
      </c>
      <c r="G310" s="544">
        <v>0</v>
      </c>
      <c r="H310" s="544">
        <v>0</v>
      </c>
      <c r="I310" s="316">
        <v>-31783.88</v>
      </c>
      <c r="J310" s="518">
        <v>31783.88</v>
      </c>
      <c r="K310" s="518">
        <v>0</v>
      </c>
      <c r="L310" s="518">
        <v>0</v>
      </c>
      <c r="M310" s="317">
        <v>0</v>
      </c>
      <c r="N310" s="313">
        <f t="shared" si="4"/>
        <v>0</v>
      </c>
    </row>
    <row r="311" spans="3:14" ht="15" customHeight="1" x14ac:dyDescent="0.3">
      <c r="C311" s="545" t="s">
        <v>4569</v>
      </c>
      <c r="D311" s="320" t="s">
        <v>973</v>
      </c>
      <c r="E311" s="544">
        <v>-8698.98</v>
      </c>
      <c r="F311" s="544">
        <v>0</v>
      </c>
      <c r="G311" s="544">
        <v>0</v>
      </c>
      <c r="H311" s="544">
        <v>-8698.98</v>
      </c>
      <c r="I311" s="316">
        <v>-8698.98</v>
      </c>
      <c r="J311" s="518">
        <v>0</v>
      </c>
      <c r="K311" s="518">
        <v>0</v>
      </c>
      <c r="L311" s="518">
        <v>-8698.98</v>
      </c>
      <c r="M311" s="317">
        <v>-8698.98</v>
      </c>
      <c r="N311" s="313">
        <f t="shared" si="4"/>
        <v>0</v>
      </c>
    </row>
    <row r="312" spans="3:14" ht="15" customHeight="1" x14ac:dyDescent="0.3">
      <c r="C312" s="545" t="s">
        <v>4570</v>
      </c>
      <c r="D312" s="320" t="s">
        <v>3480</v>
      </c>
      <c r="E312" s="544">
        <v>0</v>
      </c>
      <c r="F312" s="544">
        <v>0</v>
      </c>
      <c r="G312" s="544">
        <v>27561.3</v>
      </c>
      <c r="H312" s="544">
        <v>-27561.3</v>
      </c>
      <c r="I312" s="316">
        <v>0</v>
      </c>
      <c r="J312" s="518">
        <v>0</v>
      </c>
      <c r="K312" s="518">
        <v>27561.3</v>
      </c>
      <c r="L312" s="518">
        <v>-27561.3</v>
      </c>
      <c r="M312" s="317">
        <v>-27561.3</v>
      </c>
      <c r="N312" s="313">
        <f t="shared" si="4"/>
        <v>0</v>
      </c>
    </row>
    <row r="313" spans="3:14" ht="15" customHeight="1" x14ac:dyDescent="0.3">
      <c r="C313" s="545" t="s">
        <v>4571</v>
      </c>
      <c r="D313" s="320" t="s">
        <v>976</v>
      </c>
      <c r="E313" s="544">
        <v>-2907.7</v>
      </c>
      <c r="F313" s="544">
        <v>0</v>
      </c>
      <c r="G313" s="544">
        <v>0</v>
      </c>
      <c r="H313" s="544">
        <v>-2907.7</v>
      </c>
      <c r="I313" s="316">
        <v>-2907.7</v>
      </c>
      <c r="J313" s="518">
        <v>0</v>
      </c>
      <c r="K313" s="518">
        <v>0</v>
      </c>
      <c r="L313" s="518">
        <v>-2907.7</v>
      </c>
      <c r="M313" s="317">
        <v>-2907.7</v>
      </c>
      <c r="N313" s="313">
        <f t="shared" si="4"/>
        <v>0</v>
      </c>
    </row>
    <row r="314" spans="3:14" ht="15" customHeight="1" x14ac:dyDescent="0.3">
      <c r="C314" s="545" t="s">
        <v>4572</v>
      </c>
      <c r="D314" s="320" t="s">
        <v>982</v>
      </c>
      <c r="E314" s="544">
        <v>-2145.7399999999998</v>
      </c>
      <c r="F314" s="544">
        <v>0</v>
      </c>
      <c r="G314" s="544">
        <v>0</v>
      </c>
      <c r="H314" s="544">
        <v>-2145.7399999999998</v>
      </c>
      <c r="I314" s="316">
        <v>-2145.7399999999998</v>
      </c>
      <c r="J314" s="518">
        <v>0</v>
      </c>
      <c r="K314" s="518">
        <v>0</v>
      </c>
      <c r="L314" s="518">
        <v>-2145.7399999999998</v>
      </c>
      <c r="M314" s="317">
        <v>-2145.7399999999998</v>
      </c>
      <c r="N314" s="313">
        <f t="shared" si="4"/>
        <v>0</v>
      </c>
    </row>
    <row r="315" spans="3:14" ht="15" customHeight="1" x14ac:dyDescent="0.3">
      <c r="C315" s="545" t="s">
        <v>4573</v>
      </c>
      <c r="D315" s="320" t="s">
        <v>988</v>
      </c>
      <c r="E315" s="544">
        <v>-9595.44</v>
      </c>
      <c r="F315" s="544">
        <v>2511.41</v>
      </c>
      <c r="G315" s="544">
        <v>0</v>
      </c>
      <c r="H315" s="544">
        <v>-7084.03</v>
      </c>
      <c r="I315" s="316">
        <v>-9595.44</v>
      </c>
      <c r="J315" s="518">
        <v>2511.41</v>
      </c>
      <c r="K315" s="518">
        <v>0</v>
      </c>
      <c r="L315" s="518">
        <v>-7084.03</v>
      </c>
      <c r="M315" s="317">
        <v>-7084.03</v>
      </c>
      <c r="N315" s="313">
        <f t="shared" si="4"/>
        <v>0</v>
      </c>
    </row>
    <row r="316" spans="3:14" ht="15" customHeight="1" x14ac:dyDescent="0.3">
      <c r="C316" s="545" t="s">
        <v>4574</v>
      </c>
      <c r="D316" s="320" t="s">
        <v>991</v>
      </c>
      <c r="E316" s="544">
        <v>-13263.59</v>
      </c>
      <c r="F316" s="544">
        <v>19156.830000000002</v>
      </c>
      <c r="G316" s="544">
        <v>5893.24</v>
      </c>
      <c r="H316" s="544">
        <v>0</v>
      </c>
      <c r="I316" s="316">
        <v>-13263.59</v>
      </c>
      <c r="J316" s="518">
        <v>19156.830000000002</v>
      </c>
      <c r="K316" s="518">
        <v>5893.24</v>
      </c>
      <c r="L316" s="518">
        <v>0</v>
      </c>
      <c r="M316" s="317">
        <v>0</v>
      </c>
      <c r="N316" s="313">
        <f t="shared" si="4"/>
        <v>0</v>
      </c>
    </row>
    <row r="317" spans="3:14" ht="15" customHeight="1" x14ac:dyDescent="0.3">
      <c r="C317" s="545" t="s">
        <v>4575</v>
      </c>
      <c r="D317" s="320" t="s">
        <v>995</v>
      </c>
      <c r="E317" s="544">
        <v>-6658.94</v>
      </c>
      <c r="F317" s="544">
        <v>0</v>
      </c>
      <c r="G317" s="544">
        <v>0</v>
      </c>
      <c r="H317" s="544">
        <v>-6658.94</v>
      </c>
      <c r="I317" s="316">
        <v>-6658.94</v>
      </c>
      <c r="J317" s="518">
        <v>0</v>
      </c>
      <c r="K317" s="518">
        <v>0</v>
      </c>
      <c r="L317" s="518">
        <v>-6658.94</v>
      </c>
      <c r="M317" s="317">
        <v>-6658.94</v>
      </c>
      <c r="N317" s="313">
        <f t="shared" si="4"/>
        <v>0</v>
      </c>
    </row>
    <row r="318" spans="3:14" ht="15" customHeight="1" x14ac:dyDescent="0.3">
      <c r="C318" s="545" t="s">
        <v>4576</v>
      </c>
      <c r="D318" s="320" t="s">
        <v>998</v>
      </c>
      <c r="E318" s="544">
        <v>-103676.82</v>
      </c>
      <c r="F318" s="544">
        <v>0</v>
      </c>
      <c r="G318" s="544">
        <v>0</v>
      </c>
      <c r="H318" s="544">
        <v>-103676.82</v>
      </c>
      <c r="I318" s="316">
        <v>-103676.82</v>
      </c>
      <c r="J318" s="518">
        <v>0</v>
      </c>
      <c r="K318" s="518">
        <v>0</v>
      </c>
      <c r="L318" s="518">
        <v>-103676.82</v>
      </c>
      <c r="M318" s="317">
        <v>-103676.82</v>
      </c>
      <c r="N318" s="313">
        <f t="shared" si="4"/>
        <v>0</v>
      </c>
    </row>
    <row r="319" spans="3:14" ht="15" customHeight="1" x14ac:dyDescent="0.3">
      <c r="C319" s="545" t="s">
        <v>4577</v>
      </c>
      <c r="D319" s="320" t="s">
        <v>1001</v>
      </c>
      <c r="E319" s="544">
        <v>-2777.3</v>
      </c>
      <c r="F319" s="544">
        <v>0</v>
      </c>
      <c r="G319" s="544">
        <v>0</v>
      </c>
      <c r="H319" s="544">
        <v>-2777.3</v>
      </c>
      <c r="I319" s="316">
        <v>-2777.3</v>
      </c>
      <c r="J319" s="518">
        <v>0</v>
      </c>
      <c r="K319" s="518">
        <v>0</v>
      </c>
      <c r="L319" s="518">
        <v>-2777.3</v>
      </c>
      <c r="M319" s="317">
        <v>-2777.3</v>
      </c>
      <c r="N319" s="313">
        <f t="shared" si="4"/>
        <v>0</v>
      </c>
    </row>
    <row r="320" spans="3:14" ht="15" customHeight="1" x14ac:dyDescent="0.3">
      <c r="C320" s="545" t="s">
        <v>4578</v>
      </c>
      <c r="D320" s="320" t="s">
        <v>1004</v>
      </c>
      <c r="E320" s="544">
        <v>-79099.899999999994</v>
      </c>
      <c r="F320" s="544">
        <v>0</v>
      </c>
      <c r="G320" s="544">
        <v>0</v>
      </c>
      <c r="H320" s="544">
        <v>-79099.899999999994</v>
      </c>
      <c r="I320" s="316">
        <v>-79099.899999999994</v>
      </c>
      <c r="J320" s="518">
        <v>0</v>
      </c>
      <c r="K320" s="518">
        <v>0</v>
      </c>
      <c r="L320" s="518">
        <v>-79099.899999999994</v>
      </c>
      <c r="M320" s="317">
        <v>-79099.899999999994</v>
      </c>
      <c r="N320" s="313">
        <f t="shared" si="4"/>
        <v>0</v>
      </c>
    </row>
    <row r="321" spans="3:14" ht="15" customHeight="1" x14ac:dyDescent="0.3">
      <c r="C321" s="545" t="s">
        <v>4579</v>
      </c>
      <c r="D321" s="320" t="s">
        <v>1007</v>
      </c>
      <c r="E321" s="544">
        <v>-7010.8</v>
      </c>
      <c r="F321" s="544">
        <v>0</v>
      </c>
      <c r="G321" s="544">
        <v>0</v>
      </c>
      <c r="H321" s="544">
        <v>-7010.8</v>
      </c>
      <c r="I321" s="316">
        <v>-7010.8</v>
      </c>
      <c r="J321" s="518">
        <v>0</v>
      </c>
      <c r="K321" s="518">
        <v>0</v>
      </c>
      <c r="L321" s="518">
        <v>-7010.8</v>
      </c>
      <c r="M321" s="317">
        <v>-7010.8</v>
      </c>
      <c r="N321" s="313">
        <f t="shared" si="4"/>
        <v>0</v>
      </c>
    </row>
    <row r="322" spans="3:14" ht="15" customHeight="1" x14ac:dyDescent="0.3">
      <c r="C322" s="545" t="s">
        <v>4580</v>
      </c>
      <c r="D322" s="320" t="s">
        <v>1010</v>
      </c>
      <c r="E322" s="544">
        <v>-3580</v>
      </c>
      <c r="F322" s="544">
        <v>0</v>
      </c>
      <c r="G322" s="544">
        <v>0</v>
      </c>
      <c r="H322" s="544">
        <v>-3580</v>
      </c>
      <c r="I322" s="316">
        <v>-3580</v>
      </c>
      <c r="J322" s="518">
        <v>0</v>
      </c>
      <c r="K322" s="518">
        <v>0</v>
      </c>
      <c r="L322" s="518">
        <v>-3580</v>
      </c>
      <c r="M322" s="317">
        <v>-3580</v>
      </c>
      <c r="N322" s="313">
        <f t="shared" si="4"/>
        <v>0</v>
      </c>
    </row>
    <row r="323" spans="3:14" ht="15" customHeight="1" x14ac:dyDescent="0.3">
      <c r="C323" s="545" t="s">
        <v>4581</v>
      </c>
      <c r="D323" s="320" t="s">
        <v>1013</v>
      </c>
      <c r="E323" s="544">
        <v>-2040</v>
      </c>
      <c r="F323" s="544">
        <v>0</v>
      </c>
      <c r="G323" s="544">
        <v>0</v>
      </c>
      <c r="H323" s="544">
        <v>-2040</v>
      </c>
      <c r="I323" s="316">
        <v>-2040</v>
      </c>
      <c r="J323" s="518">
        <v>0</v>
      </c>
      <c r="K323" s="518">
        <v>0</v>
      </c>
      <c r="L323" s="518">
        <v>-2040</v>
      </c>
      <c r="M323" s="317">
        <v>-2040</v>
      </c>
      <c r="N323" s="313">
        <f t="shared" si="4"/>
        <v>0</v>
      </c>
    </row>
    <row r="324" spans="3:14" ht="15" customHeight="1" x14ac:dyDescent="0.3">
      <c r="C324" s="545" t="s">
        <v>4582</v>
      </c>
      <c r="D324" s="320" t="s">
        <v>1016</v>
      </c>
      <c r="E324" s="544">
        <v>-7829</v>
      </c>
      <c r="F324" s="544">
        <v>7829</v>
      </c>
      <c r="G324" s="544">
        <v>0</v>
      </c>
      <c r="H324" s="544">
        <v>0</v>
      </c>
      <c r="I324" s="316">
        <v>-7829</v>
      </c>
      <c r="J324" s="518">
        <v>7829</v>
      </c>
      <c r="K324" s="518">
        <v>0</v>
      </c>
      <c r="L324" s="518">
        <v>0</v>
      </c>
      <c r="M324" s="317">
        <v>0</v>
      </c>
      <c r="N324" s="313">
        <f t="shared" si="4"/>
        <v>0</v>
      </c>
    </row>
    <row r="325" spans="3:14" ht="15" customHeight="1" x14ac:dyDescent="0.3">
      <c r="C325" s="545" t="s">
        <v>4583</v>
      </c>
      <c r="D325" s="320" t="s">
        <v>1019</v>
      </c>
      <c r="E325" s="544">
        <v>-8906.14</v>
      </c>
      <c r="F325" s="544">
        <v>0</v>
      </c>
      <c r="G325" s="544">
        <v>0</v>
      </c>
      <c r="H325" s="544">
        <v>-8906.14</v>
      </c>
      <c r="I325" s="316">
        <v>-8906.14</v>
      </c>
      <c r="J325" s="518">
        <v>0</v>
      </c>
      <c r="K325" s="518">
        <v>0</v>
      </c>
      <c r="L325" s="518">
        <v>-8906.14</v>
      </c>
      <c r="M325" s="317">
        <v>-8906.14</v>
      </c>
      <c r="N325" s="313">
        <f t="shared" si="4"/>
        <v>0</v>
      </c>
    </row>
    <row r="326" spans="3:14" ht="15" customHeight="1" x14ac:dyDescent="0.3">
      <c r="C326" s="545" t="s">
        <v>4584</v>
      </c>
      <c r="D326" s="320" t="s">
        <v>1022</v>
      </c>
      <c r="E326" s="544">
        <v>-9789.98</v>
      </c>
      <c r="F326" s="544">
        <v>0</v>
      </c>
      <c r="G326" s="544">
        <v>0</v>
      </c>
      <c r="H326" s="544">
        <v>-9789.98</v>
      </c>
      <c r="I326" s="316">
        <v>-9789.98</v>
      </c>
      <c r="J326" s="518">
        <v>0</v>
      </c>
      <c r="K326" s="518">
        <v>0</v>
      </c>
      <c r="L326" s="518">
        <v>-9789.98</v>
      </c>
      <c r="M326" s="317">
        <v>-9789.98</v>
      </c>
      <c r="N326" s="313">
        <f t="shared" si="4"/>
        <v>0</v>
      </c>
    </row>
    <row r="327" spans="3:14" ht="15" customHeight="1" x14ac:dyDescent="0.3">
      <c r="C327" s="545" t="s">
        <v>4585</v>
      </c>
      <c r="D327" s="320" t="s">
        <v>3481</v>
      </c>
      <c r="E327" s="544">
        <v>0</v>
      </c>
      <c r="F327" s="544">
        <v>4988.58</v>
      </c>
      <c r="G327" s="544">
        <v>4988.58</v>
      </c>
      <c r="H327" s="544">
        <v>0</v>
      </c>
      <c r="I327" s="316">
        <v>0</v>
      </c>
      <c r="J327" s="518">
        <v>4988.58</v>
      </c>
      <c r="K327" s="518">
        <v>4988.58</v>
      </c>
      <c r="L327" s="518">
        <v>0</v>
      </c>
      <c r="M327" s="317">
        <v>0</v>
      </c>
      <c r="N327" s="313">
        <f t="shared" si="4"/>
        <v>0</v>
      </c>
    </row>
    <row r="328" spans="3:14" ht="15" customHeight="1" x14ac:dyDescent="0.3">
      <c r="C328" s="545" t="s">
        <v>4586</v>
      </c>
      <c r="D328" s="320" t="s">
        <v>3482</v>
      </c>
      <c r="E328" s="544">
        <v>0</v>
      </c>
      <c r="F328" s="544">
        <v>22334.82</v>
      </c>
      <c r="G328" s="544">
        <v>22334.82</v>
      </c>
      <c r="H328" s="544">
        <v>0</v>
      </c>
      <c r="I328" s="316">
        <v>0</v>
      </c>
      <c r="J328" s="518">
        <v>22334.82</v>
      </c>
      <c r="K328" s="518">
        <v>22334.82</v>
      </c>
      <c r="L328" s="518">
        <v>0</v>
      </c>
      <c r="M328" s="317">
        <v>0</v>
      </c>
      <c r="N328" s="313">
        <f t="shared" si="4"/>
        <v>0</v>
      </c>
    </row>
    <row r="329" spans="3:14" ht="15" customHeight="1" x14ac:dyDescent="0.3">
      <c r="C329" s="545" t="s">
        <v>4587</v>
      </c>
      <c r="D329" s="320" t="s">
        <v>3483</v>
      </c>
      <c r="E329" s="544">
        <v>0</v>
      </c>
      <c r="F329" s="544">
        <v>7288</v>
      </c>
      <c r="G329" s="544">
        <v>7288</v>
      </c>
      <c r="H329" s="544">
        <v>0</v>
      </c>
      <c r="I329" s="316">
        <v>0</v>
      </c>
      <c r="J329" s="518">
        <v>7288</v>
      </c>
      <c r="K329" s="518">
        <v>7288</v>
      </c>
      <c r="L329" s="518">
        <v>0</v>
      </c>
      <c r="M329" s="317">
        <v>0</v>
      </c>
      <c r="N329" s="313">
        <f t="shared" si="4"/>
        <v>0</v>
      </c>
    </row>
    <row r="330" spans="3:14" ht="15" customHeight="1" x14ac:dyDescent="0.3">
      <c r="C330" s="545" t="s">
        <v>4588</v>
      </c>
      <c r="D330" s="320" t="s">
        <v>3484</v>
      </c>
      <c r="E330" s="544">
        <v>0</v>
      </c>
      <c r="F330" s="544">
        <v>101.32</v>
      </c>
      <c r="G330" s="544">
        <v>101.32</v>
      </c>
      <c r="H330" s="544">
        <v>0</v>
      </c>
      <c r="I330" s="316">
        <v>0</v>
      </c>
      <c r="J330" s="518">
        <v>101.32</v>
      </c>
      <c r="K330" s="518">
        <v>101.32</v>
      </c>
      <c r="L330" s="518">
        <v>0</v>
      </c>
      <c r="M330" s="317">
        <v>0</v>
      </c>
      <c r="N330" s="313">
        <f t="shared" si="4"/>
        <v>0</v>
      </c>
    </row>
    <row r="331" spans="3:14" ht="15" customHeight="1" x14ac:dyDescent="0.3">
      <c r="C331" s="543" t="s">
        <v>4589</v>
      </c>
      <c r="D331" s="319" t="s">
        <v>3485</v>
      </c>
      <c r="E331" s="544">
        <v>-1455350.16</v>
      </c>
      <c r="F331" s="544">
        <v>7036643.4100000001</v>
      </c>
      <c r="G331" s="544">
        <v>6378043.5899999999</v>
      </c>
      <c r="H331" s="544">
        <v>-796750.34</v>
      </c>
      <c r="I331" s="312">
        <v>-1455350.16</v>
      </c>
      <c r="J331" s="517">
        <v>7036643.4100000001</v>
      </c>
      <c r="K331" s="517">
        <v>6378043.5899999999</v>
      </c>
      <c r="L331" s="517">
        <v>-796750.34</v>
      </c>
      <c r="M331" s="313">
        <f>SUM(M332:M427)</f>
        <v>-973947.25999999978</v>
      </c>
      <c r="N331" s="313">
        <f t="shared" si="4"/>
        <v>177196.91999999981</v>
      </c>
    </row>
    <row r="332" spans="3:14" ht="15" customHeight="1" x14ac:dyDescent="0.3">
      <c r="C332" s="545" t="s">
        <v>4590</v>
      </c>
      <c r="D332" s="320" t="s">
        <v>1042</v>
      </c>
      <c r="E332" s="544">
        <v>0</v>
      </c>
      <c r="F332" s="544">
        <v>122700.77</v>
      </c>
      <c r="G332" s="544">
        <v>122700.77</v>
      </c>
      <c r="H332" s="544">
        <v>0</v>
      </c>
      <c r="I332" s="316">
        <v>0</v>
      </c>
      <c r="J332" s="518">
        <v>122700.77</v>
      </c>
      <c r="K332" s="518">
        <v>122700.77</v>
      </c>
      <c r="L332" s="518">
        <v>0</v>
      </c>
      <c r="M332" s="317">
        <v>0</v>
      </c>
      <c r="N332" s="313">
        <f t="shared" si="4"/>
        <v>0</v>
      </c>
    </row>
    <row r="333" spans="3:14" ht="15" customHeight="1" x14ac:dyDescent="0.3">
      <c r="C333" s="545" t="s">
        <v>4591</v>
      </c>
      <c r="D333" s="320" t="s">
        <v>1045</v>
      </c>
      <c r="E333" s="544">
        <v>0</v>
      </c>
      <c r="F333" s="544">
        <v>129607.58</v>
      </c>
      <c r="G333" s="544">
        <v>148530.17000000001</v>
      </c>
      <c r="H333" s="544">
        <v>-18922.59</v>
      </c>
      <c r="I333" s="316">
        <v>0</v>
      </c>
      <c r="J333" s="518">
        <v>129607.58</v>
      </c>
      <c r="K333" s="518">
        <v>148530.17000000001</v>
      </c>
      <c r="L333" s="518">
        <v>-18922.59</v>
      </c>
      <c r="M333" s="317">
        <v>-18922.59</v>
      </c>
      <c r="N333" s="313">
        <f t="shared" ref="N333:N396" si="5">L333-M333</f>
        <v>0</v>
      </c>
    </row>
    <row r="334" spans="3:14" ht="15" customHeight="1" x14ac:dyDescent="0.3">
      <c r="C334" s="545" t="s">
        <v>4592</v>
      </c>
      <c r="D334" s="320" t="s">
        <v>1047</v>
      </c>
      <c r="E334" s="544">
        <v>0</v>
      </c>
      <c r="F334" s="544">
        <v>25995.360000000001</v>
      </c>
      <c r="G334" s="544">
        <v>25995.360000000001</v>
      </c>
      <c r="H334" s="544">
        <v>0</v>
      </c>
      <c r="I334" s="316">
        <v>0</v>
      </c>
      <c r="J334" s="518">
        <v>25995.360000000001</v>
      </c>
      <c r="K334" s="518">
        <v>25995.360000000001</v>
      </c>
      <c r="L334" s="518">
        <v>0</v>
      </c>
      <c r="M334" s="317">
        <v>0</v>
      </c>
      <c r="N334" s="313">
        <f t="shared" si="5"/>
        <v>0</v>
      </c>
    </row>
    <row r="335" spans="3:14" ht="15" customHeight="1" x14ac:dyDescent="0.3">
      <c r="C335" s="545" t="s">
        <v>4593</v>
      </c>
      <c r="D335" s="320" t="s">
        <v>1049</v>
      </c>
      <c r="E335" s="544">
        <v>0</v>
      </c>
      <c r="F335" s="544">
        <v>7334.77</v>
      </c>
      <c r="G335" s="544">
        <v>7334.77</v>
      </c>
      <c r="H335" s="544">
        <v>0</v>
      </c>
      <c r="I335" s="316">
        <v>0</v>
      </c>
      <c r="J335" s="518">
        <v>7334.77</v>
      </c>
      <c r="K335" s="518">
        <v>7334.77</v>
      </c>
      <c r="L335" s="518">
        <v>0</v>
      </c>
      <c r="M335" s="317">
        <v>0</v>
      </c>
      <c r="N335" s="313">
        <f t="shared" si="5"/>
        <v>0</v>
      </c>
    </row>
    <row r="336" spans="3:14" ht="15" customHeight="1" x14ac:dyDescent="0.3">
      <c r="C336" s="545" t="s">
        <v>4594</v>
      </c>
      <c r="D336" s="320" t="s">
        <v>1051</v>
      </c>
      <c r="E336" s="544">
        <v>-22666.7</v>
      </c>
      <c r="F336" s="544">
        <v>0</v>
      </c>
      <c r="G336" s="544">
        <v>0</v>
      </c>
      <c r="H336" s="544">
        <v>-22666.7</v>
      </c>
      <c r="I336" s="316">
        <v>-22666.7</v>
      </c>
      <c r="J336" s="518">
        <v>0</v>
      </c>
      <c r="K336" s="518">
        <v>0</v>
      </c>
      <c r="L336" s="518">
        <v>-22666.7</v>
      </c>
      <c r="M336" s="317">
        <v>-22666.7</v>
      </c>
      <c r="N336" s="313">
        <f t="shared" si="5"/>
        <v>0</v>
      </c>
    </row>
    <row r="337" spans="3:15" ht="15" customHeight="1" x14ac:dyDescent="0.3">
      <c r="C337" s="545" t="s">
        <v>4595</v>
      </c>
      <c r="D337" s="320" t="s">
        <v>1054</v>
      </c>
      <c r="E337" s="544">
        <v>-29565.8</v>
      </c>
      <c r="F337" s="544">
        <v>700</v>
      </c>
      <c r="G337" s="544">
        <v>0</v>
      </c>
      <c r="H337" s="544">
        <v>-28865.8</v>
      </c>
      <c r="I337" s="316">
        <v>-29565.8</v>
      </c>
      <c r="J337" s="518">
        <v>700</v>
      </c>
      <c r="K337" s="518">
        <v>0</v>
      </c>
      <c r="L337" s="518">
        <v>-28865.8</v>
      </c>
      <c r="M337" s="317">
        <v>-28865.8</v>
      </c>
      <c r="N337" s="313">
        <f t="shared" si="5"/>
        <v>0</v>
      </c>
    </row>
    <row r="338" spans="3:15" ht="15" customHeight="1" x14ac:dyDescent="0.3">
      <c r="C338" s="545" t="s">
        <v>4596</v>
      </c>
      <c r="D338" s="320" t="s">
        <v>1057</v>
      </c>
      <c r="E338" s="544">
        <v>-14261.4</v>
      </c>
      <c r="F338" s="544">
        <v>0</v>
      </c>
      <c r="G338" s="544">
        <v>0</v>
      </c>
      <c r="H338" s="544">
        <v>-14261.4</v>
      </c>
      <c r="I338" s="316">
        <v>-14261.4</v>
      </c>
      <c r="J338" s="518">
        <v>0</v>
      </c>
      <c r="K338" s="518">
        <v>0</v>
      </c>
      <c r="L338" s="518">
        <v>-14261.4</v>
      </c>
      <c r="M338" s="317">
        <v>-14261.4</v>
      </c>
      <c r="N338" s="313">
        <f t="shared" si="5"/>
        <v>0</v>
      </c>
    </row>
    <row r="339" spans="3:15" ht="15" customHeight="1" x14ac:dyDescent="0.3">
      <c r="C339" s="545" t="s">
        <v>4597</v>
      </c>
      <c r="D339" s="320" t="s">
        <v>1060</v>
      </c>
      <c r="E339" s="544">
        <v>-12464</v>
      </c>
      <c r="F339" s="544">
        <v>16305.96</v>
      </c>
      <c r="G339" s="544">
        <v>3841.96</v>
      </c>
      <c r="H339" s="544">
        <v>0</v>
      </c>
      <c r="I339" s="316">
        <v>-12464</v>
      </c>
      <c r="J339" s="518">
        <v>16305.96</v>
      </c>
      <c r="K339" s="518">
        <v>3841.96</v>
      </c>
      <c r="L339" s="518">
        <v>0</v>
      </c>
      <c r="M339" s="317">
        <v>0</v>
      </c>
      <c r="N339" s="313">
        <f t="shared" si="5"/>
        <v>0</v>
      </c>
    </row>
    <row r="340" spans="3:15" ht="15" customHeight="1" x14ac:dyDescent="0.3">
      <c r="C340" s="545" t="s">
        <v>4598</v>
      </c>
      <c r="D340" s="320" t="s">
        <v>1063</v>
      </c>
      <c r="E340" s="544">
        <v>-722.42</v>
      </c>
      <c r="F340" s="544">
        <v>880.02</v>
      </c>
      <c r="G340" s="544">
        <v>157.6</v>
      </c>
      <c r="H340" s="544">
        <v>0</v>
      </c>
      <c r="I340" s="316">
        <v>-722.42</v>
      </c>
      <c r="J340" s="518">
        <v>880.02</v>
      </c>
      <c r="K340" s="518">
        <v>157.6</v>
      </c>
      <c r="L340" s="518">
        <v>0</v>
      </c>
      <c r="M340" s="317">
        <v>0</v>
      </c>
      <c r="N340" s="313">
        <f t="shared" si="5"/>
        <v>0</v>
      </c>
    </row>
    <row r="341" spans="3:15" ht="15" customHeight="1" x14ac:dyDescent="0.3">
      <c r="C341" s="545" t="s">
        <v>4599</v>
      </c>
      <c r="D341" s="320" t="s">
        <v>1069</v>
      </c>
      <c r="E341" s="575">
        <v>-2201.83</v>
      </c>
      <c r="F341" s="575">
        <v>18141.63</v>
      </c>
      <c r="G341" s="575">
        <v>17801.29</v>
      </c>
      <c r="H341" s="575">
        <v>-1861.49</v>
      </c>
      <c r="I341" s="316">
        <v>-2201.83</v>
      </c>
      <c r="J341" s="518">
        <v>18141.63</v>
      </c>
      <c r="K341" s="518">
        <v>17801.29</v>
      </c>
      <c r="L341" s="518">
        <v>-1861.49</v>
      </c>
      <c r="M341" s="554">
        <f>L341+J342+J343+J344-K345-K346</f>
        <v>0</v>
      </c>
      <c r="N341" s="313">
        <f t="shared" si="5"/>
        <v>-1861.49</v>
      </c>
      <c r="O341" s="548"/>
    </row>
    <row r="342" spans="3:15" ht="15" customHeight="1" x14ac:dyDescent="0.3">
      <c r="C342" s="545"/>
      <c r="D342" s="320"/>
      <c r="E342" s="575"/>
      <c r="F342" s="575"/>
      <c r="G342" s="575"/>
      <c r="H342" s="575"/>
      <c r="I342" s="589">
        <v>45293</v>
      </c>
      <c r="J342" s="556">
        <v>27.99</v>
      </c>
      <c r="K342" s="519"/>
      <c r="L342" s="518"/>
      <c r="M342" s="317"/>
      <c r="N342" s="313">
        <f t="shared" si="5"/>
        <v>0</v>
      </c>
    </row>
    <row r="343" spans="3:15" ht="15" customHeight="1" x14ac:dyDescent="0.3">
      <c r="C343" s="545"/>
      <c r="D343" s="320"/>
      <c r="E343" s="575"/>
      <c r="F343" s="575"/>
      <c r="G343" s="575"/>
      <c r="H343" s="575"/>
      <c r="I343" s="589">
        <v>45293</v>
      </c>
      <c r="J343" s="556">
        <v>1485.79</v>
      </c>
      <c r="K343" s="519"/>
      <c r="L343" s="518"/>
      <c r="M343" s="317"/>
      <c r="N343" s="313">
        <f t="shared" si="5"/>
        <v>0</v>
      </c>
    </row>
    <row r="344" spans="3:15" ht="15" customHeight="1" x14ac:dyDescent="0.3">
      <c r="C344" s="545"/>
      <c r="D344" s="320"/>
      <c r="E344" s="575"/>
      <c r="F344" s="575"/>
      <c r="G344" s="575"/>
      <c r="H344" s="575"/>
      <c r="I344" s="589">
        <v>45293</v>
      </c>
      <c r="J344" s="556">
        <v>5000</v>
      </c>
      <c r="K344" s="519"/>
      <c r="L344" s="518"/>
      <c r="M344" s="317"/>
      <c r="N344" s="313">
        <f t="shared" si="5"/>
        <v>0</v>
      </c>
    </row>
    <row r="345" spans="3:15" ht="15" customHeight="1" x14ac:dyDescent="0.3">
      <c r="C345" s="545"/>
      <c r="D345" s="320"/>
      <c r="E345" s="575"/>
      <c r="F345" s="575"/>
      <c r="G345" s="575"/>
      <c r="H345" s="575"/>
      <c r="I345" s="589">
        <v>45293</v>
      </c>
      <c r="J345" s="519"/>
      <c r="K345" s="556">
        <v>4076.59</v>
      </c>
      <c r="L345" s="518"/>
      <c r="M345" s="317"/>
      <c r="N345" s="313">
        <f t="shared" si="5"/>
        <v>0</v>
      </c>
    </row>
    <row r="346" spans="3:15" ht="15" customHeight="1" x14ac:dyDescent="0.3">
      <c r="C346" s="545"/>
      <c r="D346" s="320"/>
      <c r="E346" s="575"/>
      <c r="F346" s="575"/>
      <c r="G346" s="575"/>
      <c r="H346" s="575"/>
      <c r="I346" s="589">
        <v>45293</v>
      </c>
      <c r="J346" s="519"/>
      <c r="K346" s="556">
        <v>575.70000000000005</v>
      </c>
      <c r="L346" s="518"/>
      <c r="M346" s="317"/>
      <c r="N346" s="313">
        <f t="shared" si="5"/>
        <v>0</v>
      </c>
    </row>
    <row r="347" spans="3:15" ht="15" customHeight="1" x14ac:dyDescent="0.3">
      <c r="C347" s="545" t="s">
        <v>4600</v>
      </c>
      <c r="D347" s="320" t="s">
        <v>1071</v>
      </c>
      <c r="E347" s="544">
        <v>-492177.55</v>
      </c>
      <c r="F347" s="544">
        <v>717081.35</v>
      </c>
      <c r="G347" s="544">
        <v>224903.8</v>
      </c>
      <c r="H347" s="544">
        <v>0</v>
      </c>
      <c r="I347" s="316">
        <v>-492177.55</v>
      </c>
      <c r="J347" s="518">
        <v>717081.35</v>
      </c>
      <c r="K347" s="518">
        <v>224903.8</v>
      </c>
      <c r="L347" s="518">
        <v>0</v>
      </c>
      <c r="M347" s="317">
        <v>0</v>
      </c>
      <c r="N347" s="313">
        <f t="shared" si="5"/>
        <v>0</v>
      </c>
    </row>
    <row r="348" spans="3:15" ht="15" customHeight="1" x14ac:dyDescent="0.3">
      <c r="C348" s="545" t="s">
        <v>4601</v>
      </c>
      <c r="D348" s="320" t="s">
        <v>3486</v>
      </c>
      <c r="E348" s="544">
        <v>0</v>
      </c>
      <c r="F348" s="544">
        <v>3349</v>
      </c>
      <c r="G348" s="544">
        <v>3349</v>
      </c>
      <c r="H348" s="544">
        <v>0</v>
      </c>
      <c r="I348" s="316">
        <v>0</v>
      </c>
      <c r="J348" s="518">
        <v>3349</v>
      </c>
      <c r="K348" s="518">
        <v>3349</v>
      </c>
      <c r="L348" s="518">
        <v>0</v>
      </c>
      <c r="M348" s="317">
        <v>0</v>
      </c>
      <c r="N348" s="313">
        <f t="shared" si="5"/>
        <v>0</v>
      </c>
    </row>
    <row r="349" spans="3:15" ht="15" customHeight="1" x14ac:dyDescent="0.3">
      <c r="C349" s="545" t="s">
        <v>4602</v>
      </c>
      <c r="D349" s="320" t="s">
        <v>1074</v>
      </c>
      <c r="E349" s="544">
        <v>-25987.5</v>
      </c>
      <c r="F349" s="544">
        <v>0</v>
      </c>
      <c r="G349" s="544">
        <v>0</v>
      </c>
      <c r="H349" s="544">
        <v>-25987.5</v>
      </c>
      <c r="I349" s="316">
        <v>-25987.5</v>
      </c>
      <c r="J349" s="518">
        <v>0</v>
      </c>
      <c r="K349" s="518">
        <v>0</v>
      </c>
      <c r="L349" s="518">
        <v>-25987.5</v>
      </c>
      <c r="M349" s="317">
        <v>-25987.5</v>
      </c>
      <c r="N349" s="313">
        <f t="shared" si="5"/>
        <v>0</v>
      </c>
    </row>
    <row r="350" spans="3:15" ht="15" customHeight="1" x14ac:dyDescent="0.3">
      <c r="C350" s="545" t="s">
        <v>4603</v>
      </c>
      <c r="D350" s="320" t="s">
        <v>1077</v>
      </c>
      <c r="E350" s="544">
        <v>-1400</v>
      </c>
      <c r="F350" s="544">
        <v>0</v>
      </c>
      <c r="G350" s="544">
        <v>0</v>
      </c>
      <c r="H350" s="544">
        <v>-1400</v>
      </c>
      <c r="I350" s="316">
        <v>-1400</v>
      </c>
      <c r="J350" s="518">
        <v>0</v>
      </c>
      <c r="K350" s="518">
        <v>0</v>
      </c>
      <c r="L350" s="518">
        <v>-1400</v>
      </c>
      <c r="M350" s="317">
        <v>-1400</v>
      </c>
      <c r="N350" s="313">
        <f t="shared" si="5"/>
        <v>0</v>
      </c>
    </row>
    <row r="351" spans="3:15" ht="15" customHeight="1" x14ac:dyDescent="0.3">
      <c r="C351" s="545" t="s">
        <v>4604</v>
      </c>
      <c r="D351" s="320" t="s">
        <v>1080</v>
      </c>
      <c r="E351" s="544">
        <v>-62437.279999999999</v>
      </c>
      <c r="F351" s="544">
        <v>8860</v>
      </c>
      <c r="G351" s="544">
        <v>8860</v>
      </c>
      <c r="H351" s="544">
        <v>-62437.279999999999</v>
      </c>
      <c r="I351" s="316">
        <v>-62437.279999999999</v>
      </c>
      <c r="J351" s="518">
        <v>8860</v>
      </c>
      <c r="K351" s="518">
        <v>8860</v>
      </c>
      <c r="L351" s="518">
        <v>-62437.279999999999</v>
      </c>
      <c r="M351" s="317">
        <v>-62437.279999999999</v>
      </c>
      <c r="N351" s="313">
        <f t="shared" si="5"/>
        <v>0</v>
      </c>
    </row>
    <row r="352" spans="3:15" ht="15" customHeight="1" x14ac:dyDescent="0.3">
      <c r="C352" s="545" t="s">
        <v>4605</v>
      </c>
      <c r="D352" s="320" t="s">
        <v>1083</v>
      </c>
      <c r="E352" s="544">
        <v>0</v>
      </c>
      <c r="F352" s="544">
        <v>28051.279999999999</v>
      </c>
      <c r="G352" s="544">
        <v>28051.279999999999</v>
      </c>
      <c r="H352" s="544">
        <v>0</v>
      </c>
      <c r="I352" s="316">
        <v>0</v>
      </c>
      <c r="J352" s="518">
        <v>28051.279999999999</v>
      </c>
      <c r="K352" s="518">
        <v>28051.279999999999</v>
      </c>
      <c r="L352" s="518">
        <v>0</v>
      </c>
      <c r="M352" s="317">
        <v>0</v>
      </c>
      <c r="N352" s="313">
        <f t="shared" si="5"/>
        <v>0</v>
      </c>
    </row>
    <row r="353" spans="3:14" ht="15" customHeight="1" x14ac:dyDescent="0.3">
      <c r="C353" s="545" t="s">
        <v>4606</v>
      </c>
      <c r="D353" s="320" t="s">
        <v>3487</v>
      </c>
      <c r="E353" s="544">
        <v>0</v>
      </c>
      <c r="F353" s="544">
        <v>22491.119999999999</v>
      </c>
      <c r="G353" s="544">
        <v>24365.38</v>
      </c>
      <c r="H353" s="544">
        <v>-1874.26</v>
      </c>
      <c r="I353" s="316">
        <v>0</v>
      </c>
      <c r="J353" s="518">
        <v>22491.119999999999</v>
      </c>
      <c r="K353" s="518">
        <v>24365.38</v>
      </c>
      <c r="L353" s="518">
        <v>-1874.26</v>
      </c>
      <c r="M353" s="317">
        <v>-1874.26</v>
      </c>
      <c r="N353" s="313">
        <f t="shared" si="5"/>
        <v>0</v>
      </c>
    </row>
    <row r="354" spans="3:14" ht="15" customHeight="1" x14ac:dyDescent="0.3">
      <c r="C354" s="545" t="s">
        <v>4607</v>
      </c>
      <c r="D354" s="320" t="s">
        <v>1090</v>
      </c>
      <c r="E354" s="544">
        <v>-4568.3999999999996</v>
      </c>
      <c r="F354" s="544">
        <v>0</v>
      </c>
      <c r="G354" s="544">
        <v>0</v>
      </c>
      <c r="H354" s="544">
        <v>-4568.3999999999996</v>
      </c>
      <c r="I354" s="316">
        <v>-4568.3999999999996</v>
      </c>
      <c r="J354" s="518">
        <v>0</v>
      </c>
      <c r="K354" s="518">
        <v>0</v>
      </c>
      <c r="L354" s="518">
        <v>-4568.3999999999996</v>
      </c>
      <c r="M354" s="317">
        <v>-4568.3999999999996</v>
      </c>
      <c r="N354" s="313">
        <f t="shared" si="5"/>
        <v>0</v>
      </c>
    </row>
    <row r="355" spans="3:14" ht="15" customHeight="1" x14ac:dyDescent="0.3">
      <c r="C355" s="545" t="s">
        <v>4608</v>
      </c>
      <c r="D355" s="320" t="s">
        <v>1093</v>
      </c>
      <c r="E355" s="544">
        <v>0</v>
      </c>
      <c r="F355" s="544">
        <v>4725.5</v>
      </c>
      <c r="G355" s="544">
        <v>4725.5</v>
      </c>
      <c r="H355" s="544">
        <v>0</v>
      </c>
      <c r="I355" s="316">
        <v>0</v>
      </c>
      <c r="J355" s="518">
        <v>4725.5</v>
      </c>
      <c r="K355" s="518">
        <v>4725.5</v>
      </c>
      <c r="L355" s="518">
        <v>0</v>
      </c>
      <c r="M355" s="317">
        <v>0</v>
      </c>
      <c r="N355" s="313">
        <f t="shared" si="5"/>
        <v>0</v>
      </c>
    </row>
    <row r="356" spans="3:14" ht="15" customHeight="1" x14ac:dyDescent="0.3">
      <c r="C356" s="545" t="s">
        <v>4609</v>
      </c>
      <c r="D356" s="320" t="s">
        <v>1096</v>
      </c>
      <c r="E356" s="544">
        <v>0</v>
      </c>
      <c r="F356" s="544">
        <v>8608.4699999999993</v>
      </c>
      <c r="G356" s="544">
        <v>8608.4699999999993</v>
      </c>
      <c r="H356" s="544">
        <v>0</v>
      </c>
      <c r="I356" s="316">
        <v>0</v>
      </c>
      <c r="J356" s="518">
        <v>8608.4699999999993</v>
      </c>
      <c r="K356" s="518">
        <v>8608.4699999999993</v>
      </c>
      <c r="L356" s="518">
        <v>0</v>
      </c>
      <c r="M356" s="317">
        <v>0</v>
      </c>
      <c r="N356" s="313">
        <f t="shared" si="5"/>
        <v>0</v>
      </c>
    </row>
    <row r="357" spans="3:14" ht="15" customHeight="1" x14ac:dyDescent="0.3">
      <c r="C357" s="545" t="s">
        <v>4610</v>
      </c>
      <c r="D357" s="320" t="s">
        <v>1098</v>
      </c>
      <c r="E357" s="544">
        <v>-2162.7399999999998</v>
      </c>
      <c r="F357" s="544">
        <v>0</v>
      </c>
      <c r="G357" s="544">
        <v>0</v>
      </c>
      <c r="H357" s="544">
        <v>-2162.7399999999998</v>
      </c>
      <c r="I357" s="316">
        <v>-2162.7399999999998</v>
      </c>
      <c r="J357" s="518">
        <v>0</v>
      </c>
      <c r="K357" s="518">
        <v>0</v>
      </c>
      <c r="L357" s="518">
        <v>-2162.7399999999998</v>
      </c>
      <c r="M357" s="317">
        <v>-2162.7399999999998</v>
      </c>
      <c r="N357" s="313">
        <f t="shared" si="5"/>
        <v>0</v>
      </c>
    </row>
    <row r="358" spans="3:14" ht="15" customHeight="1" x14ac:dyDescent="0.3">
      <c r="C358" s="545" t="s">
        <v>4611</v>
      </c>
      <c r="D358" s="320" t="s">
        <v>3488</v>
      </c>
      <c r="E358" s="544">
        <v>-137959.88</v>
      </c>
      <c r="F358" s="544">
        <v>0</v>
      </c>
      <c r="G358" s="544">
        <v>0</v>
      </c>
      <c r="H358" s="544">
        <v>-137959.88</v>
      </c>
      <c r="I358" s="316">
        <v>-137959.88</v>
      </c>
      <c r="J358" s="518">
        <v>0</v>
      </c>
      <c r="K358" s="518">
        <v>0</v>
      </c>
      <c r="L358" s="518">
        <v>-137959.88</v>
      </c>
      <c r="M358" s="317">
        <v>-137959.88</v>
      </c>
      <c r="N358" s="313">
        <f t="shared" si="5"/>
        <v>0</v>
      </c>
    </row>
    <row r="359" spans="3:14" ht="15" customHeight="1" x14ac:dyDescent="0.3">
      <c r="C359" s="545" t="s">
        <v>4612</v>
      </c>
      <c r="D359" s="320" t="s">
        <v>1101</v>
      </c>
      <c r="E359" s="544">
        <v>-125789.68</v>
      </c>
      <c r="F359" s="544">
        <v>121493.04</v>
      </c>
      <c r="G359" s="544">
        <v>121493.05</v>
      </c>
      <c r="H359" s="544">
        <v>-125789.69</v>
      </c>
      <c r="I359" s="316">
        <v>-125789.68</v>
      </c>
      <c r="J359" s="518">
        <v>121493.04</v>
      </c>
      <c r="K359" s="518">
        <v>121493.05</v>
      </c>
      <c r="L359" s="518">
        <v>-125789.69</v>
      </c>
      <c r="M359" s="317">
        <v>-125789.69</v>
      </c>
      <c r="N359" s="313">
        <f t="shared" si="5"/>
        <v>0</v>
      </c>
    </row>
    <row r="360" spans="3:14" ht="15" customHeight="1" x14ac:dyDescent="0.3">
      <c r="C360" s="545" t="s">
        <v>4613</v>
      </c>
      <c r="D360" s="320" t="s">
        <v>1105</v>
      </c>
      <c r="E360" s="544">
        <v>-13894.5</v>
      </c>
      <c r="F360" s="544">
        <v>0</v>
      </c>
      <c r="G360" s="544">
        <v>0</v>
      </c>
      <c r="H360" s="544">
        <v>-13894.5</v>
      </c>
      <c r="I360" s="316">
        <v>-13894.5</v>
      </c>
      <c r="J360" s="518">
        <v>0</v>
      </c>
      <c r="K360" s="518">
        <v>0</v>
      </c>
      <c r="L360" s="518">
        <v>-13894.5</v>
      </c>
      <c r="M360" s="317">
        <v>-13894.5</v>
      </c>
      <c r="N360" s="313">
        <f t="shared" si="5"/>
        <v>0</v>
      </c>
    </row>
    <row r="361" spans="3:14" ht="15" customHeight="1" x14ac:dyDescent="0.3">
      <c r="C361" s="545" t="s">
        <v>4614</v>
      </c>
      <c r="D361" s="320" t="s">
        <v>1108</v>
      </c>
      <c r="E361" s="544">
        <v>-93503.8</v>
      </c>
      <c r="F361" s="544">
        <v>0</v>
      </c>
      <c r="G361" s="544">
        <v>0</v>
      </c>
      <c r="H361" s="544">
        <v>-93503.8</v>
      </c>
      <c r="I361" s="316">
        <v>-93503.8</v>
      </c>
      <c r="J361" s="518">
        <v>0</v>
      </c>
      <c r="K361" s="518">
        <v>0</v>
      </c>
      <c r="L361" s="518">
        <v>-93503.8</v>
      </c>
      <c r="M361" s="317">
        <v>-93503.8</v>
      </c>
      <c r="N361" s="313">
        <f t="shared" si="5"/>
        <v>0</v>
      </c>
    </row>
    <row r="362" spans="3:14" ht="15" customHeight="1" x14ac:dyDescent="0.3">
      <c r="C362" s="545" t="s">
        <v>4615</v>
      </c>
      <c r="D362" s="320" t="s">
        <v>1111</v>
      </c>
      <c r="E362" s="544">
        <v>-41935.82</v>
      </c>
      <c r="F362" s="544">
        <v>0</v>
      </c>
      <c r="G362" s="544">
        <v>0</v>
      </c>
      <c r="H362" s="544">
        <v>-41935.82</v>
      </c>
      <c r="I362" s="316">
        <v>-41935.82</v>
      </c>
      <c r="J362" s="518">
        <v>0</v>
      </c>
      <c r="K362" s="518">
        <v>0</v>
      </c>
      <c r="L362" s="518">
        <v>-41935.82</v>
      </c>
      <c r="M362" s="317">
        <v>-41935.82</v>
      </c>
      <c r="N362" s="313">
        <f t="shared" si="5"/>
        <v>0</v>
      </c>
    </row>
    <row r="363" spans="3:14" ht="15" customHeight="1" x14ac:dyDescent="0.3">
      <c r="C363" s="545" t="s">
        <v>4616</v>
      </c>
      <c r="D363" s="320" t="s">
        <v>1115</v>
      </c>
      <c r="E363" s="544">
        <v>-4377.46</v>
      </c>
      <c r="F363" s="544">
        <v>0</v>
      </c>
      <c r="G363" s="544">
        <v>0</v>
      </c>
      <c r="H363" s="544">
        <v>-4377.46</v>
      </c>
      <c r="I363" s="316">
        <v>-4377.46</v>
      </c>
      <c r="J363" s="518">
        <v>0</v>
      </c>
      <c r="K363" s="518">
        <v>0</v>
      </c>
      <c r="L363" s="518">
        <v>-4377.46</v>
      </c>
      <c r="M363" s="317">
        <v>-4377.46</v>
      </c>
      <c r="N363" s="313">
        <f t="shared" si="5"/>
        <v>0</v>
      </c>
    </row>
    <row r="364" spans="3:14" ht="15" customHeight="1" x14ac:dyDescent="0.3">
      <c r="C364" s="545" t="s">
        <v>4617</v>
      </c>
      <c r="D364" s="320" t="s">
        <v>1118</v>
      </c>
      <c r="E364" s="544">
        <v>-7498.61</v>
      </c>
      <c r="F364" s="544">
        <v>0</v>
      </c>
      <c r="G364" s="544">
        <v>0</v>
      </c>
      <c r="H364" s="544">
        <v>-7498.61</v>
      </c>
      <c r="I364" s="316">
        <v>-7498.61</v>
      </c>
      <c r="J364" s="518">
        <v>0</v>
      </c>
      <c r="K364" s="518">
        <v>0</v>
      </c>
      <c r="L364" s="518">
        <v>-7498.61</v>
      </c>
      <c r="M364" s="317">
        <v>-7498.61</v>
      </c>
      <c r="N364" s="313">
        <f t="shared" si="5"/>
        <v>0</v>
      </c>
    </row>
    <row r="365" spans="3:14" ht="15" customHeight="1" x14ac:dyDescent="0.3">
      <c r="C365" s="545" t="s">
        <v>4618</v>
      </c>
      <c r="D365" s="320" t="s">
        <v>1121</v>
      </c>
      <c r="E365" s="544">
        <v>-57733.22</v>
      </c>
      <c r="F365" s="544">
        <v>0</v>
      </c>
      <c r="G365" s="544">
        <v>0</v>
      </c>
      <c r="H365" s="544">
        <v>-57733.22</v>
      </c>
      <c r="I365" s="316">
        <v>-57733.22</v>
      </c>
      <c r="J365" s="518">
        <v>0</v>
      </c>
      <c r="K365" s="518">
        <v>0</v>
      </c>
      <c r="L365" s="518">
        <v>-57733.22</v>
      </c>
      <c r="M365" s="317">
        <v>-57733.22</v>
      </c>
      <c r="N365" s="313">
        <f t="shared" si="5"/>
        <v>0</v>
      </c>
    </row>
    <row r="366" spans="3:14" ht="15" customHeight="1" x14ac:dyDescent="0.3">
      <c r="C366" s="545" t="s">
        <v>4619</v>
      </c>
      <c r="D366" s="320" t="s">
        <v>1124</v>
      </c>
      <c r="E366" s="544">
        <v>-3140</v>
      </c>
      <c r="F366" s="544">
        <v>0</v>
      </c>
      <c r="G366" s="544">
        <v>0</v>
      </c>
      <c r="H366" s="544">
        <v>-3140</v>
      </c>
      <c r="I366" s="316">
        <v>-3140</v>
      </c>
      <c r="J366" s="518">
        <v>0</v>
      </c>
      <c r="K366" s="518">
        <v>0</v>
      </c>
      <c r="L366" s="518">
        <v>-3140</v>
      </c>
      <c r="M366" s="317">
        <v>-3140</v>
      </c>
      <c r="N366" s="313">
        <f t="shared" si="5"/>
        <v>0</v>
      </c>
    </row>
    <row r="367" spans="3:14" ht="15" customHeight="1" x14ac:dyDescent="0.3">
      <c r="C367" s="545" t="s">
        <v>4620</v>
      </c>
      <c r="D367" s="320" t="s">
        <v>1127</v>
      </c>
      <c r="E367" s="544">
        <v>-8101.4</v>
      </c>
      <c r="F367" s="544">
        <v>0</v>
      </c>
      <c r="G367" s="544">
        <v>0</v>
      </c>
      <c r="H367" s="544">
        <v>-8101.4</v>
      </c>
      <c r="I367" s="316">
        <v>-8101.4</v>
      </c>
      <c r="J367" s="518">
        <v>0</v>
      </c>
      <c r="K367" s="518">
        <v>0</v>
      </c>
      <c r="L367" s="518">
        <v>-8101.4</v>
      </c>
      <c r="M367" s="317">
        <v>-8101.4</v>
      </c>
      <c r="N367" s="313">
        <f t="shared" si="5"/>
        <v>0</v>
      </c>
    </row>
    <row r="368" spans="3:14" ht="15" customHeight="1" x14ac:dyDescent="0.3">
      <c r="C368" s="545" t="s">
        <v>4621</v>
      </c>
      <c r="D368" s="320" t="s">
        <v>1130</v>
      </c>
      <c r="E368" s="544">
        <v>-51272.75</v>
      </c>
      <c r="F368" s="544">
        <v>51272.75</v>
      </c>
      <c r="G368" s="544">
        <v>0</v>
      </c>
      <c r="H368" s="544">
        <v>0</v>
      </c>
      <c r="I368" s="316">
        <v>-51272.75</v>
      </c>
      <c r="J368" s="518">
        <v>51272.75</v>
      </c>
      <c r="K368" s="518">
        <v>0</v>
      </c>
      <c r="L368" s="518">
        <v>0</v>
      </c>
      <c r="M368" s="317">
        <v>0</v>
      </c>
      <c r="N368" s="313">
        <f t="shared" si="5"/>
        <v>0</v>
      </c>
    </row>
    <row r="369" spans="3:14" ht="15" customHeight="1" x14ac:dyDescent="0.3">
      <c r="C369" s="545" t="s">
        <v>4622</v>
      </c>
      <c r="D369" s="320" t="s">
        <v>1133</v>
      </c>
      <c r="E369" s="544">
        <v>-2979.95</v>
      </c>
      <c r="F369" s="544">
        <v>4351.95</v>
      </c>
      <c r="G369" s="544">
        <v>1372</v>
      </c>
      <c r="H369" s="544">
        <v>0</v>
      </c>
      <c r="I369" s="316">
        <v>-2979.95</v>
      </c>
      <c r="J369" s="518">
        <v>4351.95</v>
      </c>
      <c r="K369" s="518">
        <v>1372</v>
      </c>
      <c r="L369" s="518">
        <v>0</v>
      </c>
      <c r="M369" s="317">
        <v>0</v>
      </c>
      <c r="N369" s="313">
        <f t="shared" si="5"/>
        <v>0</v>
      </c>
    </row>
    <row r="370" spans="3:14" ht="15" customHeight="1" x14ac:dyDescent="0.3">
      <c r="C370" s="545" t="s">
        <v>4623</v>
      </c>
      <c r="D370" s="320" t="s">
        <v>1137</v>
      </c>
      <c r="E370" s="544">
        <v>-21663.5</v>
      </c>
      <c r="F370" s="544">
        <v>0</v>
      </c>
      <c r="G370" s="544">
        <v>0</v>
      </c>
      <c r="H370" s="544">
        <v>-21663.5</v>
      </c>
      <c r="I370" s="316">
        <v>-21663.5</v>
      </c>
      <c r="J370" s="518">
        <v>0</v>
      </c>
      <c r="K370" s="518">
        <v>0</v>
      </c>
      <c r="L370" s="518">
        <v>-21663.5</v>
      </c>
      <c r="M370" s="317">
        <v>-21663.5</v>
      </c>
      <c r="N370" s="313">
        <f t="shared" si="5"/>
        <v>0</v>
      </c>
    </row>
    <row r="371" spans="3:14" ht="15" customHeight="1" x14ac:dyDescent="0.3">
      <c r="C371" s="545" t="s">
        <v>4624</v>
      </c>
      <c r="D371" s="320" t="s">
        <v>1140</v>
      </c>
      <c r="E371" s="544">
        <v>0</v>
      </c>
      <c r="F371" s="544">
        <v>8820</v>
      </c>
      <c r="G371" s="544">
        <v>8820</v>
      </c>
      <c r="H371" s="544">
        <v>0</v>
      </c>
      <c r="I371" s="316">
        <v>0</v>
      </c>
      <c r="J371" s="518">
        <v>8820</v>
      </c>
      <c r="K371" s="518">
        <v>8820</v>
      </c>
      <c r="L371" s="518">
        <v>0</v>
      </c>
      <c r="M371" s="317">
        <v>0</v>
      </c>
      <c r="N371" s="313">
        <f t="shared" si="5"/>
        <v>0</v>
      </c>
    </row>
    <row r="372" spans="3:14" ht="15" customHeight="1" x14ac:dyDescent="0.3">
      <c r="C372" s="545" t="s">
        <v>4625</v>
      </c>
      <c r="D372" s="320" t="s">
        <v>1142</v>
      </c>
      <c r="E372" s="544">
        <v>0</v>
      </c>
      <c r="F372" s="544">
        <v>14714.39</v>
      </c>
      <c r="G372" s="544">
        <v>14714.39</v>
      </c>
      <c r="H372" s="544">
        <v>0</v>
      </c>
      <c r="I372" s="316">
        <v>0</v>
      </c>
      <c r="J372" s="518">
        <v>14714.39</v>
      </c>
      <c r="K372" s="518">
        <v>14714.39</v>
      </c>
      <c r="L372" s="518">
        <v>0</v>
      </c>
      <c r="M372" s="317">
        <v>0</v>
      </c>
      <c r="N372" s="313">
        <f t="shared" si="5"/>
        <v>0</v>
      </c>
    </row>
    <row r="373" spans="3:14" ht="15" customHeight="1" x14ac:dyDescent="0.3">
      <c r="C373" s="545" t="s">
        <v>4626</v>
      </c>
      <c r="D373" s="320" t="s">
        <v>1148</v>
      </c>
      <c r="E373" s="544">
        <v>-6860</v>
      </c>
      <c r="F373" s="544">
        <v>0</v>
      </c>
      <c r="G373" s="544">
        <v>0</v>
      </c>
      <c r="H373" s="544">
        <v>-6860</v>
      </c>
      <c r="I373" s="316">
        <v>-6860</v>
      </c>
      <c r="J373" s="518">
        <v>0</v>
      </c>
      <c r="K373" s="518">
        <v>0</v>
      </c>
      <c r="L373" s="518">
        <v>-6860</v>
      </c>
      <c r="M373" s="317">
        <v>-6860</v>
      </c>
      <c r="N373" s="313">
        <f t="shared" si="5"/>
        <v>0</v>
      </c>
    </row>
    <row r="374" spans="3:14" ht="15" customHeight="1" x14ac:dyDescent="0.3">
      <c r="C374" s="545" t="s">
        <v>4627</v>
      </c>
      <c r="D374" s="320" t="s">
        <v>1151</v>
      </c>
      <c r="E374" s="544">
        <v>-8126.96</v>
      </c>
      <c r="F374" s="544">
        <v>8126.96</v>
      </c>
      <c r="G374" s="544">
        <v>0</v>
      </c>
      <c r="H374" s="544">
        <v>0</v>
      </c>
      <c r="I374" s="316">
        <v>-8126.96</v>
      </c>
      <c r="J374" s="518">
        <v>8126.96</v>
      </c>
      <c r="K374" s="518">
        <v>0</v>
      </c>
      <c r="L374" s="518">
        <v>0</v>
      </c>
      <c r="M374" s="317">
        <v>0</v>
      </c>
      <c r="N374" s="313">
        <f t="shared" si="5"/>
        <v>0</v>
      </c>
    </row>
    <row r="375" spans="3:14" ht="15" customHeight="1" x14ac:dyDescent="0.3">
      <c r="C375" s="545" t="s">
        <v>4628</v>
      </c>
      <c r="D375" s="320" t="s">
        <v>1154</v>
      </c>
      <c r="E375" s="544">
        <v>-6400.35</v>
      </c>
      <c r="F375" s="544">
        <v>0</v>
      </c>
      <c r="G375" s="544">
        <v>0</v>
      </c>
      <c r="H375" s="544">
        <v>-6400.35</v>
      </c>
      <c r="I375" s="316">
        <v>-6400.35</v>
      </c>
      <c r="J375" s="518">
        <v>0</v>
      </c>
      <c r="K375" s="518">
        <v>0</v>
      </c>
      <c r="L375" s="518">
        <v>-6400.35</v>
      </c>
      <c r="M375" s="317">
        <v>-6400.35</v>
      </c>
      <c r="N375" s="313">
        <f t="shared" si="5"/>
        <v>0</v>
      </c>
    </row>
    <row r="376" spans="3:14" ht="15" customHeight="1" x14ac:dyDescent="0.3">
      <c r="C376" s="545" t="s">
        <v>4629</v>
      </c>
      <c r="D376" s="320" t="s">
        <v>1157</v>
      </c>
      <c r="E376" s="544">
        <v>-5880</v>
      </c>
      <c r="F376" s="544">
        <v>0</v>
      </c>
      <c r="G376" s="544">
        <v>0</v>
      </c>
      <c r="H376" s="544">
        <v>-5880</v>
      </c>
      <c r="I376" s="316">
        <v>-5880</v>
      </c>
      <c r="J376" s="518">
        <v>0</v>
      </c>
      <c r="K376" s="518">
        <v>0</v>
      </c>
      <c r="L376" s="518">
        <v>-5880</v>
      </c>
      <c r="M376" s="317">
        <v>-5880</v>
      </c>
      <c r="N376" s="313">
        <f t="shared" si="5"/>
        <v>0</v>
      </c>
    </row>
    <row r="377" spans="3:14" ht="15" customHeight="1" x14ac:dyDescent="0.3">
      <c r="C377" s="545" t="s">
        <v>4630</v>
      </c>
      <c r="D377" s="320" t="s">
        <v>1163</v>
      </c>
      <c r="E377" s="544">
        <v>-16000</v>
      </c>
      <c r="F377" s="544">
        <v>0</v>
      </c>
      <c r="G377" s="544">
        <v>0</v>
      </c>
      <c r="H377" s="544">
        <v>-16000</v>
      </c>
      <c r="I377" s="316">
        <v>-16000</v>
      </c>
      <c r="J377" s="518">
        <v>0</v>
      </c>
      <c r="K377" s="518">
        <v>0</v>
      </c>
      <c r="L377" s="518">
        <v>-16000</v>
      </c>
      <c r="M377" s="317">
        <v>-16000</v>
      </c>
      <c r="N377" s="313">
        <f t="shared" si="5"/>
        <v>0</v>
      </c>
    </row>
    <row r="378" spans="3:14" ht="15" customHeight="1" x14ac:dyDescent="0.3">
      <c r="C378" s="545" t="s">
        <v>4631</v>
      </c>
      <c r="D378" s="320" t="s">
        <v>1166</v>
      </c>
      <c r="E378" s="544">
        <v>-20834.7</v>
      </c>
      <c r="F378" s="544">
        <v>0</v>
      </c>
      <c r="G378" s="544">
        <v>0</v>
      </c>
      <c r="H378" s="544">
        <v>-20834.7</v>
      </c>
      <c r="I378" s="316">
        <v>-20834.7</v>
      </c>
      <c r="J378" s="518">
        <v>0</v>
      </c>
      <c r="K378" s="518">
        <v>0</v>
      </c>
      <c r="L378" s="518">
        <v>-20834.7</v>
      </c>
      <c r="M378" s="317">
        <v>-20834.7</v>
      </c>
      <c r="N378" s="313">
        <f t="shared" si="5"/>
        <v>0</v>
      </c>
    </row>
    <row r="379" spans="3:14" ht="15" customHeight="1" x14ac:dyDescent="0.3">
      <c r="C379" s="545" t="s">
        <v>4632</v>
      </c>
      <c r="D379" s="320" t="s">
        <v>1169</v>
      </c>
      <c r="E379" s="544">
        <v>-8108.32</v>
      </c>
      <c r="F379" s="544">
        <v>0</v>
      </c>
      <c r="G379" s="544">
        <v>0</v>
      </c>
      <c r="H379" s="544">
        <v>-8108.32</v>
      </c>
      <c r="I379" s="316">
        <v>-8108.32</v>
      </c>
      <c r="J379" s="518">
        <v>0</v>
      </c>
      <c r="K379" s="518">
        <v>0</v>
      </c>
      <c r="L379" s="518">
        <v>-8108.32</v>
      </c>
      <c r="M379" s="317">
        <v>-8108.32</v>
      </c>
      <c r="N379" s="313">
        <f t="shared" si="5"/>
        <v>0</v>
      </c>
    </row>
    <row r="380" spans="3:14" ht="15" customHeight="1" x14ac:dyDescent="0.3">
      <c r="C380" s="545" t="s">
        <v>4633</v>
      </c>
      <c r="D380" s="320" t="s">
        <v>1176</v>
      </c>
      <c r="E380" s="544">
        <v>-4000</v>
      </c>
      <c r="F380" s="544">
        <v>0</v>
      </c>
      <c r="G380" s="544">
        <v>0</v>
      </c>
      <c r="H380" s="544">
        <v>-4000</v>
      </c>
      <c r="I380" s="316">
        <v>-4000</v>
      </c>
      <c r="J380" s="518">
        <v>0</v>
      </c>
      <c r="K380" s="518">
        <v>0</v>
      </c>
      <c r="L380" s="518">
        <v>-4000</v>
      </c>
      <c r="M380" s="317">
        <v>-4000</v>
      </c>
      <c r="N380" s="313">
        <f t="shared" si="5"/>
        <v>0</v>
      </c>
    </row>
    <row r="381" spans="3:14" ht="15" customHeight="1" x14ac:dyDescent="0.3">
      <c r="C381" s="545" t="s">
        <v>4634</v>
      </c>
      <c r="D381" s="320" t="s">
        <v>1182</v>
      </c>
      <c r="E381" s="544">
        <v>-11074.28</v>
      </c>
      <c r="F381" s="544">
        <v>0</v>
      </c>
      <c r="G381" s="544">
        <v>0</v>
      </c>
      <c r="H381" s="544">
        <v>-11074.28</v>
      </c>
      <c r="I381" s="316">
        <v>-11074.28</v>
      </c>
      <c r="J381" s="518">
        <v>0</v>
      </c>
      <c r="K381" s="518">
        <v>0</v>
      </c>
      <c r="L381" s="518">
        <v>-11074.28</v>
      </c>
      <c r="M381" s="317">
        <v>-11074.28</v>
      </c>
      <c r="N381" s="313">
        <f t="shared" si="5"/>
        <v>0</v>
      </c>
    </row>
    <row r="382" spans="3:14" ht="15" customHeight="1" x14ac:dyDescent="0.3">
      <c r="C382" s="545" t="s">
        <v>4635</v>
      </c>
      <c r="D382" s="320" t="s">
        <v>3489</v>
      </c>
      <c r="E382" s="544">
        <v>0</v>
      </c>
      <c r="F382" s="544">
        <v>2071</v>
      </c>
      <c r="G382" s="544">
        <v>2071</v>
      </c>
      <c r="H382" s="544">
        <v>0</v>
      </c>
      <c r="I382" s="316">
        <v>0</v>
      </c>
      <c r="J382" s="518">
        <v>2071</v>
      </c>
      <c r="K382" s="518">
        <v>2071</v>
      </c>
      <c r="L382" s="518">
        <v>0</v>
      </c>
      <c r="M382" s="317">
        <v>0</v>
      </c>
      <c r="N382" s="313">
        <f t="shared" si="5"/>
        <v>0</v>
      </c>
    </row>
    <row r="383" spans="3:14" ht="15" customHeight="1" x14ac:dyDescent="0.3">
      <c r="C383" s="545" t="s">
        <v>4636</v>
      </c>
      <c r="D383" s="320" t="s">
        <v>3490</v>
      </c>
      <c r="E383" s="544">
        <v>0</v>
      </c>
      <c r="F383" s="544">
        <v>362189.34</v>
      </c>
      <c r="G383" s="544">
        <v>362189.34</v>
      </c>
      <c r="H383" s="544">
        <v>0</v>
      </c>
      <c r="I383" s="316">
        <v>0</v>
      </c>
      <c r="J383" s="518">
        <v>362189.34</v>
      </c>
      <c r="K383" s="518">
        <v>362189.34</v>
      </c>
      <c r="L383" s="518">
        <v>0</v>
      </c>
      <c r="M383" s="555">
        <f>-(K384)</f>
        <v>-179001.09</v>
      </c>
      <c r="N383" s="313">
        <f t="shared" si="5"/>
        <v>179001.09</v>
      </c>
    </row>
    <row r="384" spans="3:14" ht="15" customHeight="1" x14ac:dyDescent="0.3">
      <c r="C384" s="545"/>
      <c r="D384" s="320"/>
      <c r="E384" s="544"/>
      <c r="F384" s="544"/>
      <c r="G384" s="544"/>
      <c r="H384" s="544"/>
      <c r="I384" s="589">
        <v>45293</v>
      </c>
      <c r="J384" s="518"/>
      <c r="K384" s="557">
        <v>179001.09</v>
      </c>
      <c r="L384" s="518"/>
      <c r="M384" s="317"/>
      <c r="N384" s="313">
        <f t="shared" si="5"/>
        <v>0</v>
      </c>
    </row>
    <row r="385" spans="3:14" ht="15" customHeight="1" x14ac:dyDescent="0.3">
      <c r="C385" s="545" t="s">
        <v>4637</v>
      </c>
      <c r="D385" s="320" t="s">
        <v>3491</v>
      </c>
      <c r="E385" s="544">
        <v>0</v>
      </c>
      <c r="F385" s="544">
        <v>2333.0700000000002</v>
      </c>
      <c r="G385" s="544">
        <v>2333.0700000000002</v>
      </c>
      <c r="H385" s="544">
        <v>0</v>
      </c>
      <c r="I385" s="316">
        <v>0</v>
      </c>
      <c r="J385" s="518">
        <v>2333.0700000000002</v>
      </c>
      <c r="K385" s="518">
        <v>2333.0700000000002</v>
      </c>
      <c r="L385" s="518">
        <v>0</v>
      </c>
      <c r="M385" s="317">
        <v>0</v>
      </c>
      <c r="N385" s="313">
        <f t="shared" si="5"/>
        <v>0</v>
      </c>
    </row>
    <row r="386" spans="3:14" ht="15" customHeight="1" x14ac:dyDescent="0.3">
      <c r="C386" s="545" t="s">
        <v>4638</v>
      </c>
      <c r="D386" s="320" t="s">
        <v>1189</v>
      </c>
      <c r="E386" s="544">
        <v>0</v>
      </c>
      <c r="F386" s="544">
        <v>8006.57</v>
      </c>
      <c r="G386" s="544">
        <v>8006.57</v>
      </c>
      <c r="H386" s="544">
        <v>0</v>
      </c>
      <c r="I386" s="316">
        <v>0</v>
      </c>
      <c r="J386" s="518">
        <v>8006.57</v>
      </c>
      <c r="K386" s="518">
        <v>8006.57</v>
      </c>
      <c r="L386" s="518">
        <v>0</v>
      </c>
      <c r="M386" s="317">
        <v>0</v>
      </c>
      <c r="N386" s="313">
        <f t="shared" si="5"/>
        <v>0</v>
      </c>
    </row>
    <row r="387" spans="3:14" ht="15" customHeight="1" x14ac:dyDescent="0.3">
      <c r="C387" s="545" t="s">
        <v>4639</v>
      </c>
      <c r="D387" s="320" t="s">
        <v>1193</v>
      </c>
      <c r="E387" s="544">
        <v>-3251.01</v>
      </c>
      <c r="F387" s="544">
        <v>3251.01</v>
      </c>
      <c r="G387" s="544">
        <v>0</v>
      </c>
      <c r="H387" s="544">
        <v>0</v>
      </c>
      <c r="I387" s="316">
        <v>-3251.01</v>
      </c>
      <c r="J387" s="518">
        <v>3251.01</v>
      </c>
      <c r="K387" s="518">
        <v>0</v>
      </c>
      <c r="L387" s="518">
        <v>0</v>
      </c>
      <c r="M387" s="317">
        <v>0</v>
      </c>
      <c r="N387" s="313">
        <f t="shared" si="5"/>
        <v>0</v>
      </c>
    </row>
    <row r="388" spans="3:14" ht="15" customHeight="1" x14ac:dyDescent="0.3">
      <c r="C388" s="545" t="s">
        <v>4640</v>
      </c>
      <c r="D388" s="320" t="s">
        <v>1196</v>
      </c>
      <c r="E388" s="544">
        <v>-1549.6</v>
      </c>
      <c r="F388" s="544">
        <v>0</v>
      </c>
      <c r="G388" s="544">
        <v>119</v>
      </c>
      <c r="H388" s="544">
        <v>-1668.6</v>
      </c>
      <c r="I388" s="316">
        <v>-1549.6</v>
      </c>
      <c r="J388" s="518">
        <v>0</v>
      </c>
      <c r="K388" s="518">
        <v>119</v>
      </c>
      <c r="L388" s="518">
        <v>-1668.6</v>
      </c>
      <c r="M388" s="317">
        <v>-1668.6</v>
      </c>
      <c r="N388" s="313">
        <f t="shared" si="5"/>
        <v>0</v>
      </c>
    </row>
    <row r="389" spans="3:14" ht="15" customHeight="1" x14ac:dyDescent="0.3">
      <c r="C389" s="545" t="s">
        <v>4641</v>
      </c>
      <c r="D389" s="320" t="s">
        <v>1200</v>
      </c>
      <c r="E389" s="544">
        <v>-13500</v>
      </c>
      <c r="F389" s="544">
        <v>0</v>
      </c>
      <c r="G389" s="544">
        <v>0</v>
      </c>
      <c r="H389" s="544">
        <v>-13500</v>
      </c>
      <c r="I389" s="316">
        <v>-13500</v>
      </c>
      <c r="J389" s="518">
        <v>0</v>
      </c>
      <c r="K389" s="518">
        <v>0</v>
      </c>
      <c r="L389" s="518">
        <v>-13500</v>
      </c>
      <c r="M389" s="317">
        <v>-13500</v>
      </c>
      <c r="N389" s="313">
        <f t="shared" si="5"/>
        <v>0</v>
      </c>
    </row>
    <row r="390" spans="3:14" ht="15" customHeight="1" x14ac:dyDescent="0.3">
      <c r="C390" s="545" t="s">
        <v>4642</v>
      </c>
      <c r="D390" s="320" t="s">
        <v>1203</v>
      </c>
      <c r="E390" s="544">
        <v>0</v>
      </c>
      <c r="F390" s="544">
        <v>362068.76</v>
      </c>
      <c r="G390" s="544">
        <v>362068.76</v>
      </c>
      <c r="H390" s="544">
        <v>0</v>
      </c>
      <c r="I390" s="316">
        <v>0</v>
      </c>
      <c r="J390" s="518">
        <v>362068.76</v>
      </c>
      <c r="K390" s="518">
        <v>362068.76</v>
      </c>
      <c r="L390" s="518">
        <v>0</v>
      </c>
      <c r="M390" s="317">
        <v>0</v>
      </c>
      <c r="N390" s="313">
        <f t="shared" si="5"/>
        <v>0</v>
      </c>
    </row>
    <row r="391" spans="3:14" ht="15" customHeight="1" x14ac:dyDescent="0.3">
      <c r="C391" s="545" t="s">
        <v>4643</v>
      </c>
      <c r="D391" s="320" t="s">
        <v>1206</v>
      </c>
      <c r="E391" s="544">
        <v>0</v>
      </c>
      <c r="F391" s="544">
        <v>30015</v>
      </c>
      <c r="G391" s="544">
        <v>30015</v>
      </c>
      <c r="H391" s="544">
        <v>0</v>
      </c>
      <c r="I391" s="316">
        <v>0</v>
      </c>
      <c r="J391" s="518">
        <v>30015</v>
      </c>
      <c r="K391" s="518">
        <v>30015</v>
      </c>
      <c r="L391" s="518">
        <v>0</v>
      </c>
      <c r="M391" s="317">
        <v>0</v>
      </c>
      <c r="N391" s="313">
        <f t="shared" si="5"/>
        <v>0</v>
      </c>
    </row>
    <row r="392" spans="3:14" ht="15" customHeight="1" x14ac:dyDescent="0.3">
      <c r="C392" s="545" t="s">
        <v>4644</v>
      </c>
      <c r="D392" s="320" t="s">
        <v>1212</v>
      </c>
      <c r="E392" s="544">
        <v>0</v>
      </c>
      <c r="F392" s="544">
        <v>22561.629999999997</v>
      </c>
      <c r="G392" s="544">
        <v>22561.63</v>
      </c>
      <c r="H392" s="544">
        <v>0</v>
      </c>
      <c r="I392" s="316">
        <v>0</v>
      </c>
      <c r="J392" s="518">
        <v>22561.629999999997</v>
      </c>
      <c r="K392" s="518">
        <v>22561.63</v>
      </c>
      <c r="L392" s="518">
        <v>0</v>
      </c>
      <c r="M392" s="317">
        <v>0</v>
      </c>
      <c r="N392" s="313">
        <f t="shared" si="5"/>
        <v>0</v>
      </c>
    </row>
    <row r="393" spans="3:14" ht="15" customHeight="1" x14ac:dyDescent="0.3">
      <c r="C393" s="545" t="s">
        <v>4645</v>
      </c>
      <c r="D393" s="320" t="s">
        <v>1219</v>
      </c>
      <c r="E393" s="544">
        <v>0</v>
      </c>
      <c r="F393" s="544">
        <v>24181.42</v>
      </c>
      <c r="G393" s="544">
        <v>24213.49</v>
      </c>
      <c r="H393" s="544">
        <v>-32.07</v>
      </c>
      <c r="I393" s="316">
        <v>0</v>
      </c>
      <c r="J393" s="518">
        <v>24181.42</v>
      </c>
      <c r="K393" s="518">
        <v>24213.49</v>
      </c>
      <c r="L393" s="518">
        <v>-32.07</v>
      </c>
      <c r="M393" s="555">
        <f>L393-K394-K395</f>
        <v>-89.39</v>
      </c>
      <c r="N393" s="313">
        <f t="shared" si="5"/>
        <v>57.32</v>
      </c>
    </row>
    <row r="394" spans="3:14" ht="15" customHeight="1" x14ac:dyDescent="0.3">
      <c r="C394" s="545"/>
      <c r="D394" s="320"/>
      <c r="E394" s="544"/>
      <c r="F394" s="544"/>
      <c r="G394" s="544"/>
      <c r="H394" s="544"/>
      <c r="I394" s="589">
        <v>45293</v>
      </c>
      <c r="J394" s="518"/>
      <c r="K394" s="557">
        <v>43.77</v>
      </c>
      <c r="L394" s="518"/>
      <c r="M394" s="317"/>
      <c r="N394" s="313">
        <f t="shared" si="5"/>
        <v>0</v>
      </c>
    </row>
    <row r="395" spans="3:14" ht="15" customHeight="1" x14ac:dyDescent="0.3">
      <c r="C395" s="545"/>
      <c r="D395" s="320"/>
      <c r="E395" s="544"/>
      <c r="F395" s="544"/>
      <c r="G395" s="544"/>
      <c r="H395" s="544"/>
      <c r="I395" s="589">
        <v>45293</v>
      </c>
      <c r="J395" s="518"/>
      <c r="K395" s="557">
        <v>13.55</v>
      </c>
      <c r="L395" s="518"/>
      <c r="M395" s="317"/>
      <c r="N395" s="313">
        <f t="shared" si="5"/>
        <v>0</v>
      </c>
    </row>
    <row r="396" spans="3:14" ht="15" customHeight="1" x14ac:dyDescent="0.3">
      <c r="C396" s="545" t="s">
        <v>4646</v>
      </c>
      <c r="D396" s="320" t="s">
        <v>1226</v>
      </c>
      <c r="E396" s="544">
        <v>0</v>
      </c>
      <c r="F396" s="544">
        <v>51562.76</v>
      </c>
      <c r="G396" s="544">
        <v>51562.76</v>
      </c>
      <c r="H396" s="544">
        <v>0</v>
      </c>
      <c r="I396" s="316">
        <v>0</v>
      </c>
      <c r="J396" s="518">
        <v>51562.76</v>
      </c>
      <c r="K396" s="518">
        <v>51562.76</v>
      </c>
      <c r="L396" s="518">
        <v>0</v>
      </c>
      <c r="M396" s="317">
        <v>0</v>
      </c>
      <c r="N396" s="313">
        <f t="shared" si="5"/>
        <v>0</v>
      </c>
    </row>
    <row r="397" spans="3:14" ht="15" customHeight="1" x14ac:dyDescent="0.3">
      <c r="C397" s="545" t="s">
        <v>4647</v>
      </c>
      <c r="D397" s="320" t="s">
        <v>3492</v>
      </c>
      <c r="E397" s="544">
        <v>0</v>
      </c>
      <c r="F397" s="544">
        <v>1040.8</v>
      </c>
      <c r="G397" s="544">
        <v>1040.8</v>
      </c>
      <c r="H397" s="544">
        <v>0</v>
      </c>
      <c r="I397" s="316">
        <v>0</v>
      </c>
      <c r="J397" s="518">
        <v>1040.8</v>
      </c>
      <c r="K397" s="518">
        <v>1040.8</v>
      </c>
      <c r="L397" s="518">
        <v>0</v>
      </c>
      <c r="M397" s="317">
        <v>0</v>
      </c>
      <c r="N397" s="313">
        <f t="shared" ref="N397:N460" si="6">L397-M397</f>
        <v>0</v>
      </c>
    </row>
    <row r="398" spans="3:14" ht="15" customHeight="1" x14ac:dyDescent="0.3">
      <c r="C398" s="545" t="s">
        <v>4648</v>
      </c>
      <c r="D398" s="320" t="s">
        <v>3493</v>
      </c>
      <c r="E398" s="544">
        <v>0</v>
      </c>
      <c r="F398" s="544">
        <v>1561963.37</v>
      </c>
      <c r="G398" s="544">
        <v>1561963.37</v>
      </c>
      <c r="H398" s="544">
        <v>0</v>
      </c>
      <c r="I398" s="316">
        <v>0</v>
      </c>
      <c r="J398" s="518">
        <v>1561963.37</v>
      </c>
      <c r="K398" s="518">
        <v>1561963.37</v>
      </c>
      <c r="L398" s="518">
        <v>0</v>
      </c>
      <c r="M398" s="317">
        <v>0</v>
      </c>
      <c r="N398" s="313">
        <f t="shared" si="6"/>
        <v>0</v>
      </c>
    </row>
    <row r="399" spans="3:14" ht="15" customHeight="1" x14ac:dyDescent="0.3">
      <c r="C399" s="545" t="s">
        <v>4649</v>
      </c>
      <c r="D399" s="320" t="s">
        <v>3494</v>
      </c>
      <c r="E399" s="544">
        <v>-109298.75</v>
      </c>
      <c r="F399" s="544">
        <v>373731.23</v>
      </c>
      <c r="G399" s="544">
        <v>264432.48</v>
      </c>
      <c r="H399" s="544">
        <v>0</v>
      </c>
      <c r="I399" s="316">
        <v>-109298.75</v>
      </c>
      <c r="J399" s="518">
        <v>373731.23</v>
      </c>
      <c r="K399" s="518">
        <v>264432.48</v>
      </c>
      <c r="L399" s="518">
        <v>0</v>
      </c>
      <c r="M399" s="317">
        <v>0</v>
      </c>
      <c r="N399" s="313">
        <f t="shared" si="6"/>
        <v>0</v>
      </c>
    </row>
    <row r="400" spans="3:14" ht="15" customHeight="1" x14ac:dyDescent="0.3">
      <c r="C400" s="545" t="s">
        <v>4650</v>
      </c>
      <c r="D400" s="320" t="s">
        <v>3495</v>
      </c>
      <c r="E400" s="544">
        <v>0</v>
      </c>
      <c r="F400" s="544">
        <v>12918.05</v>
      </c>
      <c r="G400" s="544">
        <v>12918.05</v>
      </c>
      <c r="H400" s="544">
        <v>0</v>
      </c>
      <c r="I400" s="316">
        <v>0</v>
      </c>
      <c r="J400" s="518">
        <v>12918.05</v>
      </c>
      <c r="K400" s="518">
        <v>12918.05</v>
      </c>
      <c r="L400" s="518">
        <v>0</v>
      </c>
      <c r="M400" s="317">
        <v>0</v>
      </c>
      <c r="N400" s="313">
        <f t="shared" si="6"/>
        <v>0</v>
      </c>
    </row>
    <row r="401" spans="3:14" ht="15" customHeight="1" x14ac:dyDescent="0.3">
      <c r="C401" s="545" t="s">
        <v>4651</v>
      </c>
      <c r="D401" s="320" t="s">
        <v>3496</v>
      </c>
      <c r="E401" s="544">
        <v>0</v>
      </c>
      <c r="F401" s="544">
        <v>388878.54</v>
      </c>
      <c r="G401" s="544">
        <v>388878.54</v>
      </c>
      <c r="H401" s="544">
        <v>0</v>
      </c>
      <c r="I401" s="316">
        <v>0</v>
      </c>
      <c r="J401" s="518">
        <v>388878.54</v>
      </c>
      <c r="K401" s="518">
        <v>388878.54</v>
      </c>
      <c r="L401" s="518">
        <v>0</v>
      </c>
      <c r="M401" s="317">
        <v>0</v>
      </c>
      <c r="N401" s="313">
        <f t="shared" si="6"/>
        <v>0</v>
      </c>
    </row>
    <row r="402" spans="3:14" ht="15" customHeight="1" x14ac:dyDescent="0.3">
      <c r="C402" s="545" t="s">
        <v>4652</v>
      </c>
      <c r="D402" s="320" t="s">
        <v>3497</v>
      </c>
      <c r="E402" s="544">
        <v>0</v>
      </c>
      <c r="F402" s="544">
        <v>134.72</v>
      </c>
      <c r="G402" s="544">
        <v>134.72</v>
      </c>
      <c r="H402" s="544">
        <v>0</v>
      </c>
      <c r="I402" s="316">
        <v>0</v>
      </c>
      <c r="J402" s="518">
        <v>134.72</v>
      </c>
      <c r="K402" s="518">
        <v>134.72</v>
      </c>
      <c r="L402" s="518">
        <v>0</v>
      </c>
      <c r="M402" s="317">
        <v>0</v>
      </c>
      <c r="N402" s="313">
        <f t="shared" si="6"/>
        <v>0</v>
      </c>
    </row>
    <row r="403" spans="3:14" ht="15" customHeight="1" x14ac:dyDescent="0.3">
      <c r="C403" s="545" t="s">
        <v>4652</v>
      </c>
      <c r="D403" s="320" t="s">
        <v>3498</v>
      </c>
      <c r="E403" s="544">
        <v>0</v>
      </c>
      <c r="F403" s="544">
        <v>134.72</v>
      </c>
      <c r="G403" s="544">
        <v>134.72</v>
      </c>
      <c r="H403" s="544">
        <v>0</v>
      </c>
      <c r="I403" s="316">
        <v>0</v>
      </c>
      <c r="J403" s="518">
        <v>134.72</v>
      </c>
      <c r="K403" s="518">
        <v>134.72</v>
      </c>
      <c r="L403" s="518">
        <v>0</v>
      </c>
      <c r="M403" s="317">
        <v>0</v>
      </c>
      <c r="N403" s="313">
        <f t="shared" si="6"/>
        <v>0</v>
      </c>
    </row>
    <row r="404" spans="3:14" ht="15" customHeight="1" x14ac:dyDescent="0.3">
      <c r="C404" s="545" t="s">
        <v>4652</v>
      </c>
      <c r="D404" s="320" t="s">
        <v>3499</v>
      </c>
      <c r="E404" s="544">
        <v>0</v>
      </c>
      <c r="F404" s="544">
        <v>134.72</v>
      </c>
      <c r="G404" s="544">
        <v>134.72</v>
      </c>
      <c r="H404" s="544">
        <v>0</v>
      </c>
      <c r="I404" s="316">
        <v>0</v>
      </c>
      <c r="J404" s="518">
        <v>134.72</v>
      </c>
      <c r="K404" s="518">
        <v>134.72</v>
      </c>
      <c r="L404" s="518">
        <v>0</v>
      </c>
      <c r="M404" s="317">
        <v>0</v>
      </c>
      <c r="N404" s="313">
        <f t="shared" si="6"/>
        <v>0</v>
      </c>
    </row>
    <row r="405" spans="3:14" ht="15" customHeight="1" x14ac:dyDescent="0.3">
      <c r="C405" s="545" t="s">
        <v>4653</v>
      </c>
      <c r="D405" s="320" t="s">
        <v>3500</v>
      </c>
      <c r="E405" s="544">
        <v>0</v>
      </c>
      <c r="F405" s="544">
        <v>19778.97</v>
      </c>
      <c r="G405" s="544">
        <v>19778.97</v>
      </c>
      <c r="H405" s="544">
        <v>0</v>
      </c>
      <c r="I405" s="316">
        <v>0</v>
      </c>
      <c r="J405" s="518">
        <v>19778.97</v>
      </c>
      <c r="K405" s="518">
        <v>19778.97</v>
      </c>
      <c r="L405" s="518">
        <v>0</v>
      </c>
      <c r="M405" s="317">
        <v>0</v>
      </c>
      <c r="N405" s="313">
        <f t="shared" si="6"/>
        <v>0</v>
      </c>
    </row>
    <row r="406" spans="3:14" ht="15" customHeight="1" x14ac:dyDescent="0.3">
      <c r="C406" s="545" t="s">
        <v>4654</v>
      </c>
      <c r="D406" s="320" t="s">
        <v>3501</v>
      </c>
      <c r="E406" s="544">
        <v>0</v>
      </c>
      <c r="F406" s="544">
        <v>2150</v>
      </c>
      <c r="G406" s="544">
        <v>2150</v>
      </c>
      <c r="H406" s="544">
        <v>0</v>
      </c>
      <c r="I406" s="316">
        <v>0</v>
      </c>
      <c r="J406" s="518">
        <v>2150</v>
      </c>
      <c r="K406" s="518">
        <v>2150</v>
      </c>
      <c r="L406" s="518">
        <v>0</v>
      </c>
      <c r="M406" s="317">
        <v>0</v>
      </c>
      <c r="N406" s="313">
        <f t="shared" si="6"/>
        <v>0</v>
      </c>
    </row>
    <row r="407" spans="3:14" ht="15" customHeight="1" x14ac:dyDescent="0.3">
      <c r="C407" s="545" t="s">
        <v>4655</v>
      </c>
      <c r="D407" s="320" t="s">
        <v>3502</v>
      </c>
      <c r="E407" s="544">
        <v>0</v>
      </c>
      <c r="F407" s="544">
        <v>165520</v>
      </c>
      <c r="G407" s="544">
        <v>165520</v>
      </c>
      <c r="H407" s="544">
        <v>0</v>
      </c>
      <c r="I407" s="316">
        <v>0</v>
      </c>
      <c r="J407" s="518">
        <v>165520</v>
      </c>
      <c r="K407" s="518">
        <v>165520</v>
      </c>
      <c r="L407" s="518">
        <v>0</v>
      </c>
      <c r="M407" s="317">
        <v>0</v>
      </c>
      <c r="N407" s="313">
        <f t="shared" si="6"/>
        <v>0</v>
      </c>
    </row>
    <row r="408" spans="3:14" ht="15" customHeight="1" x14ac:dyDescent="0.3">
      <c r="C408" s="545" t="s">
        <v>4656</v>
      </c>
      <c r="D408" s="320" t="s">
        <v>3503</v>
      </c>
      <c r="E408" s="544">
        <v>0</v>
      </c>
      <c r="F408" s="544">
        <v>20000</v>
      </c>
      <c r="G408" s="544">
        <v>20000</v>
      </c>
      <c r="H408" s="544">
        <v>0</v>
      </c>
      <c r="I408" s="316">
        <v>0</v>
      </c>
      <c r="J408" s="518">
        <v>20000</v>
      </c>
      <c r="K408" s="518">
        <v>20000</v>
      </c>
      <c r="L408" s="518">
        <v>0</v>
      </c>
      <c r="M408" s="317">
        <v>0</v>
      </c>
      <c r="N408" s="313">
        <f t="shared" si="6"/>
        <v>0</v>
      </c>
    </row>
    <row r="409" spans="3:14" ht="15" customHeight="1" x14ac:dyDescent="0.3">
      <c r="C409" s="545" t="s">
        <v>4657</v>
      </c>
      <c r="D409" s="320" t="s">
        <v>3504</v>
      </c>
      <c r="E409" s="544">
        <v>0</v>
      </c>
      <c r="F409" s="544">
        <v>84242.25</v>
      </c>
      <c r="G409" s="544">
        <v>84242.25</v>
      </c>
      <c r="H409" s="544">
        <v>0</v>
      </c>
      <c r="I409" s="316">
        <v>0</v>
      </c>
      <c r="J409" s="518">
        <v>84242.25</v>
      </c>
      <c r="K409" s="518">
        <v>84242.25</v>
      </c>
      <c r="L409" s="518">
        <v>0</v>
      </c>
      <c r="M409" s="317">
        <v>0</v>
      </c>
      <c r="N409" s="313">
        <f t="shared" si="6"/>
        <v>0</v>
      </c>
    </row>
    <row r="410" spans="3:14" ht="15" customHeight="1" x14ac:dyDescent="0.3">
      <c r="C410" s="545" t="s">
        <v>4658</v>
      </c>
      <c r="D410" s="320" t="s">
        <v>3505</v>
      </c>
      <c r="E410" s="544">
        <v>0</v>
      </c>
      <c r="F410" s="544">
        <v>20628.3</v>
      </c>
      <c r="G410" s="544">
        <v>20628.3</v>
      </c>
      <c r="H410" s="544">
        <v>0</v>
      </c>
      <c r="I410" s="316">
        <v>0</v>
      </c>
      <c r="J410" s="518">
        <v>20628.3</v>
      </c>
      <c r="K410" s="518">
        <v>20628.3</v>
      </c>
      <c r="L410" s="518">
        <v>0</v>
      </c>
      <c r="M410" s="317">
        <v>0</v>
      </c>
      <c r="N410" s="313">
        <f t="shared" si="6"/>
        <v>0</v>
      </c>
    </row>
    <row r="411" spans="3:14" ht="15" customHeight="1" x14ac:dyDescent="0.3">
      <c r="C411" s="545" t="s">
        <v>4659</v>
      </c>
      <c r="D411" s="320" t="s">
        <v>3506</v>
      </c>
      <c r="E411" s="544">
        <v>0</v>
      </c>
      <c r="F411" s="544">
        <v>499.5</v>
      </c>
      <c r="G411" s="544">
        <v>499.5</v>
      </c>
      <c r="H411" s="544">
        <v>0</v>
      </c>
      <c r="I411" s="316">
        <v>0</v>
      </c>
      <c r="J411" s="518">
        <v>499.5</v>
      </c>
      <c r="K411" s="518">
        <v>499.5</v>
      </c>
      <c r="L411" s="518">
        <v>0</v>
      </c>
      <c r="M411" s="317">
        <v>0</v>
      </c>
      <c r="N411" s="313">
        <f t="shared" si="6"/>
        <v>0</v>
      </c>
    </row>
    <row r="412" spans="3:14" ht="15" customHeight="1" x14ac:dyDescent="0.3">
      <c r="C412" s="545" t="s">
        <v>4660</v>
      </c>
      <c r="D412" s="320" t="s">
        <v>3507</v>
      </c>
      <c r="E412" s="544">
        <v>0</v>
      </c>
      <c r="F412" s="544">
        <v>4449.2</v>
      </c>
      <c r="G412" s="544">
        <v>4449.2</v>
      </c>
      <c r="H412" s="544">
        <v>0</v>
      </c>
      <c r="I412" s="316">
        <v>0</v>
      </c>
      <c r="J412" s="518">
        <v>4449.2</v>
      </c>
      <c r="K412" s="518">
        <v>4449.2</v>
      </c>
      <c r="L412" s="518">
        <v>0</v>
      </c>
      <c r="M412" s="317">
        <v>0</v>
      </c>
      <c r="N412" s="313">
        <f t="shared" si="6"/>
        <v>0</v>
      </c>
    </row>
    <row r="413" spans="3:14" ht="15" customHeight="1" x14ac:dyDescent="0.3">
      <c r="C413" s="545" t="s">
        <v>4661</v>
      </c>
      <c r="D413" s="320" t="s">
        <v>3508</v>
      </c>
      <c r="E413" s="544">
        <v>0</v>
      </c>
      <c r="F413" s="544">
        <v>8562.75</v>
      </c>
      <c r="G413" s="544">
        <v>8562.75</v>
      </c>
      <c r="H413" s="544">
        <v>0</v>
      </c>
      <c r="I413" s="316">
        <v>0</v>
      </c>
      <c r="J413" s="518">
        <v>8562.75</v>
      </c>
      <c r="K413" s="518">
        <v>8562.75</v>
      </c>
      <c r="L413" s="518">
        <v>0</v>
      </c>
      <c r="M413" s="317">
        <v>0</v>
      </c>
      <c r="N413" s="313">
        <f t="shared" si="6"/>
        <v>0</v>
      </c>
    </row>
    <row r="414" spans="3:14" ht="15" customHeight="1" x14ac:dyDescent="0.3">
      <c r="C414" s="545" t="s">
        <v>4662</v>
      </c>
      <c r="D414" s="320" t="s">
        <v>3509</v>
      </c>
      <c r="E414" s="544">
        <v>0</v>
      </c>
      <c r="F414" s="544">
        <v>50040</v>
      </c>
      <c r="G414" s="544">
        <v>50040</v>
      </c>
      <c r="H414" s="544">
        <v>0</v>
      </c>
      <c r="I414" s="316">
        <v>0</v>
      </c>
      <c r="J414" s="518">
        <v>50040</v>
      </c>
      <c r="K414" s="518">
        <v>50040</v>
      </c>
      <c r="L414" s="518">
        <v>0</v>
      </c>
      <c r="M414" s="317">
        <v>0</v>
      </c>
      <c r="N414" s="313">
        <f t="shared" si="6"/>
        <v>0</v>
      </c>
    </row>
    <row r="415" spans="3:14" ht="15" customHeight="1" x14ac:dyDescent="0.3">
      <c r="C415" s="545" t="s">
        <v>4663</v>
      </c>
      <c r="D415" s="320" t="s">
        <v>3510</v>
      </c>
      <c r="E415" s="544">
        <v>0</v>
      </c>
      <c r="F415" s="544">
        <v>13369.93</v>
      </c>
      <c r="G415" s="544">
        <v>13369.93</v>
      </c>
      <c r="H415" s="544">
        <v>0</v>
      </c>
      <c r="I415" s="316">
        <v>0</v>
      </c>
      <c r="J415" s="518">
        <v>13369.93</v>
      </c>
      <c r="K415" s="518">
        <v>13369.93</v>
      </c>
      <c r="L415" s="518">
        <v>0</v>
      </c>
      <c r="M415" s="317">
        <v>0</v>
      </c>
      <c r="N415" s="313">
        <f t="shared" si="6"/>
        <v>0</v>
      </c>
    </row>
    <row r="416" spans="3:14" ht="15" customHeight="1" x14ac:dyDescent="0.3">
      <c r="C416" s="545" t="s">
        <v>4664</v>
      </c>
      <c r="D416" s="320" t="s">
        <v>3511</v>
      </c>
      <c r="E416" s="544">
        <v>0</v>
      </c>
      <c r="F416" s="544">
        <v>8251.3700000000008</v>
      </c>
      <c r="G416" s="544">
        <v>8251.3700000000008</v>
      </c>
      <c r="H416" s="544">
        <v>0</v>
      </c>
      <c r="I416" s="316">
        <v>0</v>
      </c>
      <c r="J416" s="518">
        <v>8251.3700000000008</v>
      </c>
      <c r="K416" s="518">
        <v>8251.3700000000008</v>
      </c>
      <c r="L416" s="518">
        <v>0</v>
      </c>
      <c r="M416" s="317">
        <v>0</v>
      </c>
      <c r="N416" s="313">
        <f t="shared" si="6"/>
        <v>0</v>
      </c>
    </row>
    <row r="417" spans="3:14" ht="15" customHeight="1" x14ac:dyDescent="0.3">
      <c r="C417" s="545" t="s">
        <v>4665</v>
      </c>
      <c r="D417" s="320" t="s">
        <v>3512</v>
      </c>
      <c r="E417" s="544">
        <v>0</v>
      </c>
      <c r="F417" s="544">
        <v>466829.41</v>
      </c>
      <c r="G417" s="544">
        <v>466829.41</v>
      </c>
      <c r="H417" s="544">
        <v>0</v>
      </c>
      <c r="I417" s="316">
        <v>0</v>
      </c>
      <c r="J417" s="518">
        <v>466829.41</v>
      </c>
      <c r="K417" s="518">
        <v>466829.41</v>
      </c>
      <c r="L417" s="518">
        <v>0</v>
      </c>
      <c r="M417" s="317">
        <v>0</v>
      </c>
      <c r="N417" s="313">
        <f t="shared" si="6"/>
        <v>0</v>
      </c>
    </row>
    <row r="418" spans="3:14" ht="15" customHeight="1" x14ac:dyDescent="0.3">
      <c r="C418" s="545" t="s">
        <v>4666</v>
      </c>
      <c r="D418" s="320" t="s">
        <v>3513</v>
      </c>
      <c r="E418" s="544">
        <v>0</v>
      </c>
      <c r="F418" s="544">
        <v>10714.9</v>
      </c>
      <c r="G418" s="544">
        <v>12500.88</v>
      </c>
      <c r="H418" s="544">
        <v>-1785.98</v>
      </c>
      <c r="I418" s="316">
        <v>0</v>
      </c>
      <c r="J418" s="518">
        <v>10714.9</v>
      </c>
      <c r="K418" s="518">
        <v>12500.88</v>
      </c>
      <c r="L418" s="518">
        <v>-1785.98</v>
      </c>
      <c r="M418" s="317">
        <v>-1785.98</v>
      </c>
      <c r="N418" s="313">
        <f t="shared" si="6"/>
        <v>0</v>
      </c>
    </row>
    <row r="419" spans="3:14" ht="15" customHeight="1" x14ac:dyDescent="0.3">
      <c r="C419" s="545" t="s">
        <v>4667</v>
      </c>
      <c r="D419" s="320" t="s">
        <v>3514</v>
      </c>
      <c r="E419" s="544">
        <v>0</v>
      </c>
      <c r="F419" s="544">
        <v>427.8</v>
      </c>
      <c r="G419" s="544">
        <v>427.8</v>
      </c>
      <c r="H419" s="544">
        <v>0</v>
      </c>
      <c r="I419" s="316">
        <v>0</v>
      </c>
      <c r="J419" s="518">
        <v>427.8</v>
      </c>
      <c r="K419" s="518">
        <v>427.8</v>
      </c>
      <c r="L419" s="518">
        <v>0</v>
      </c>
      <c r="M419" s="317">
        <v>0</v>
      </c>
      <c r="N419" s="313">
        <f t="shared" si="6"/>
        <v>0</v>
      </c>
    </row>
    <row r="420" spans="3:14" ht="15" customHeight="1" x14ac:dyDescent="0.3">
      <c r="C420" s="545" t="s">
        <v>4668</v>
      </c>
      <c r="D420" s="320" t="s">
        <v>3515</v>
      </c>
      <c r="E420" s="544">
        <v>0</v>
      </c>
      <c r="F420" s="544">
        <v>5439.29</v>
      </c>
      <c r="G420" s="544">
        <v>5439.29</v>
      </c>
      <c r="H420" s="544">
        <v>0</v>
      </c>
      <c r="I420" s="316">
        <v>0</v>
      </c>
      <c r="J420" s="518">
        <v>5439.29</v>
      </c>
      <c r="K420" s="518">
        <v>5439.29</v>
      </c>
      <c r="L420" s="518">
        <v>0</v>
      </c>
      <c r="M420" s="317">
        <v>0</v>
      </c>
      <c r="N420" s="313">
        <f t="shared" si="6"/>
        <v>0</v>
      </c>
    </row>
    <row r="421" spans="3:14" ht="15" customHeight="1" x14ac:dyDescent="0.3">
      <c r="C421" s="545" t="s">
        <v>4669</v>
      </c>
      <c r="D421" s="320" t="s">
        <v>3516</v>
      </c>
      <c r="E421" s="544">
        <v>0</v>
      </c>
      <c r="F421" s="544">
        <v>5559.5</v>
      </c>
      <c r="G421" s="544">
        <v>5559.5</v>
      </c>
      <c r="H421" s="544">
        <v>0</v>
      </c>
      <c r="I421" s="316">
        <v>0</v>
      </c>
      <c r="J421" s="518">
        <v>5559.5</v>
      </c>
      <c r="K421" s="518">
        <v>5559.5</v>
      </c>
      <c r="L421" s="518">
        <v>0</v>
      </c>
      <c r="M421" s="317">
        <v>0</v>
      </c>
      <c r="N421" s="313">
        <f t="shared" si="6"/>
        <v>0</v>
      </c>
    </row>
    <row r="422" spans="3:14" ht="15" customHeight="1" x14ac:dyDescent="0.3">
      <c r="C422" s="545" t="s">
        <v>4670</v>
      </c>
      <c r="D422" s="320" t="s">
        <v>3517</v>
      </c>
      <c r="E422" s="544">
        <v>0</v>
      </c>
      <c r="F422" s="544">
        <v>1505797.17</v>
      </c>
      <c r="G422" s="544">
        <v>1505797.17</v>
      </c>
      <c r="H422" s="544">
        <v>0</v>
      </c>
      <c r="I422" s="316">
        <v>0</v>
      </c>
      <c r="J422" s="518">
        <v>1505797.17</v>
      </c>
      <c r="K422" s="518">
        <v>1505797.17</v>
      </c>
      <c r="L422" s="518">
        <v>0</v>
      </c>
      <c r="M422" s="317">
        <v>0</v>
      </c>
      <c r="N422" s="313">
        <f t="shared" si="6"/>
        <v>0</v>
      </c>
    </row>
    <row r="423" spans="3:14" ht="15" customHeight="1" x14ac:dyDescent="0.3">
      <c r="C423" s="545" t="s">
        <v>4671</v>
      </c>
      <c r="D423" s="320" t="s">
        <v>3518</v>
      </c>
      <c r="E423" s="544">
        <v>0</v>
      </c>
      <c r="F423" s="544">
        <v>1741.5</v>
      </c>
      <c r="G423" s="544">
        <v>1741.5</v>
      </c>
      <c r="H423" s="544">
        <v>0</v>
      </c>
      <c r="I423" s="316">
        <v>0</v>
      </c>
      <c r="J423" s="518">
        <v>1741.5</v>
      </c>
      <c r="K423" s="518">
        <v>1741.5</v>
      </c>
      <c r="L423" s="518">
        <v>0</v>
      </c>
      <c r="M423" s="317">
        <v>0</v>
      </c>
      <c r="N423" s="313">
        <f t="shared" si="6"/>
        <v>0</v>
      </c>
    </row>
    <row r="424" spans="3:14" ht="15" customHeight="1" x14ac:dyDescent="0.3">
      <c r="C424" s="545" t="s">
        <v>4672</v>
      </c>
      <c r="D424" s="320" t="s">
        <v>3519</v>
      </c>
      <c r="E424" s="544">
        <v>0</v>
      </c>
      <c r="F424" s="544">
        <v>16348.6</v>
      </c>
      <c r="G424" s="544">
        <v>16348.6</v>
      </c>
      <c r="H424" s="544">
        <v>0</v>
      </c>
      <c r="I424" s="316">
        <v>0</v>
      </c>
      <c r="J424" s="518">
        <v>16348.6</v>
      </c>
      <c r="K424" s="518">
        <v>16348.6</v>
      </c>
      <c r="L424" s="518">
        <v>0</v>
      </c>
      <c r="M424" s="317">
        <v>0</v>
      </c>
      <c r="N424" s="313">
        <f t="shared" si="6"/>
        <v>0</v>
      </c>
    </row>
    <row r="425" spans="3:14" ht="15" customHeight="1" x14ac:dyDescent="0.3">
      <c r="C425" s="545" t="s">
        <v>4673</v>
      </c>
      <c r="D425" s="320" t="s">
        <v>3520</v>
      </c>
      <c r="E425" s="544">
        <v>0</v>
      </c>
      <c r="F425" s="544">
        <v>852.8</v>
      </c>
      <c r="G425" s="544">
        <v>852.8</v>
      </c>
      <c r="H425" s="544">
        <v>0</v>
      </c>
      <c r="I425" s="316">
        <v>0</v>
      </c>
      <c r="J425" s="518">
        <v>852.8</v>
      </c>
      <c r="K425" s="518">
        <v>852.8</v>
      </c>
      <c r="L425" s="518">
        <v>0</v>
      </c>
      <c r="M425" s="317">
        <v>0</v>
      </c>
      <c r="N425" s="313">
        <f t="shared" si="6"/>
        <v>0</v>
      </c>
    </row>
    <row r="426" spans="3:14" ht="15" customHeight="1" x14ac:dyDescent="0.3">
      <c r="C426" s="545" t="s">
        <v>4674</v>
      </c>
      <c r="D426" s="320" t="s">
        <v>3521</v>
      </c>
      <c r="E426" s="544">
        <v>0</v>
      </c>
      <c r="F426" s="544">
        <v>41759</v>
      </c>
      <c r="G426" s="544">
        <v>41759</v>
      </c>
      <c r="H426" s="544">
        <v>0</v>
      </c>
      <c r="I426" s="316">
        <v>0</v>
      </c>
      <c r="J426" s="518">
        <v>41759</v>
      </c>
      <c r="K426" s="518">
        <v>41759</v>
      </c>
      <c r="L426" s="518">
        <v>0</v>
      </c>
      <c r="M426" s="317">
        <v>0</v>
      </c>
      <c r="N426" s="313">
        <f t="shared" si="6"/>
        <v>0</v>
      </c>
    </row>
    <row r="427" spans="3:14" ht="15" customHeight="1" x14ac:dyDescent="0.3">
      <c r="C427" s="545" t="s">
        <v>4675</v>
      </c>
      <c r="D427" s="320" t="s">
        <v>3522</v>
      </c>
      <c r="E427" s="544">
        <v>0</v>
      </c>
      <c r="F427" s="544">
        <v>4980</v>
      </c>
      <c r="G427" s="544">
        <v>4980</v>
      </c>
      <c r="H427" s="544">
        <v>0</v>
      </c>
      <c r="I427" s="316">
        <v>0</v>
      </c>
      <c r="J427" s="518">
        <v>4980</v>
      </c>
      <c r="K427" s="518">
        <v>4980</v>
      </c>
      <c r="L427" s="518">
        <v>0</v>
      </c>
      <c r="M427" s="317">
        <v>0</v>
      </c>
      <c r="N427" s="313">
        <f t="shared" si="6"/>
        <v>0</v>
      </c>
    </row>
    <row r="428" spans="3:14" ht="15" customHeight="1" x14ac:dyDescent="0.3">
      <c r="C428" s="543" t="s">
        <v>4676</v>
      </c>
      <c r="D428" s="319" t="s">
        <v>3523</v>
      </c>
      <c r="E428" s="544">
        <v>0</v>
      </c>
      <c r="F428" s="544">
        <v>15443.9</v>
      </c>
      <c r="G428" s="544">
        <v>15443.9</v>
      </c>
      <c r="H428" s="544">
        <v>0</v>
      </c>
      <c r="I428" s="312">
        <v>0</v>
      </c>
      <c r="J428" s="517">
        <v>15443.9</v>
      </c>
      <c r="K428" s="517">
        <v>15443.9</v>
      </c>
      <c r="L428" s="517">
        <v>0</v>
      </c>
      <c r="M428" s="313">
        <v>0</v>
      </c>
      <c r="N428" s="313">
        <f t="shared" si="6"/>
        <v>0</v>
      </c>
    </row>
    <row r="429" spans="3:14" ht="15" customHeight="1" x14ac:dyDescent="0.3">
      <c r="C429" s="545" t="s">
        <v>4677</v>
      </c>
      <c r="D429" s="320" t="s">
        <v>3524</v>
      </c>
      <c r="E429" s="544">
        <v>0</v>
      </c>
      <c r="F429" s="544">
        <v>15443.9</v>
      </c>
      <c r="G429" s="544">
        <v>15443.9</v>
      </c>
      <c r="H429" s="544">
        <v>0</v>
      </c>
      <c r="I429" s="316">
        <v>0</v>
      </c>
      <c r="J429" s="518">
        <v>15443.9</v>
      </c>
      <c r="K429" s="518">
        <v>15443.9</v>
      </c>
      <c r="L429" s="518">
        <v>0</v>
      </c>
      <c r="M429" s="317">
        <v>0</v>
      </c>
      <c r="N429" s="313">
        <f t="shared" si="6"/>
        <v>0</v>
      </c>
    </row>
    <row r="430" spans="3:14" ht="15" customHeight="1" x14ac:dyDescent="0.3">
      <c r="C430" s="543" t="s">
        <v>4678</v>
      </c>
      <c r="D430" s="319" t="s">
        <v>3525</v>
      </c>
      <c r="E430" s="544">
        <v>-24951.95</v>
      </c>
      <c r="F430" s="544">
        <v>105313.2</v>
      </c>
      <c r="G430" s="544">
        <v>103333.2</v>
      </c>
      <c r="H430" s="544">
        <v>-22971.95</v>
      </c>
      <c r="I430" s="312">
        <v>-24951.95</v>
      </c>
      <c r="J430" s="517">
        <v>105313.2</v>
      </c>
      <c r="K430" s="517">
        <v>103333.2</v>
      </c>
      <c r="L430" s="517">
        <v>-22971.95</v>
      </c>
      <c r="M430" s="313">
        <v>-22971.95</v>
      </c>
      <c r="N430" s="313">
        <f t="shared" si="6"/>
        <v>0</v>
      </c>
    </row>
    <row r="431" spans="3:14" ht="15" customHeight="1" x14ac:dyDescent="0.3">
      <c r="C431" s="545" t="s">
        <v>4679</v>
      </c>
      <c r="D431" s="320" t="s">
        <v>1240</v>
      </c>
      <c r="E431" s="544">
        <v>-2206.9499999999998</v>
      </c>
      <c r="F431" s="544">
        <v>0</v>
      </c>
      <c r="G431" s="544">
        <v>0</v>
      </c>
      <c r="H431" s="544">
        <v>-2206.9499999999998</v>
      </c>
      <c r="I431" s="316">
        <v>-2206.9499999999998</v>
      </c>
      <c r="J431" s="518">
        <v>0</v>
      </c>
      <c r="K431" s="518">
        <v>0</v>
      </c>
      <c r="L431" s="518">
        <v>-2206.9499999999998</v>
      </c>
      <c r="M431" s="317">
        <v>-2206.9499999999998</v>
      </c>
      <c r="N431" s="313">
        <f t="shared" si="6"/>
        <v>0</v>
      </c>
    </row>
    <row r="432" spans="3:14" ht="15" customHeight="1" x14ac:dyDescent="0.3">
      <c r="C432" s="545" t="s">
        <v>4680</v>
      </c>
      <c r="D432" s="320" t="s">
        <v>1243</v>
      </c>
      <c r="E432" s="544">
        <v>-20765</v>
      </c>
      <c r="F432" s="544">
        <v>0</v>
      </c>
      <c r="G432" s="544">
        <v>0</v>
      </c>
      <c r="H432" s="544">
        <v>-20765</v>
      </c>
      <c r="I432" s="316">
        <v>-20765</v>
      </c>
      <c r="J432" s="518">
        <v>0</v>
      </c>
      <c r="K432" s="518">
        <v>0</v>
      </c>
      <c r="L432" s="518">
        <v>-20765</v>
      </c>
      <c r="M432" s="317">
        <v>-20765</v>
      </c>
      <c r="N432" s="313">
        <f t="shared" si="6"/>
        <v>0</v>
      </c>
    </row>
    <row r="433" spans="3:16" ht="15" customHeight="1" x14ac:dyDescent="0.3">
      <c r="C433" s="545" t="s">
        <v>4681</v>
      </c>
      <c r="D433" s="320" t="s">
        <v>3526</v>
      </c>
      <c r="E433" s="544">
        <v>-1980</v>
      </c>
      <c r="F433" s="544">
        <v>1980</v>
      </c>
      <c r="G433" s="544">
        <v>0</v>
      </c>
      <c r="H433" s="544">
        <v>0</v>
      </c>
      <c r="I433" s="316">
        <v>-1980</v>
      </c>
      <c r="J433" s="518">
        <v>1980</v>
      </c>
      <c r="K433" s="518">
        <v>0</v>
      </c>
      <c r="L433" s="518">
        <v>0</v>
      </c>
      <c r="M433" s="317">
        <v>0</v>
      </c>
      <c r="N433" s="313">
        <f t="shared" si="6"/>
        <v>0</v>
      </c>
    </row>
    <row r="434" spans="3:16" ht="15" customHeight="1" x14ac:dyDescent="0.3">
      <c r="C434" s="545" t="s">
        <v>4682</v>
      </c>
      <c r="D434" s="320" t="s">
        <v>3527</v>
      </c>
      <c r="E434" s="544">
        <v>0</v>
      </c>
      <c r="F434" s="544">
        <v>31931.77</v>
      </c>
      <c r="G434" s="544">
        <v>31931.77</v>
      </c>
      <c r="H434" s="544">
        <v>0</v>
      </c>
      <c r="I434" s="316">
        <v>0</v>
      </c>
      <c r="J434" s="518">
        <v>31931.77</v>
      </c>
      <c r="K434" s="518">
        <v>31931.77</v>
      </c>
      <c r="L434" s="518">
        <v>0</v>
      </c>
      <c r="M434" s="317">
        <v>0</v>
      </c>
      <c r="N434" s="313">
        <f t="shared" si="6"/>
        <v>0</v>
      </c>
    </row>
    <row r="435" spans="3:16" ht="15" customHeight="1" x14ac:dyDescent="0.3">
      <c r="C435" s="545" t="s">
        <v>4683</v>
      </c>
      <c r="D435" s="320" t="s">
        <v>3528</v>
      </c>
      <c r="E435" s="544">
        <v>0</v>
      </c>
      <c r="F435" s="544">
        <v>61534.84</v>
      </c>
      <c r="G435" s="544">
        <v>61534.84</v>
      </c>
      <c r="H435" s="544">
        <v>0</v>
      </c>
      <c r="I435" s="316">
        <v>0</v>
      </c>
      <c r="J435" s="518">
        <v>61534.84</v>
      </c>
      <c r="K435" s="518">
        <v>61534.84</v>
      </c>
      <c r="L435" s="518">
        <v>0</v>
      </c>
      <c r="M435" s="317">
        <v>0</v>
      </c>
      <c r="N435" s="313">
        <f t="shared" si="6"/>
        <v>0</v>
      </c>
    </row>
    <row r="436" spans="3:16" ht="15" customHeight="1" x14ac:dyDescent="0.3">
      <c r="C436" s="545" t="s">
        <v>4684</v>
      </c>
      <c r="D436" s="320" t="s">
        <v>3529</v>
      </c>
      <c r="E436" s="544">
        <v>0</v>
      </c>
      <c r="F436" s="544">
        <v>9866.59</v>
      </c>
      <c r="G436" s="544">
        <v>9866.59</v>
      </c>
      <c r="H436" s="544">
        <v>0</v>
      </c>
      <c r="I436" s="316">
        <v>0</v>
      </c>
      <c r="J436" s="518">
        <v>9866.59</v>
      </c>
      <c r="K436" s="518">
        <v>9866.59</v>
      </c>
      <c r="L436" s="518">
        <v>0</v>
      </c>
      <c r="M436" s="317">
        <v>0</v>
      </c>
      <c r="N436" s="313">
        <f t="shared" si="6"/>
        <v>0</v>
      </c>
    </row>
    <row r="437" spans="3:16" ht="15" customHeight="1" x14ac:dyDescent="0.3">
      <c r="C437" s="545"/>
      <c r="D437" s="320"/>
      <c r="E437" s="544"/>
      <c r="F437" s="544"/>
      <c r="G437" s="544"/>
      <c r="H437" s="544"/>
      <c r="I437" s="316"/>
      <c r="J437" s="518"/>
      <c r="K437" s="518"/>
      <c r="L437" s="518"/>
      <c r="M437" s="317"/>
      <c r="N437" s="313">
        <f t="shared" si="6"/>
        <v>0</v>
      </c>
    </row>
    <row r="438" spans="3:16" ht="15" customHeight="1" x14ac:dyDescent="0.3">
      <c r="C438" s="543" t="s">
        <v>4685</v>
      </c>
      <c r="D438" s="319" t="s">
        <v>3530</v>
      </c>
      <c r="E438" s="544">
        <v>-85063.1</v>
      </c>
      <c r="F438" s="544">
        <v>21825724.510000002</v>
      </c>
      <c r="G438" s="544">
        <v>25760148.43</v>
      </c>
      <c r="H438" s="544">
        <v>-4019487.02</v>
      </c>
      <c r="I438" s="312">
        <v>-85063.1</v>
      </c>
      <c r="J438" s="517">
        <v>21825724.510000002</v>
      </c>
      <c r="K438" s="517">
        <v>25760148.43</v>
      </c>
      <c r="L438" s="517">
        <v>-4019487.02</v>
      </c>
      <c r="M438" s="313">
        <v>-4019487.02</v>
      </c>
      <c r="N438" s="313">
        <f t="shared" si="6"/>
        <v>0</v>
      </c>
      <c r="P438" s="302">
        <v>13</v>
      </c>
    </row>
    <row r="439" spans="3:16" ht="15" customHeight="1" x14ac:dyDescent="0.3">
      <c r="C439" s="543" t="s">
        <v>4686</v>
      </c>
      <c r="D439" s="319" t="s">
        <v>3531</v>
      </c>
      <c r="E439" s="544">
        <v>-4705.8999999999996</v>
      </c>
      <c r="F439" s="544">
        <v>21687116.890000001</v>
      </c>
      <c r="G439" s="544">
        <v>25643963.699999999</v>
      </c>
      <c r="H439" s="544">
        <v>-3961552.71</v>
      </c>
      <c r="I439" s="312">
        <v>-4705.8999999999996</v>
      </c>
      <c r="J439" s="517">
        <v>21687116.890000001</v>
      </c>
      <c r="K439" s="517">
        <v>25643963.699999999</v>
      </c>
      <c r="L439" s="517">
        <v>-3961552.71</v>
      </c>
      <c r="M439" s="313">
        <v>-3961552.71</v>
      </c>
      <c r="N439" s="313">
        <f t="shared" si="6"/>
        <v>0</v>
      </c>
      <c r="O439" s="548"/>
      <c r="P439" s="302"/>
    </row>
    <row r="440" spans="3:16" ht="15" customHeight="1" x14ac:dyDescent="0.3">
      <c r="C440" s="545" t="s">
        <v>4687</v>
      </c>
      <c r="D440" s="320" t="s">
        <v>1255</v>
      </c>
      <c r="E440" s="544">
        <v>0</v>
      </c>
      <c r="F440" s="544">
        <v>851373.5</v>
      </c>
      <c r="G440" s="544">
        <v>851373.5</v>
      </c>
      <c r="H440" s="544">
        <v>0</v>
      </c>
      <c r="I440" s="316">
        <v>0</v>
      </c>
      <c r="J440" s="518">
        <v>851373.5</v>
      </c>
      <c r="K440" s="518">
        <v>851373.5</v>
      </c>
      <c r="L440" s="518">
        <v>0</v>
      </c>
      <c r="M440" s="317">
        <v>0</v>
      </c>
      <c r="N440" s="313">
        <f t="shared" si="6"/>
        <v>0</v>
      </c>
      <c r="P440" s="302"/>
    </row>
    <row r="441" spans="3:16" ht="15" customHeight="1" x14ac:dyDescent="0.3">
      <c r="C441" s="545" t="s">
        <v>4688</v>
      </c>
      <c r="D441" s="320" t="s">
        <v>1257</v>
      </c>
      <c r="E441" s="544">
        <v>0</v>
      </c>
      <c r="F441" s="544">
        <v>8590913.7100000009</v>
      </c>
      <c r="G441" s="544">
        <v>8590913.7100000009</v>
      </c>
      <c r="H441" s="544">
        <v>0</v>
      </c>
      <c r="I441" s="316">
        <v>0</v>
      </c>
      <c r="J441" s="518">
        <v>8590913.7100000009</v>
      </c>
      <c r="K441" s="518">
        <v>8590913.7100000009</v>
      </c>
      <c r="L441" s="518">
        <v>0</v>
      </c>
      <c r="M441" s="317">
        <v>0</v>
      </c>
      <c r="N441" s="313">
        <f t="shared" si="6"/>
        <v>0</v>
      </c>
      <c r="P441" s="302"/>
    </row>
    <row r="442" spans="3:16" ht="15" customHeight="1" x14ac:dyDescent="0.3">
      <c r="C442" s="545" t="s">
        <v>4689</v>
      </c>
      <c r="D442" s="320" t="s">
        <v>1260</v>
      </c>
      <c r="E442" s="544">
        <v>0</v>
      </c>
      <c r="F442" s="544">
        <v>4025512.34</v>
      </c>
      <c r="G442" s="544">
        <v>4025512.34</v>
      </c>
      <c r="H442" s="544">
        <v>0</v>
      </c>
      <c r="I442" s="316">
        <v>0</v>
      </c>
      <c r="J442" s="518">
        <v>4025512.34</v>
      </c>
      <c r="K442" s="518">
        <v>4025512.34</v>
      </c>
      <c r="L442" s="518">
        <v>0</v>
      </c>
      <c r="M442" s="317">
        <v>0</v>
      </c>
      <c r="N442" s="313">
        <f t="shared" si="6"/>
        <v>0</v>
      </c>
      <c r="P442" s="302"/>
    </row>
    <row r="443" spans="3:16" ht="15" customHeight="1" x14ac:dyDescent="0.3">
      <c r="C443" s="545" t="s">
        <v>4690</v>
      </c>
      <c r="D443" s="320" t="s">
        <v>1264</v>
      </c>
      <c r="E443" s="544">
        <v>0</v>
      </c>
      <c r="F443" s="544">
        <v>368910.14</v>
      </c>
      <c r="G443" s="544">
        <v>368910.14</v>
      </c>
      <c r="H443" s="544">
        <v>0</v>
      </c>
      <c r="I443" s="316">
        <v>0</v>
      </c>
      <c r="J443" s="518">
        <v>368910.14</v>
      </c>
      <c r="K443" s="518">
        <v>368910.14</v>
      </c>
      <c r="L443" s="518">
        <v>0</v>
      </c>
      <c r="M443" s="317">
        <v>0</v>
      </c>
      <c r="N443" s="313">
        <f t="shared" si="6"/>
        <v>0</v>
      </c>
      <c r="P443" s="302"/>
    </row>
    <row r="444" spans="3:16" ht="15" customHeight="1" x14ac:dyDescent="0.3">
      <c r="C444" s="545" t="s">
        <v>4691</v>
      </c>
      <c r="D444" s="320" t="s">
        <v>1267</v>
      </c>
      <c r="E444" s="544">
        <v>-4700.8999999999996</v>
      </c>
      <c r="F444" s="544">
        <v>99319.48</v>
      </c>
      <c r="G444" s="544">
        <v>109737.23</v>
      </c>
      <c r="H444" s="544">
        <v>-15118.65</v>
      </c>
      <c r="I444" s="316">
        <v>-4700.8999999999996</v>
      </c>
      <c r="J444" s="518">
        <v>99319.48</v>
      </c>
      <c r="K444" s="518">
        <v>109737.23</v>
      </c>
      <c r="L444" s="518">
        <v>-15118.65</v>
      </c>
      <c r="M444" s="317">
        <v>-15118.65</v>
      </c>
      <c r="N444" s="313">
        <f t="shared" si="6"/>
        <v>0</v>
      </c>
      <c r="P444" s="302"/>
    </row>
    <row r="445" spans="3:16" ht="15" customHeight="1" x14ac:dyDescent="0.3">
      <c r="C445" s="545" t="s">
        <v>4692</v>
      </c>
      <c r="D445" s="320" t="s">
        <v>1270</v>
      </c>
      <c r="E445" s="544">
        <v>0</v>
      </c>
      <c r="F445" s="544">
        <v>141927.87</v>
      </c>
      <c r="G445" s="544">
        <v>164605.85999999999</v>
      </c>
      <c r="H445" s="544">
        <v>-22677.99</v>
      </c>
      <c r="I445" s="316">
        <v>0</v>
      </c>
      <c r="J445" s="518">
        <v>141927.87</v>
      </c>
      <c r="K445" s="518">
        <v>164605.85999999999</v>
      </c>
      <c r="L445" s="518">
        <v>-22677.99</v>
      </c>
      <c r="M445" s="317">
        <v>-22677.99</v>
      </c>
      <c r="N445" s="313">
        <f t="shared" si="6"/>
        <v>0</v>
      </c>
      <c r="P445" s="302"/>
    </row>
    <row r="446" spans="3:16" ht="15" customHeight="1" x14ac:dyDescent="0.3">
      <c r="C446" s="545" t="s">
        <v>4693</v>
      </c>
      <c r="D446" s="320" t="s">
        <v>1273</v>
      </c>
      <c r="E446" s="544">
        <v>0</v>
      </c>
      <c r="F446" s="544">
        <v>525966.53</v>
      </c>
      <c r="G446" s="544">
        <v>525966.53</v>
      </c>
      <c r="H446" s="544">
        <v>0</v>
      </c>
      <c r="I446" s="316">
        <v>0</v>
      </c>
      <c r="J446" s="518">
        <v>525966.53</v>
      </c>
      <c r="K446" s="518">
        <v>525966.53</v>
      </c>
      <c r="L446" s="518">
        <v>0</v>
      </c>
      <c r="M446" s="317">
        <v>0</v>
      </c>
      <c r="N446" s="313">
        <f t="shared" si="6"/>
        <v>0</v>
      </c>
      <c r="P446" s="302"/>
    </row>
    <row r="447" spans="3:16" ht="15" customHeight="1" x14ac:dyDescent="0.3">
      <c r="C447" s="545" t="s">
        <v>4694</v>
      </c>
      <c r="D447" s="320" t="s">
        <v>1275</v>
      </c>
      <c r="E447" s="544">
        <v>-5</v>
      </c>
      <c r="F447" s="544">
        <v>2009294.09</v>
      </c>
      <c r="G447" s="544">
        <v>2009289.09</v>
      </c>
      <c r="H447" s="544">
        <v>0</v>
      </c>
      <c r="I447" s="316">
        <v>-5</v>
      </c>
      <c r="J447" s="518">
        <v>2009294.09</v>
      </c>
      <c r="K447" s="518">
        <v>2009289.09</v>
      </c>
      <c r="L447" s="518">
        <v>0</v>
      </c>
      <c r="M447" s="317">
        <v>0</v>
      </c>
      <c r="N447" s="313">
        <f t="shared" si="6"/>
        <v>0</v>
      </c>
      <c r="P447" s="302"/>
    </row>
    <row r="448" spans="3:16" ht="15" customHeight="1" x14ac:dyDescent="0.3">
      <c r="C448" s="545" t="s">
        <v>4695</v>
      </c>
      <c r="D448" s="320" t="s">
        <v>3532</v>
      </c>
      <c r="E448" s="544">
        <v>0</v>
      </c>
      <c r="F448" s="544">
        <v>4890234.09</v>
      </c>
      <c r="G448" s="544">
        <v>8813990.1600000001</v>
      </c>
      <c r="H448" s="544">
        <v>-3923756.07</v>
      </c>
      <c r="I448" s="316">
        <v>0</v>
      </c>
      <c r="J448" s="518">
        <v>4890234.09</v>
      </c>
      <c r="K448" s="518">
        <v>8813990.1600000001</v>
      </c>
      <c r="L448" s="518">
        <v>-3923756.07</v>
      </c>
      <c r="M448" s="317">
        <v>-3923756.07</v>
      </c>
      <c r="N448" s="313">
        <f t="shared" si="6"/>
        <v>0</v>
      </c>
      <c r="P448" s="302"/>
    </row>
    <row r="449" spans="3:16" ht="15" customHeight="1" x14ac:dyDescent="0.3">
      <c r="C449" s="545" t="s">
        <v>4696</v>
      </c>
      <c r="D449" s="320" t="s">
        <v>3533</v>
      </c>
      <c r="E449" s="544">
        <v>0</v>
      </c>
      <c r="F449" s="544">
        <v>183665.14</v>
      </c>
      <c r="G449" s="544">
        <v>183665.14</v>
      </c>
      <c r="H449" s="544">
        <v>0</v>
      </c>
      <c r="I449" s="316">
        <v>0</v>
      </c>
      <c r="J449" s="518">
        <v>183665.14</v>
      </c>
      <c r="K449" s="518">
        <v>183665.14</v>
      </c>
      <c r="L449" s="518">
        <v>0</v>
      </c>
      <c r="M449" s="317">
        <v>0</v>
      </c>
      <c r="N449" s="313">
        <f t="shared" si="6"/>
        <v>0</v>
      </c>
      <c r="P449" s="302"/>
    </row>
    <row r="450" spans="3:16" ht="15" customHeight="1" x14ac:dyDescent="0.3">
      <c r="C450" s="543" t="s">
        <v>4697</v>
      </c>
      <c r="D450" s="319" t="s">
        <v>1279</v>
      </c>
      <c r="E450" s="544">
        <v>-29676.94</v>
      </c>
      <c r="F450" s="544">
        <v>90096.97</v>
      </c>
      <c r="G450" s="544">
        <v>60689.120000000003</v>
      </c>
      <c r="H450" s="544">
        <v>-269.08999999999997</v>
      </c>
      <c r="I450" s="312">
        <v>-29676.94</v>
      </c>
      <c r="J450" s="517">
        <v>90096.97</v>
      </c>
      <c r="K450" s="517">
        <v>60689.120000000003</v>
      </c>
      <c r="L450" s="517">
        <v>-269.08999999999997</v>
      </c>
      <c r="M450" s="313">
        <v>-269.08999999999997</v>
      </c>
      <c r="N450" s="313">
        <f t="shared" si="6"/>
        <v>0</v>
      </c>
      <c r="O450" s="548"/>
      <c r="P450" s="302"/>
    </row>
    <row r="451" spans="3:16" ht="15" customHeight="1" x14ac:dyDescent="0.3">
      <c r="C451" s="545" t="s">
        <v>4698</v>
      </c>
      <c r="D451" s="320" t="s">
        <v>1283</v>
      </c>
      <c r="E451" s="544">
        <v>-2894.66</v>
      </c>
      <c r="F451" s="544">
        <v>4852.1899999999996</v>
      </c>
      <c r="G451" s="544">
        <v>1957.53</v>
      </c>
      <c r="H451" s="544">
        <v>0</v>
      </c>
      <c r="I451" s="316">
        <v>-2894.66</v>
      </c>
      <c r="J451" s="518">
        <v>4852.1899999999996</v>
      </c>
      <c r="K451" s="518">
        <v>1957.53</v>
      </c>
      <c r="L451" s="518">
        <v>0</v>
      </c>
      <c r="M451" s="317">
        <v>0</v>
      </c>
      <c r="N451" s="313">
        <f t="shared" si="6"/>
        <v>0</v>
      </c>
      <c r="P451" s="302"/>
    </row>
    <row r="452" spans="3:16" ht="15" customHeight="1" x14ac:dyDescent="0.3">
      <c r="C452" s="545" t="s">
        <v>4699</v>
      </c>
      <c r="D452" s="320" t="s">
        <v>1290</v>
      </c>
      <c r="E452" s="544">
        <v>-6982.89</v>
      </c>
      <c r="F452" s="544">
        <v>7447.25</v>
      </c>
      <c r="G452" s="544">
        <v>464.36</v>
      </c>
      <c r="H452" s="544">
        <v>0</v>
      </c>
      <c r="I452" s="316">
        <v>-6982.89</v>
      </c>
      <c r="J452" s="518">
        <v>7447.25</v>
      </c>
      <c r="K452" s="518">
        <v>464.36</v>
      </c>
      <c r="L452" s="518">
        <v>0</v>
      </c>
      <c r="M452" s="317">
        <v>0</v>
      </c>
      <c r="N452" s="313">
        <f t="shared" si="6"/>
        <v>0</v>
      </c>
      <c r="P452" s="302"/>
    </row>
    <row r="453" spans="3:16" ht="15" customHeight="1" x14ac:dyDescent="0.3">
      <c r="C453" s="545" t="s">
        <v>4700</v>
      </c>
      <c r="D453" s="320" t="s">
        <v>1293</v>
      </c>
      <c r="E453" s="544">
        <v>-18920.07</v>
      </c>
      <c r="F453" s="544">
        <v>53622.73</v>
      </c>
      <c r="G453" s="544">
        <v>34702.660000000003</v>
      </c>
      <c r="H453" s="544">
        <v>0</v>
      </c>
      <c r="I453" s="316">
        <v>-18920.07</v>
      </c>
      <c r="J453" s="518">
        <v>53622.73</v>
      </c>
      <c r="K453" s="518">
        <v>34702.660000000003</v>
      </c>
      <c r="L453" s="518">
        <v>0</v>
      </c>
      <c r="M453" s="317">
        <v>0</v>
      </c>
      <c r="N453" s="313">
        <f t="shared" si="6"/>
        <v>0</v>
      </c>
      <c r="P453" s="302"/>
    </row>
    <row r="454" spans="3:16" ht="15" customHeight="1" x14ac:dyDescent="0.3">
      <c r="C454" s="545" t="s">
        <v>4701</v>
      </c>
      <c r="D454" s="320" t="s">
        <v>3534</v>
      </c>
      <c r="E454" s="544">
        <v>-879.32</v>
      </c>
      <c r="F454" s="544">
        <v>4075.83</v>
      </c>
      <c r="G454" s="544">
        <v>3465.6</v>
      </c>
      <c r="H454" s="544">
        <v>-269.08999999999997</v>
      </c>
      <c r="I454" s="316">
        <v>-879.32</v>
      </c>
      <c r="J454" s="518">
        <v>4075.83</v>
      </c>
      <c r="K454" s="518">
        <v>3465.6</v>
      </c>
      <c r="L454" s="518">
        <v>-269.08999999999997</v>
      </c>
      <c r="M454" s="317">
        <v>-269.08999999999997</v>
      </c>
      <c r="N454" s="313">
        <f t="shared" si="6"/>
        <v>0</v>
      </c>
      <c r="P454" s="302"/>
    </row>
    <row r="455" spans="3:16" ht="15" customHeight="1" x14ac:dyDescent="0.3">
      <c r="C455" s="545" t="s">
        <v>4702</v>
      </c>
      <c r="D455" s="320" t="s">
        <v>3535</v>
      </c>
      <c r="E455" s="544">
        <v>0</v>
      </c>
      <c r="F455" s="544">
        <v>20098.97</v>
      </c>
      <c r="G455" s="544">
        <v>20098.97</v>
      </c>
      <c r="H455" s="544">
        <v>0</v>
      </c>
      <c r="I455" s="316">
        <v>0</v>
      </c>
      <c r="J455" s="518">
        <v>20098.97</v>
      </c>
      <c r="K455" s="518">
        <v>20098.97</v>
      </c>
      <c r="L455" s="518">
        <v>0</v>
      </c>
      <c r="M455" s="317">
        <v>0</v>
      </c>
      <c r="N455" s="313">
        <f t="shared" si="6"/>
        <v>0</v>
      </c>
      <c r="P455" s="302"/>
    </row>
    <row r="456" spans="3:16" ht="15" customHeight="1" x14ac:dyDescent="0.3">
      <c r="C456" s="543" t="s">
        <v>4703</v>
      </c>
      <c r="D456" s="319" t="s">
        <v>3536</v>
      </c>
      <c r="E456" s="544">
        <v>-50680.26</v>
      </c>
      <c r="F456" s="544">
        <v>48510.65</v>
      </c>
      <c r="G456" s="544">
        <v>55495.61</v>
      </c>
      <c r="H456" s="544">
        <v>-57665.22</v>
      </c>
      <c r="I456" s="312">
        <v>-50680.26</v>
      </c>
      <c r="J456" s="517">
        <v>48510.65</v>
      </c>
      <c r="K456" s="517">
        <v>55495.61</v>
      </c>
      <c r="L456" s="517">
        <v>-57665.22</v>
      </c>
      <c r="M456" s="313">
        <v>-57665.22</v>
      </c>
      <c r="N456" s="313">
        <f t="shared" si="6"/>
        <v>0</v>
      </c>
      <c r="O456" s="548"/>
      <c r="P456" s="302"/>
    </row>
    <row r="457" spans="3:16" ht="15" customHeight="1" x14ac:dyDescent="0.3">
      <c r="C457" s="545" t="s">
        <v>4704</v>
      </c>
      <c r="D457" s="320" t="s">
        <v>1301</v>
      </c>
      <c r="E457" s="544">
        <v>-50680.26</v>
      </c>
      <c r="F457" s="544">
        <v>48510.65</v>
      </c>
      <c r="G457" s="544">
        <v>55495.61</v>
      </c>
      <c r="H457" s="544">
        <v>-57665.22</v>
      </c>
      <c r="I457" s="316">
        <v>-50680.26</v>
      </c>
      <c r="J457" s="518">
        <v>48510.65</v>
      </c>
      <c r="K457" s="518">
        <v>55495.61</v>
      </c>
      <c r="L457" s="518">
        <v>-57665.22</v>
      </c>
      <c r="M457" s="317">
        <v>-57665.22</v>
      </c>
      <c r="N457" s="313">
        <f t="shared" si="6"/>
        <v>0</v>
      </c>
      <c r="P457" s="302"/>
    </row>
    <row r="458" spans="3:16" ht="15" customHeight="1" x14ac:dyDescent="0.3">
      <c r="C458" s="543" t="s">
        <v>4705</v>
      </c>
      <c r="D458" s="319" t="s">
        <v>3537</v>
      </c>
      <c r="E458" s="544">
        <v>-1157924.8500000001</v>
      </c>
      <c r="F458" s="544">
        <v>1777880.93</v>
      </c>
      <c r="G458" s="544">
        <v>1640229.8</v>
      </c>
      <c r="H458" s="544">
        <v>-1020273.72</v>
      </c>
      <c r="I458" s="312">
        <v>-1157924.8500000001</v>
      </c>
      <c r="J458" s="517">
        <v>1777880.93</v>
      </c>
      <c r="K458" s="517">
        <v>1640229.8</v>
      </c>
      <c r="L458" s="517">
        <v>-1020273.72</v>
      </c>
      <c r="M458" s="313">
        <f>M459+M468</f>
        <v>-1015979.43</v>
      </c>
      <c r="N458" s="313">
        <f t="shared" si="6"/>
        <v>-4294.2899999999208</v>
      </c>
      <c r="P458" s="302">
        <v>14</v>
      </c>
    </row>
    <row r="459" spans="3:16" ht="15" customHeight="1" x14ac:dyDescent="0.3">
      <c r="C459" s="543" t="s">
        <v>4706</v>
      </c>
      <c r="D459" s="319" t="s">
        <v>3538</v>
      </c>
      <c r="E459" s="544">
        <v>-50928.32</v>
      </c>
      <c r="F459" s="544">
        <v>614178.23</v>
      </c>
      <c r="G459" s="544">
        <v>597607.36</v>
      </c>
      <c r="H459" s="544">
        <v>-34357.449999999997</v>
      </c>
      <c r="I459" s="312">
        <v>-50928.32</v>
      </c>
      <c r="J459" s="517">
        <v>614178.23</v>
      </c>
      <c r="K459" s="517">
        <v>597607.36</v>
      </c>
      <c r="L459" s="517">
        <v>-34357.449999999997</v>
      </c>
      <c r="M459" s="313">
        <f>SUM(M460:M467)</f>
        <v>-30063.159999999996</v>
      </c>
      <c r="N459" s="313">
        <f t="shared" si="6"/>
        <v>-4294.2900000000009</v>
      </c>
      <c r="O459" s="548"/>
      <c r="P459" s="302"/>
    </row>
    <row r="460" spans="3:16" ht="15" customHeight="1" x14ac:dyDescent="0.3">
      <c r="C460" s="545" t="s">
        <v>4707</v>
      </c>
      <c r="D460" s="320" t="s">
        <v>1311</v>
      </c>
      <c r="E460" s="544">
        <v>-20964.53</v>
      </c>
      <c r="F460" s="544">
        <v>20964.53</v>
      </c>
      <c r="G460" s="544">
        <v>0</v>
      </c>
      <c r="H460" s="544">
        <v>0</v>
      </c>
      <c r="I460" s="316">
        <v>-20964.53</v>
      </c>
      <c r="J460" s="518">
        <v>20964.53</v>
      </c>
      <c r="K460" s="518">
        <v>0</v>
      </c>
      <c r="L460" s="518">
        <v>0</v>
      </c>
      <c r="M460" s="317">
        <v>0</v>
      </c>
      <c r="N460" s="313">
        <f t="shared" si="6"/>
        <v>0</v>
      </c>
      <c r="P460" s="302"/>
    </row>
    <row r="461" spans="3:16" ht="15" customHeight="1" x14ac:dyDescent="0.3">
      <c r="C461" s="545" t="s">
        <v>4708</v>
      </c>
      <c r="D461" s="320" t="s">
        <v>1318</v>
      </c>
      <c r="E461" s="544">
        <v>-4035.88</v>
      </c>
      <c r="F461" s="544">
        <v>59989.18</v>
      </c>
      <c r="G461" s="544">
        <v>73653.600000000006</v>
      </c>
      <c r="H461" s="544">
        <v>-17700.3</v>
      </c>
      <c r="I461" s="316">
        <v>-4035.88</v>
      </c>
      <c r="J461" s="518">
        <v>59989.18</v>
      </c>
      <c r="K461" s="518">
        <v>73653.600000000006</v>
      </c>
      <c r="L461" s="518">
        <v>-17700.3</v>
      </c>
      <c r="M461" s="555">
        <f>L461-K462</f>
        <v>-17704.53</v>
      </c>
      <c r="N461" s="313">
        <f t="shared" ref="N461:N524" si="7">L461-M461</f>
        <v>4.2299999999995634</v>
      </c>
      <c r="P461" s="302"/>
    </row>
    <row r="462" spans="3:16" ht="15" customHeight="1" x14ac:dyDescent="0.3">
      <c r="C462" s="545"/>
      <c r="D462" s="320"/>
      <c r="E462" s="544"/>
      <c r="F462" s="544"/>
      <c r="G462" s="544"/>
      <c r="H462" s="544"/>
      <c r="I462" s="316"/>
      <c r="J462" s="518"/>
      <c r="K462" s="557">
        <v>4.2300000000000004</v>
      </c>
      <c r="L462" s="595"/>
      <c r="M462" s="317"/>
      <c r="N462" s="313">
        <f t="shared" si="7"/>
        <v>0</v>
      </c>
      <c r="P462" s="302"/>
    </row>
    <row r="463" spans="3:16" ht="15" customHeight="1" x14ac:dyDescent="0.3">
      <c r="C463" s="545" t="s">
        <v>4709</v>
      </c>
      <c r="D463" s="320" t="s">
        <v>1327</v>
      </c>
      <c r="E463" s="544">
        <v>-39</v>
      </c>
      <c r="F463" s="544">
        <v>100830.06</v>
      </c>
      <c r="G463" s="544">
        <v>104671.09</v>
      </c>
      <c r="H463" s="544">
        <v>-3880.03</v>
      </c>
      <c r="I463" s="316">
        <v>-39</v>
      </c>
      <c r="J463" s="518">
        <v>100830.06</v>
      </c>
      <c r="K463" s="518">
        <v>104671.09</v>
      </c>
      <c r="L463" s="518">
        <v>-3880.03</v>
      </c>
      <c r="M463" s="317">
        <v>-3880.03</v>
      </c>
      <c r="N463" s="313">
        <f t="shared" si="7"/>
        <v>0</v>
      </c>
      <c r="P463" s="302"/>
    </row>
    <row r="464" spans="3:16" ht="15" customHeight="1" x14ac:dyDescent="0.3">
      <c r="C464" s="545" t="s">
        <v>4710</v>
      </c>
      <c r="D464" s="320" t="s">
        <v>1331</v>
      </c>
      <c r="E464" s="544">
        <v>-13137.42</v>
      </c>
      <c r="F464" s="544">
        <v>89181.38</v>
      </c>
      <c r="G464" s="544">
        <v>82611.350000000006</v>
      </c>
      <c r="H464" s="544">
        <v>-6567.39</v>
      </c>
      <c r="I464" s="316">
        <v>-13137.42</v>
      </c>
      <c r="J464" s="518">
        <v>89181.38</v>
      </c>
      <c r="K464" s="518">
        <v>82611.350000000006</v>
      </c>
      <c r="L464" s="518">
        <v>-6567.39</v>
      </c>
      <c r="M464" s="317">
        <v>-6567.39</v>
      </c>
      <c r="N464" s="313">
        <f t="shared" si="7"/>
        <v>0</v>
      </c>
      <c r="P464" s="302"/>
    </row>
    <row r="465" spans="3:16" ht="15" customHeight="1" x14ac:dyDescent="0.3">
      <c r="C465" s="545" t="s">
        <v>4711</v>
      </c>
      <c r="D465" s="320" t="s">
        <v>1335</v>
      </c>
      <c r="E465" s="544">
        <v>0</v>
      </c>
      <c r="F465" s="544">
        <v>305774.40999999997</v>
      </c>
      <c r="G465" s="544">
        <v>305774.40999999997</v>
      </c>
      <c r="H465" s="544">
        <v>0</v>
      </c>
      <c r="I465" s="316">
        <v>0</v>
      </c>
      <c r="J465" s="518">
        <v>305774.40999999997</v>
      </c>
      <c r="K465" s="518">
        <v>305774.40999999997</v>
      </c>
      <c r="L465" s="518">
        <v>0</v>
      </c>
      <c r="M465" s="317">
        <v>0</v>
      </c>
      <c r="N465" s="313">
        <f t="shared" si="7"/>
        <v>0</v>
      </c>
      <c r="P465" s="302"/>
    </row>
    <row r="466" spans="3:16" ht="15" customHeight="1" x14ac:dyDescent="0.3">
      <c r="C466" s="545" t="s">
        <v>4712</v>
      </c>
      <c r="D466" s="320" t="s">
        <v>1337</v>
      </c>
      <c r="E466" s="544">
        <v>-12751.49</v>
      </c>
      <c r="F466" s="544">
        <v>37438.67</v>
      </c>
      <c r="G466" s="544">
        <v>30896.91</v>
      </c>
      <c r="H466" s="544">
        <v>-6209.73</v>
      </c>
      <c r="I466" s="316">
        <v>-12751.49</v>
      </c>
      <c r="J466" s="518">
        <v>37438.67</v>
      </c>
      <c r="K466" s="518">
        <v>30896.91</v>
      </c>
      <c r="L466" s="518">
        <v>-6209.73</v>
      </c>
      <c r="M466" s="555">
        <f>L466+J467</f>
        <v>-1911.2099999999991</v>
      </c>
      <c r="N466" s="313">
        <f t="shared" si="7"/>
        <v>-4298.5200000000004</v>
      </c>
      <c r="P466" s="302"/>
    </row>
    <row r="467" spans="3:16" ht="15" customHeight="1" x14ac:dyDescent="0.3">
      <c r="C467" s="545"/>
      <c r="D467" s="320"/>
      <c r="E467" s="544"/>
      <c r="F467" s="544"/>
      <c r="G467" s="544"/>
      <c r="H467" s="544"/>
      <c r="I467" s="589">
        <v>45309</v>
      </c>
      <c r="J467" s="557">
        <v>4298.5200000000004</v>
      </c>
      <c r="K467" s="518"/>
      <c r="L467" s="518"/>
      <c r="M467" s="317"/>
      <c r="N467" s="313">
        <f t="shared" si="7"/>
        <v>0</v>
      </c>
      <c r="P467" s="302"/>
    </row>
    <row r="468" spans="3:16" ht="15" customHeight="1" x14ac:dyDescent="0.3">
      <c r="C468" s="543" t="s">
        <v>4713</v>
      </c>
      <c r="D468" s="319" t="s">
        <v>3539</v>
      </c>
      <c r="E468" s="544">
        <v>-1106996.53</v>
      </c>
      <c r="F468" s="544">
        <v>1163702.7</v>
      </c>
      <c r="G468" s="544">
        <v>1042622.44</v>
      </c>
      <c r="H468" s="544">
        <v>-985916.27</v>
      </c>
      <c r="I468" s="312">
        <v>-1106996.53</v>
      </c>
      <c r="J468" s="517">
        <v>1163702.7</v>
      </c>
      <c r="K468" s="517">
        <v>1042622.44</v>
      </c>
      <c r="L468" s="517">
        <v>-985916.27</v>
      </c>
      <c r="M468" s="313">
        <v>-985916.27</v>
      </c>
      <c r="N468" s="313">
        <f t="shared" si="7"/>
        <v>0</v>
      </c>
      <c r="P468" s="302"/>
    </row>
    <row r="469" spans="3:16" ht="15" customHeight="1" x14ac:dyDescent="0.3">
      <c r="C469" s="545" t="s">
        <v>4714</v>
      </c>
      <c r="D469" s="320" t="s">
        <v>1345</v>
      </c>
      <c r="E469" s="544">
        <v>-169107.74</v>
      </c>
      <c r="F469" s="544">
        <v>176173.35</v>
      </c>
      <c r="G469" s="544">
        <v>7065.61</v>
      </c>
      <c r="H469" s="544">
        <v>0</v>
      </c>
      <c r="I469" s="316">
        <v>-169107.74</v>
      </c>
      <c r="J469" s="518">
        <v>176173.35</v>
      </c>
      <c r="K469" s="518">
        <v>7065.61</v>
      </c>
      <c r="L469" s="518">
        <v>0</v>
      </c>
      <c r="M469" s="317">
        <v>0</v>
      </c>
      <c r="N469" s="313">
        <f t="shared" si="7"/>
        <v>0</v>
      </c>
      <c r="P469" s="302"/>
    </row>
    <row r="470" spans="3:16" ht="15" customHeight="1" x14ac:dyDescent="0.3">
      <c r="C470" s="545" t="s">
        <v>4715</v>
      </c>
      <c r="D470" s="320" t="s">
        <v>1349</v>
      </c>
      <c r="E470" s="544">
        <v>-74874.75</v>
      </c>
      <c r="F470" s="544">
        <v>78003.48</v>
      </c>
      <c r="G470" s="544">
        <v>3128.73</v>
      </c>
      <c r="H470" s="544">
        <v>0</v>
      </c>
      <c r="I470" s="316">
        <v>-74874.75</v>
      </c>
      <c r="J470" s="518">
        <v>78003.48</v>
      </c>
      <c r="K470" s="518">
        <v>3128.73</v>
      </c>
      <c r="L470" s="518">
        <v>0</v>
      </c>
      <c r="M470" s="317">
        <v>0</v>
      </c>
      <c r="N470" s="313">
        <f t="shared" si="7"/>
        <v>0</v>
      </c>
      <c r="P470" s="302"/>
    </row>
    <row r="471" spans="3:16" ht="15" customHeight="1" x14ac:dyDescent="0.3">
      <c r="C471" s="545" t="s">
        <v>4716</v>
      </c>
      <c r="D471" s="320" t="s">
        <v>1353</v>
      </c>
      <c r="E471" s="544">
        <v>-123981.29</v>
      </c>
      <c r="F471" s="544">
        <v>129160.29</v>
      </c>
      <c r="G471" s="544">
        <v>5179</v>
      </c>
      <c r="H471" s="544">
        <v>0</v>
      </c>
      <c r="I471" s="316">
        <v>-123981.29</v>
      </c>
      <c r="J471" s="518">
        <v>129160.29</v>
      </c>
      <c r="K471" s="518">
        <v>5179</v>
      </c>
      <c r="L471" s="518">
        <v>0</v>
      </c>
      <c r="M471" s="317">
        <v>0</v>
      </c>
      <c r="N471" s="313">
        <f t="shared" si="7"/>
        <v>0</v>
      </c>
      <c r="P471" s="302"/>
    </row>
    <row r="472" spans="3:16" ht="15" customHeight="1" x14ac:dyDescent="0.3">
      <c r="C472" s="545" t="s">
        <v>4717</v>
      </c>
      <c r="D472" s="320" t="s">
        <v>1357</v>
      </c>
      <c r="E472" s="544">
        <v>-68307.31</v>
      </c>
      <c r="F472" s="544">
        <v>84881.79</v>
      </c>
      <c r="G472" s="544">
        <v>92228.24</v>
      </c>
      <c r="H472" s="544">
        <v>-75653.759999999995</v>
      </c>
      <c r="I472" s="316">
        <v>-68307.31</v>
      </c>
      <c r="J472" s="518">
        <v>84881.79</v>
      </c>
      <c r="K472" s="518">
        <v>92228.24</v>
      </c>
      <c r="L472" s="518">
        <v>-75653.759999999995</v>
      </c>
      <c r="M472" s="317">
        <v>-75653.759999999995</v>
      </c>
      <c r="N472" s="313">
        <f t="shared" si="7"/>
        <v>0</v>
      </c>
      <c r="P472" s="302"/>
    </row>
    <row r="473" spans="3:16" ht="15" customHeight="1" x14ac:dyDescent="0.3">
      <c r="C473" s="545" t="s">
        <v>4718</v>
      </c>
      <c r="D473" s="320" t="s">
        <v>1361</v>
      </c>
      <c r="E473" s="544">
        <v>-357607</v>
      </c>
      <c r="F473" s="544">
        <v>409457.04</v>
      </c>
      <c r="G473" s="544">
        <v>558753.76</v>
      </c>
      <c r="H473" s="544">
        <v>-506903.72</v>
      </c>
      <c r="I473" s="316">
        <v>-357607</v>
      </c>
      <c r="J473" s="518">
        <v>409457.04</v>
      </c>
      <c r="K473" s="518">
        <v>558753.76</v>
      </c>
      <c r="L473" s="518">
        <v>-506903.72</v>
      </c>
      <c r="M473" s="317">
        <v>-506903.72</v>
      </c>
      <c r="N473" s="313">
        <f t="shared" si="7"/>
        <v>0</v>
      </c>
      <c r="P473" s="302"/>
    </row>
    <row r="474" spans="3:16" ht="15" customHeight="1" x14ac:dyDescent="0.3">
      <c r="C474" s="545" t="s">
        <v>4719</v>
      </c>
      <c r="D474" s="320" t="s">
        <v>1364</v>
      </c>
      <c r="E474" s="544">
        <v>-31813.439999999999</v>
      </c>
      <c r="F474" s="544">
        <v>35147.06</v>
      </c>
      <c r="G474" s="544">
        <v>38481.49</v>
      </c>
      <c r="H474" s="544">
        <v>-35147.870000000003</v>
      </c>
      <c r="I474" s="316">
        <v>-31813.439999999999</v>
      </c>
      <c r="J474" s="518">
        <v>35147.06</v>
      </c>
      <c r="K474" s="518">
        <v>38481.49</v>
      </c>
      <c r="L474" s="518">
        <v>-35147.870000000003</v>
      </c>
      <c r="M474" s="317">
        <v>-35147.870000000003</v>
      </c>
      <c r="N474" s="313">
        <f t="shared" si="7"/>
        <v>0</v>
      </c>
      <c r="P474" s="302"/>
    </row>
    <row r="475" spans="3:16" ht="15" customHeight="1" x14ac:dyDescent="0.3">
      <c r="C475" s="545" t="s">
        <v>4720</v>
      </c>
      <c r="D475" s="320" t="s">
        <v>3540</v>
      </c>
      <c r="E475" s="544">
        <v>-281305</v>
      </c>
      <c r="F475" s="544">
        <v>250879.69</v>
      </c>
      <c r="G475" s="544">
        <v>337785.61</v>
      </c>
      <c r="H475" s="544">
        <v>-368210.92</v>
      </c>
      <c r="I475" s="316">
        <v>-281305</v>
      </c>
      <c r="J475" s="518">
        <v>250879.69</v>
      </c>
      <c r="K475" s="518">
        <v>337785.61</v>
      </c>
      <c r="L475" s="518">
        <v>-368210.92</v>
      </c>
      <c r="M475" s="317">
        <v>-368210.92</v>
      </c>
      <c r="N475" s="313">
        <f t="shared" si="7"/>
        <v>0</v>
      </c>
      <c r="P475" s="302"/>
    </row>
    <row r="476" spans="3:16" ht="15" customHeight="1" x14ac:dyDescent="0.3">
      <c r="C476" s="545"/>
      <c r="D476" s="320"/>
      <c r="E476" s="544"/>
      <c r="F476" s="544"/>
      <c r="G476" s="544"/>
      <c r="H476" s="544"/>
      <c r="I476" s="316"/>
      <c r="J476" s="518"/>
      <c r="K476" s="518"/>
      <c r="L476" s="518"/>
      <c r="M476" s="317"/>
      <c r="N476" s="313">
        <f t="shared" si="7"/>
        <v>0</v>
      </c>
      <c r="P476" s="302"/>
    </row>
    <row r="477" spans="3:16" ht="15" customHeight="1" x14ac:dyDescent="0.3">
      <c r="C477" s="543" t="s">
        <v>4721</v>
      </c>
      <c r="D477" s="319" t="s">
        <v>3541</v>
      </c>
      <c r="E477" s="544">
        <v>-8829501.7599999998</v>
      </c>
      <c r="F477" s="544">
        <v>2774115.52</v>
      </c>
      <c r="G477" s="544">
        <v>0</v>
      </c>
      <c r="H477" s="544">
        <v>-6055386.2400000002</v>
      </c>
      <c r="I477" s="312">
        <v>-8829501.7599999998</v>
      </c>
      <c r="J477" s="517">
        <v>2774115.52</v>
      </c>
      <c r="K477" s="517">
        <v>0</v>
      </c>
      <c r="L477" s="517">
        <v>-6055386.2400000002</v>
      </c>
      <c r="M477" s="313">
        <v>-6055386.2400000002</v>
      </c>
      <c r="N477" s="313">
        <f t="shared" si="7"/>
        <v>0</v>
      </c>
      <c r="P477" s="302"/>
    </row>
    <row r="478" spans="3:16" ht="15" customHeight="1" x14ac:dyDescent="0.3">
      <c r="C478" s="543" t="s">
        <v>4722</v>
      </c>
      <c r="D478" s="319" t="s">
        <v>3542</v>
      </c>
      <c r="E478" s="544">
        <v>-8816074.5700000003</v>
      </c>
      <c r="F478" s="544">
        <v>2774115.52</v>
      </c>
      <c r="G478" s="544">
        <v>0</v>
      </c>
      <c r="H478" s="544">
        <v>-6041959.0499999998</v>
      </c>
      <c r="I478" s="312">
        <v>-8816074.5700000003</v>
      </c>
      <c r="J478" s="517">
        <v>2774115.52</v>
      </c>
      <c r="K478" s="517">
        <v>0</v>
      </c>
      <c r="L478" s="517">
        <v>-6041959.0499999998</v>
      </c>
      <c r="M478" s="313">
        <v>-6041959.0499999998</v>
      </c>
      <c r="N478" s="313">
        <f t="shared" si="7"/>
        <v>0</v>
      </c>
      <c r="P478" s="302">
        <v>15</v>
      </c>
    </row>
    <row r="479" spans="3:16" ht="15" customHeight="1" x14ac:dyDescent="0.3">
      <c r="C479" s="545" t="s">
        <v>4723</v>
      </c>
      <c r="D479" s="320" t="s">
        <v>1374</v>
      </c>
      <c r="E479" s="544">
        <v>-5896347.0700000003</v>
      </c>
      <c r="F479" s="544">
        <v>2763899.37</v>
      </c>
      <c r="G479" s="544">
        <v>0</v>
      </c>
      <c r="H479" s="544">
        <v>-3132447.7</v>
      </c>
      <c r="I479" s="316">
        <v>-5896347.0700000003</v>
      </c>
      <c r="J479" s="518">
        <v>2763899.37</v>
      </c>
      <c r="K479" s="518">
        <v>0</v>
      </c>
      <c r="L479" s="518">
        <v>-3132447.7</v>
      </c>
      <c r="M479" s="317">
        <v>-3132447.7</v>
      </c>
      <c r="N479" s="313">
        <f t="shared" si="7"/>
        <v>0</v>
      </c>
      <c r="P479" s="302"/>
    </row>
    <row r="480" spans="3:16" ht="15" customHeight="1" x14ac:dyDescent="0.3">
      <c r="C480" s="545" t="s">
        <v>4724</v>
      </c>
      <c r="D480" s="320" t="s">
        <v>1380</v>
      </c>
      <c r="E480" s="544">
        <v>-2808928.22</v>
      </c>
      <c r="F480" s="544">
        <v>0</v>
      </c>
      <c r="G480" s="544">
        <v>0</v>
      </c>
      <c r="H480" s="544">
        <v>-2808928.22</v>
      </c>
      <c r="I480" s="316">
        <v>-2808928.22</v>
      </c>
      <c r="J480" s="518">
        <v>0</v>
      </c>
      <c r="K480" s="518">
        <v>0</v>
      </c>
      <c r="L480" s="518">
        <v>-2808928.22</v>
      </c>
      <c r="M480" s="317">
        <v>-2808928.22</v>
      </c>
      <c r="N480" s="313">
        <f t="shared" si="7"/>
        <v>0</v>
      </c>
      <c r="P480" s="302"/>
    </row>
    <row r="481" spans="3:16" ht="15" customHeight="1" x14ac:dyDescent="0.3">
      <c r="C481" s="545" t="s">
        <v>4725</v>
      </c>
      <c r="D481" s="320" t="s">
        <v>1385</v>
      </c>
      <c r="E481" s="544">
        <v>-110799.28</v>
      </c>
      <c r="F481" s="544">
        <v>10216.15</v>
      </c>
      <c r="G481" s="544">
        <v>0</v>
      </c>
      <c r="H481" s="544">
        <v>-100583.13</v>
      </c>
      <c r="I481" s="316">
        <v>-110799.28</v>
      </c>
      <c r="J481" s="518">
        <v>10216.15</v>
      </c>
      <c r="K481" s="518">
        <v>0</v>
      </c>
      <c r="L481" s="518">
        <v>-100583.13</v>
      </c>
      <c r="M481" s="317">
        <v>-100583.13</v>
      </c>
      <c r="N481" s="313">
        <f t="shared" si="7"/>
        <v>0</v>
      </c>
      <c r="P481" s="302"/>
    </row>
    <row r="482" spans="3:16" ht="15" customHeight="1" x14ac:dyDescent="0.3">
      <c r="C482" s="543" t="s">
        <v>4726</v>
      </c>
      <c r="D482" s="319" t="s">
        <v>1388</v>
      </c>
      <c r="E482" s="544">
        <v>-13427.19</v>
      </c>
      <c r="F482" s="544">
        <v>0</v>
      </c>
      <c r="G482" s="544">
        <v>0</v>
      </c>
      <c r="H482" s="544">
        <v>-13427.19</v>
      </c>
      <c r="I482" s="312">
        <v>-13427.19</v>
      </c>
      <c r="J482" s="517">
        <v>0</v>
      </c>
      <c r="K482" s="517">
        <v>0</v>
      </c>
      <c r="L482" s="517">
        <v>-13427.19</v>
      </c>
      <c r="M482" s="313">
        <v>-13427.19</v>
      </c>
      <c r="N482" s="313">
        <f t="shared" si="7"/>
        <v>0</v>
      </c>
      <c r="P482" s="302">
        <v>16</v>
      </c>
    </row>
    <row r="483" spans="3:16" ht="15" customHeight="1" x14ac:dyDescent="0.3">
      <c r="C483" s="545" t="s">
        <v>4727</v>
      </c>
      <c r="D483" s="320" t="s">
        <v>1391</v>
      </c>
      <c r="E483" s="544">
        <v>-13427.19</v>
      </c>
      <c r="F483" s="544">
        <v>0</v>
      </c>
      <c r="G483" s="544">
        <v>0</v>
      </c>
      <c r="H483" s="544">
        <v>-13427.19</v>
      </c>
      <c r="I483" s="316">
        <v>-13427.19</v>
      </c>
      <c r="J483" s="518">
        <v>0</v>
      </c>
      <c r="K483" s="518">
        <v>0</v>
      </c>
      <c r="L483" s="518">
        <v>-13427.19</v>
      </c>
      <c r="M483" s="317">
        <v>-13427.19</v>
      </c>
      <c r="N483" s="313">
        <f t="shared" si="7"/>
        <v>0</v>
      </c>
      <c r="P483" s="302"/>
    </row>
    <row r="484" spans="3:16" ht="15" customHeight="1" x14ac:dyDescent="0.3">
      <c r="C484" s="543" t="s">
        <v>4728</v>
      </c>
      <c r="D484" s="319" t="s">
        <v>3543</v>
      </c>
      <c r="E484" s="544">
        <v>-188783.22</v>
      </c>
      <c r="F484" s="544">
        <v>197754.26</v>
      </c>
      <c r="G484" s="544">
        <v>209914.64</v>
      </c>
      <c r="H484" s="544">
        <v>-200943.6</v>
      </c>
      <c r="I484" s="312">
        <v>-188783.22</v>
      </c>
      <c r="J484" s="517">
        <v>197754.26</v>
      </c>
      <c r="K484" s="517">
        <v>209914.64</v>
      </c>
      <c r="L484" s="517">
        <v>-200943.6</v>
      </c>
      <c r="M484" s="313">
        <v>-200943.6</v>
      </c>
      <c r="N484" s="313">
        <f t="shared" si="7"/>
        <v>0</v>
      </c>
      <c r="P484" s="302">
        <v>16</v>
      </c>
    </row>
    <row r="485" spans="3:16" ht="15" customHeight="1" x14ac:dyDescent="0.3">
      <c r="C485" s="543" t="s">
        <v>4729</v>
      </c>
      <c r="D485" s="319" t="s">
        <v>3544</v>
      </c>
      <c r="E485" s="544">
        <v>-188783.22</v>
      </c>
      <c r="F485" s="544">
        <v>197754.26</v>
      </c>
      <c r="G485" s="544">
        <v>209914.64</v>
      </c>
      <c r="H485" s="544">
        <v>-200943.6</v>
      </c>
      <c r="I485" s="312">
        <v>-188783.22</v>
      </c>
      <c r="J485" s="517">
        <v>197754.26</v>
      </c>
      <c r="K485" s="517">
        <v>209914.64</v>
      </c>
      <c r="L485" s="517">
        <v>-200943.6</v>
      </c>
      <c r="M485" s="313">
        <v>-200943.6</v>
      </c>
      <c r="N485" s="313">
        <f t="shared" si="7"/>
        <v>0</v>
      </c>
      <c r="P485" s="302"/>
    </row>
    <row r="486" spans="3:16" ht="15" customHeight="1" x14ac:dyDescent="0.3">
      <c r="C486" s="545" t="s">
        <v>4730</v>
      </c>
      <c r="D486" s="320" t="s">
        <v>3545</v>
      </c>
      <c r="E486" s="544">
        <v>-797.56</v>
      </c>
      <c r="F486" s="544">
        <v>797.56</v>
      </c>
      <c r="G486" s="544">
        <v>0</v>
      </c>
      <c r="H486" s="544">
        <v>0</v>
      </c>
      <c r="I486" s="316">
        <v>-797.56</v>
      </c>
      <c r="J486" s="518">
        <v>797.56</v>
      </c>
      <c r="K486" s="518">
        <v>0</v>
      </c>
      <c r="L486" s="518">
        <v>0</v>
      </c>
      <c r="M486" s="317">
        <v>0</v>
      </c>
      <c r="N486" s="313">
        <f t="shared" si="7"/>
        <v>0</v>
      </c>
      <c r="P486" s="302"/>
    </row>
    <row r="487" spans="3:16" ht="15" customHeight="1" x14ac:dyDescent="0.3">
      <c r="C487" s="545" t="s">
        <v>4731</v>
      </c>
      <c r="D487" s="320" t="s">
        <v>1412</v>
      </c>
      <c r="E487" s="544">
        <v>-187985.66</v>
      </c>
      <c r="F487" s="544">
        <v>196956.7</v>
      </c>
      <c r="G487" s="544">
        <v>209914.64</v>
      </c>
      <c r="H487" s="544">
        <v>-200943.6</v>
      </c>
      <c r="I487" s="316">
        <v>-187985.66</v>
      </c>
      <c r="J487" s="518">
        <v>196956.7</v>
      </c>
      <c r="K487" s="518">
        <v>209914.64</v>
      </c>
      <c r="L487" s="518">
        <v>-200943.6</v>
      </c>
      <c r="M487" s="317">
        <v>-200943.6</v>
      </c>
      <c r="N487" s="313">
        <f t="shared" si="7"/>
        <v>0</v>
      </c>
      <c r="P487" s="302"/>
    </row>
    <row r="488" spans="3:16" ht="15" customHeight="1" x14ac:dyDescent="0.3">
      <c r="C488" s="543" t="s">
        <v>4732</v>
      </c>
      <c r="D488" s="319" t="s">
        <v>3546</v>
      </c>
      <c r="E488" s="544">
        <v>-1003895.78</v>
      </c>
      <c r="F488" s="544">
        <v>5164877.58</v>
      </c>
      <c r="G488" s="544">
        <v>7133418.71</v>
      </c>
      <c r="H488" s="544">
        <v>-2972436.91</v>
      </c>
      <c r="I488" s="312">
        <v>-1003895.78</v>
      </c>
      <c r="J488" s="517">
        <v>5164877.58</v>
      </c>
      <c r="K488" s="517">
        <v>7133418.71</v>
      </c>
      <c r="L488" s="517">
        <v>-2972436.91</v>
      </c>
      <c r="M488" s="313">
        <v>-2972436.91</v>
      </c>
      <c r="N488" s="313">
        <f t="shared" si="7"/>
        <v>0</v>
      </c>
      <c r="P488" s="302">
        <v>13</v>
      </c>
    </row>
    <row r="489" spans="3:16" ht="15" customHeight="1" x14ac:dyDescent="0.3">
      <c r="C489" s="543" t="s">
        <v>4733</v>
      </c>
      <c r="D489" s="319" t="s">
        <v>3547</v>
      </c>
      <c r="E489" s="544">
        <v>-1003895.78</v>
      </c>
      <c r="F489" s="544">
        <v>5164877.58</v>
      </c>
      <c r="G489" s="544">
        <v>7133418.71</v>
      </c>
      <c r="H489" s="544">
        <v>-2972436.91</v>
      </c>
      <c r="I489" s="312">
        <v>-1003895.78</v>
      </c>
      <c r="J489" s="517">
        <v>5164877.58</v>
      </c>
      <c r="K489" s="517">
        <v>7133418.71</v>
      </c>
      <c r="L489" s="517">
        <v>-2972436.91</v>
      </c>
      <c r="M489" s="313">
        <v>-2972436.91</v>
      </c>
      <c r="N489" s="313">
        <f t="shared" si="7"/>
        <v>0</v>
      </c>
      <c r="P489" s="302"/>
    </row>
    <row r="490" spans="3:16" ht="15" customHeight="1" x14ac:dyDescent="0.3">
      <c r="C490" s="545" t="s">
        <v>4734</v>
      </c>
      <c r="D490" s="320" t="s">
        <v>1424</v>
      </c>
      <c r="E490" s="544">
        <v>-774582.94</v>
      </c>
      <c r="F490" s="544">
        <v>1344714.22</v>
      </c>
      <c r="G490" s="544">
        <v>2772054.13</v>
      </c>
      <c r="H490" s="544">
        <v>-2201922.85</v>
      </c>
      <c r="I490" s="316">
        <v>-774582.94</v>
      </c>
      <c r="J490" s="518">
        <v>1344714.22</v>
      </c>
      <c r="K490" s="518">
        <v>2772054.13</v>
      </c>
      <c r="L490" s="518">
        <v>-2201922.85</v>
      </c>
      <c r="M490" s="317">
        <v>-2201922.85</v>
      </c>
      <c r="N490" s="313">
        <f t="shared" si="7"/>
        <v>0</v>
      </c>
      <c r="P490" s="302"/>
    </row>
    <row r="491" spans="3:16" ht="15" customHeight="1" x14ac:dyDescent="0.3">
      <c r="C491" s="545" t="s">
        <v>4735</v>
      </c>
      <c r="D491" s="320" t="s">
        <v>1428</v>
      </c>
      <c r="E491" s="544">
        <v>-229312.84</v>
      </c>
      <c r="F491" s="544">
        <v>1103384.8400000001</v>
      </c>
      <c r="G491" s="544">
        <v>1644586.06</v>
      </c>
      <c r="H491" s="544">
        <v>-770514.06</v>
      </c>
      <c r="I491" s="316">
        <v>-229312.84</v>
      </c>
      <c r="J491" s="518">
        <v>1103384.8400000001</v>
      </c>
      <c r="K491" s="518">
        <v>1644586.06</v>
      </c>
      <c r="L491" s="518">
        <v>-770514.06</v>
      </c>
      <c r="M491" s="317">
        <v>-770514.06</v>
      </c>
      <c r="N491" s="313">
        <f t="shared" si="7"/>
        <v>0</v>
      </c>
      <c r="P491" s="302"/>
    </row>
    <row r="492" spans="3:16" ht="15" customHeight="1" x14ac:dyDescent="0.3">
      <c r="C492" s="545" t="s">
        <v>4736</v>
      </c>
      <c r="D492" s="320" t="s">
        <v>1432</v>
      </c>
      <c r="E492" s="544">
        <v>0</v>
      </c>
      <c r="F492" s="544">
        <v>2716778.52</v>
      </c>
      <c r="G492" s="544">
        <v>2716778.52</v>
      </c>
      <c r="H492" s="544">
        <v>0</v>
      </c>
      <c r="I492" s="316">
        <v>0</v>
      </c>
      <c r="J492" s="518">
        <v>2716778.52</v>
      </c>
      <c r="K492" s="518">
        <v>2716778.52</v>
      </c>
      <c r="L492" s="518">
        <v>0</v>
      </c>
      <c r="M492" s="317">
        <v>0</v>
      </c>
      <c r="N492" s="313">
        <f t="shared" si="7"/>
        <v>0</v>
      </c>
      <c r="P492" s="302"/>
    </row>
    <row r="493" spans="3:16" ht="15" customHeight="1" x14ac:dyDescent="0.3">
      <c r="C493" s="543" t="s">
        <v>4737</v>
      </c>
      <c r="D493" s="319" t="s">
        <v>3548</v>
      </c>
      <c r="E493" s="544">
        <v>-2596139.36</v>
      </c>
      <c r="F493" s="544">
        <v>39338268.840000004</v>
      </c>
      <c r="G493" s="544">
        <v>49434566.100000001</v>
      </c>
      <c r="H493" s="544">
        <v>-12692436.619999999</v>
      </c>
      <c r="I493" s="312">
        <v>-2596139.36</v>
      </c>
      <c r="J493" s="517">
        <v>39338268.840000004</v>
      </c>
      <c r="K493" s="517">
        <v>49434566.100000001</v>
      </c>
      <c r="L493" s="517">
        <v>-12692436.619999999</v>
      </c>
      <c r="M493" s="313">
        <f>M494</f>
        <v>-12200259.07</v>
      </c>
      <c r="N493" s="313">
        <f t="shared" si="7"/>
        <v>-492177.54999999888</v>
      </c>
      <c r="P493" s="302">
        <v>16</v>
      </c>
    </row>
    <row r="494" spans="3:16" ht="15" customHeight="1" x14ac:dyDescent="0.3">
      <c r="C494" s="543" t="s">
        <v>4738</v>
      </c>
      <c r="D494" s="319" t="s">
        <v>3549</v>
      </c>
      <c r="E494" s="544">
        <v>-2596139.36</v>
      </c>
      <c r="F494" s="544">
        <v>39338268.840000004</v>
      </c>
      <c r="G494" s="544">
        <v>49434566.100000001</v>
      </c>
      <c r="H494" s="544">
        <v>-12692436.619999999</v>
      </c>
      <c r="I494" s="312">
        <v>-2596139.36</v>
      </c>
      <c r="J494" s="517">
        <v>39338268.840000004</v>
      </c>
      <c r="K494" s="517">
        <v>49434566.100000001</v>
      </c>
      <c r="L494" s="517">
        <v>-12692436.619999999</v>
      </c>
      <c r="M494" s="313">
        <f>SUM(M495:M498)</f>
        <v>-12200259.07</v>
      </c>
      <c r="N494" s="313">
        <f t="shared" si="7"/>
        <v>-492177.54999999888</v>
      </c>
      <c r="O494" s="548"/>
      <c r="P494" s="302"/>
    </row>
    <row r="495" spans="3:16" ht="15" customHeight="1" x14ac:dyDescent="0.3">
      <c r="C495" s="545" t="s">
        <v>4739</v>
      </c>
      <c r="D495" s="320" t="s">
        <v>1443</v>
      </c>
      <c r="E495" s="544">
        <v>-13247.77</v>
      </c>
      <c r="F495" s="544">
        <v>13247.77</v>
      </c>
      <c r="G495" s="544">
        <v>0</v>
      </c>
      <c r="H495" s="544">
        <v>0</v>
      </c>
      <c r="I495" s="316">
        <v>-13247.77</v>
      </c>
      <c r="J495" s="518">
        <v>13247.77</v>
      </c>
      <c r="K495" s="518">
        <v>0</v>
      </c>
      <c r="L495" s="518">
        <v>0</v>
      </c>
      <c r="M495" s="317">
        <v>0</v>
      </c>
      <c r="N495" s="313">
        <f t="shared" si="7"/>
        <v>0</v>
      </c>
      <c r="P495" s="302"/>
    </row>
    <row r="496" spans="3:16" ht="15" customHeight="1" x14ac:dyDescent="0.3">
      <c r="C496" s="545" t="s">
        <v>4740</v>
      </c>
      <c r="D496" s="320" t="s">
        <v>1446</v>
      </c>
      <c r="E496" s="544">
        <v>-2582891.59</v>
      </c>
      <c r="F496" s="544">
        <v>2698104.05</v>
      </c>
      <c r="G496" s="544">
        <v>239949.47</v>
      </c>
      <c r="H496" s="544">
        <v>-124737.01</v>
      </c>
      <c r="I496" s="316">
        <v>-2582891.59</v>
      </c>
      <c r="J496" s="518">
        <v>2698104.05</v>
      </c>
      <c r="K496" s="518">
        <v>239949.47</v>
      </c>
      <c r="L496" s="518">
        <v>-124737.01</v>
      </c>
      <c r="M496" s="317">
        <v>-124737.01</v>
      </c>
      <c r="N496" s="313">
        <f t="shared" si="7"/>
        <v>0</v>
      </c>
      <c r="P496" s="302"/>
    </row>
    <row r="497" spans="3:16" ht="15" customHeight="1" x14ac:dyDescent="0.3">
      <c r="C497" s="545" t="s">
        <v>4741</v>
      </c>
      <c r="D497" s="320" t="s">
        <v>3550</v>
      </c>
      <c r="E497" s="544">
        <v>0</v>
      </c>
      <c r="F497" s="544">
        <v>36626917.019999996</v>
      </c>
      <c r="G497" s="544">
        <v>48702439.079999998</v>
      </c>
      <c r="H497" s="544">
        <v>-12075522.060000001</v>
      </c>
      <c r="I497" s="316">
        <v>0</v>
      </c>
      <c r="J497" s="518">
        <v>36626917.019999996</v>
      </c>
      <c r="K497" s="518">
        <v>48702439.079999998</v>
      </c>
      <c r="L497" s="518">
        <v>-12075522.060000001</v>
      </c>
      <c r="M497" s="317">
        <v>-12075522.060000001</v>
      </c>
      <c r="N497" s="313">
        <f t="shared" si="7"/>
        <v>0</v>
      </c>
      <c r="P497" s="302"/>
    </row>
    <row r="498" spans="3:16" ht="15" customHeight="1" x14ac:dyDescent="0.3">
      <c r="C498" s="545" t="s">
        <v>4742</v>
      </c>
      <c r="D498" s="320" t="s">
        <v>3551</v>
      </c>
      <c r="E498" s="544">
        <v>0</v>
      </c>
      <c r="F498" s="544">
        <v>0</v>
      </c>
      <c r="G498" s="544">
        <v>492177.55</v>
      </c>
      <c r="H498" s="544">
        <v>-492177.55</v>
      </c>
      <c r="I498" s="316">
        <v>0</v>
      </c>
      <c r="J498" s="518">
        <v>0</v>
      </c>
      <c r="K498" s="518">
        <v>492177.55</v>
      </c>
      <c r="L498" s="518">
        <v>-492177.55</v>
      </c>
      <c r="M498" s="555">
        <f>L498+J499</f>
        <v>0</v>
      </c>
      <c r="N498" s="313">
        <f t="shared" si="7"/>
        <v>-492177.55</v>
      </c>
      <c r="P498" s="302"/>
    </row>
    <row r="499" spans="3:16" ht="15" customHeight="1" x14ac:dyDescent="0.3">
      <c r="C499" s="545"/>
      <c r="D499" s="320"/>
      <c r="E499" s="544"/>
      <c r="F499" s="544"/>
      <c r="G499" s="544"/>
      <c r="H499" s="544"/>
      <c r="I499" s="589">
        <v>45293</v>
      </c>
      <c r="J499" s="557">
        <v>492177.55</v>
      </c>
      <c r="K499" s="518"/>
      <c r="L499" s="518"/>
      <c r="M499" s="317"/>
      <c r="N499" s="313">
        <f t="shared" si="7"/>
        <v>0</v>
      </c>
      <c r="P499" s="302"/>
    </row>
    <row r="500" spans="3:16" ht="15" customHeight="1" x14ac:dyDescent="0.3">
      <c r="C500" s="543" t="s">
        <v>4743</v>
      </c>
      <c r="D500" s="319" t="s">
        <v>3552</v>
      </c>
      <c r="E500" s="544">
        <v>-48715220.960000001</v>
      </c>
      <c r="F500" s="544">
        <v>31278900.09</v>
      </c>
      <c r="G500" s="544">
        <v>49222298.859999999</v>
      </c>
      <c r="H500" s="544">
        <v>-66658619.729999997</v>
      </c>
      <c r="I500" s="312">
        <v>-48715220.960000001</v>
      </c>
      <c r="J500" s="517">
        <v>31278900.09</v>
      </c>
      <c r="K500" s="517">
        <v>49222298.859999999</v>
      </c>
      <c r="L500" s="517">
        <v>-66658619.729999997</v>
      </c>
      <c r="M500" s="313">
        <v>-66658619.729999997</v>
      </c>
      <c r="N500" s="313">
        <f t="shared" si="7"/>
        <v>0</v>
      </c>
      <c r="P500" s="302"/>
    </row>
    <row r="501" spans="3:16" ht="15" customHeight="1" x14ac:dyDescent="0.3">
      <c r="C501" s="543" t="s">
        <v>4744</v>
      </c>
      <c r="D501" s="319" t="s">
        <v>3553</v>
      </c>
      <c r="E501" s="544">
        <v>-3901355.39</v>
      </c>
      <c r="F501" s="544">
        <v>998428.19</v>
      </c>
      <c r="G501" s="544">
        <v>33344532.93</v>
      </c>
      <c r="H501" s="544">
        <v>-36247460.130000003</v>
      </c>
      <c r="I501" s="312">
        <v>-3901355.39</v>
      </c>
      <c r="J501" s="517">
        <v>998428.19</v>
      </c>
      <c r="K501" s="517">
        <v>33344532.93</v>
      </c>
      <c r="L501" s="517">
        <v>-36247460.130000003</v>
      </c>
      <c r="M501" s="313">
        <v>-36247460.130000003</v>
      </c>
      <c r="N501" s="313">
        <f t="shared" si="7"/>
        <v>0</v>
      </c>
      <c r="P501" s="302"/>
    </row>
    <row r="502" spans="3:16" ht="15" customHeight="1" x14ac:dyDescent="0.3">
      <c r="C502" s="543" t="s">
        <v>4745</v>
      </c>
      <c r="D502" s="319" t="s">
        <v>3554</v>
      </c>
      <c r="E502" s="544">
        <v>-439113.51</v>
      </c>
      <c r="F502" s="544">
        <v>163418.76</v>
      </c>
      <c r="G502" s="544">
        <v>33317541.27</v>
      </c>
      <c r="H502" s="544">
        <v>-33593236.020000003</v>
      </c>
      <c r="I502" s="312">
        <v>-439113.51</v>
      </c>
      <c r="J502" s="517">
        <v>163418.76</v>
      </c>
      <c r="K502" s="517">
        <v>33317541.27</v>
      </c>
      <c r="L502" s="517">
        <v>-33593236.020000003</v>
      </c>
      <c r="M502" s="313">
        <v>-33593236.020000003</v>
      </c>
      <c r="N502" s="313">
        <f t="shared" si="7"/>
        <v>0</v>
      </c>
      <c r="P502" s="302">
        <v>17</v>
      </c>
    </row>
    <row r="503" spans="3:16" ht="15" customHeight="1" x14ac:dyDescent="0.3">
      <c r="C503" s="545" t="s">
        <v>4746</v>
      </c>
      <c r="D503" s="320" t="s">
        <v>1465</v>
      </c>
      <c r="E503" s="544">
        <v>-439113.51</v>
      </c>
      <c r="F503" s="544">
        <v>163418.76</v>
      </c>
      <c r="G503" s="544">
        <v>0</v>
      </c>
      <c r="H503" s="544">
        <v>-275694.75</v>
      </c>
      <c r="I503" s="316">
        <v>-439113.51</v>
      </c>
      <c r="J503" s="518">
        <v>163418.76</v>
      </c>
      <c r="K503" s="518">
        <v>0</v>
      </c>
      <c r="L503" s="518">
        <v>-275694.75</v>
      </c>
      <c r="M503" s="317">
        <v>-275694.75</v>
      </c>
      <c r="N503" s="313">
        <f t="shared" si="7"/>
        <v>0</v>
      </c>
      <c r="P503" s="302"/>
    </row>
    <row r="504" spans="3:16" ht="15" customHeight="1" x14ac:dyDescent="0.3">
      <c r="C504" s="545" t="s">
        <v>4747</v>
      </c>
      <c r="D504" s="320" t="s">
        <v>3555</v>
      </c>
      <c r="E504" s="544">
        <v>0</v>
      </c>
      <c r="F504" s="544">
        <v>0</v>
      </c>
      <c r="G504" s="544">
        <v>32515268.66</v>
      </c>
      <c r="H504" s="544">
        <v>-32515268.66</v>
      </c>
      <c r="I504" s="316">
        <v>0</v>
      </c>
      <c r="J504" s="518">
        <v>0</v>
      </c>
      <c r="K504" s="518">
        <v>32515268.66</v>
      </c>
      <c r="L504" s="518">
        <v>-32515268.66</v>
      </c>
      <c r="M504" s="317">
        <v>-32515268.66</v>
      </c>
      <c r="N504" s="313">
        <f t="shared" si="7"/>
        <v>0</v>
      </c>
      <c r="P504" s="302"/>
    </row>
    <row r="505" spans="3:16" ht="15" customHeight="1" x14ac:dyDescent="0.3">
      <c r="C505" s="545" t="s">
        <v>4748</v>
      </c>
      <c r="D505" s="320" t="s">
        <v>3556</v>
      </c>
      <c r="E505" s="544">
        <v>0</v>
      </c>
      <c r="F505" s="544">
        <v>0</v>
      </c>
      <c r="G505" s="544">
        <v>802272.61</v>
      </c>
      <c r="H505" s="544">
        <v>-802272.61</v>
      </c>
      <c r="I505" s="316">
        <v>0</v>
      </c>
      <c r="J505" s="518">
        <v>0</v>
      </c>
      <c r="K505" s="518">
        <v>802272.61</v>
      </c>
      <c r="L505" s="518">
        <v>-802272.61</v>
      </c>
      <c r="M505" s="317">
        <v>-802272.61</v>
      </c>
      <c r="N505" s="313">
        <f t="shared" si="7"/>
        <v>0</v>
      </c>
      <c r="P505" s="302"/>
    </row>
    <row r="506" spans="3:16" ht="15" customHeight="1" x14ac:dyDescent="0.3">
      <c r="C506" s="543" t="s">
        <v>4749</v>
      </c>
      <c r="D506" s="319" t="s">
        <v>3557</v>
      </c>
      <c r="E506" s="544">
        <v>-2094201.41</v>
      </c>
      <c r="F506" s="544">
        <v>835009.43</v>
      </c>
      <c r="G506" s="544">
        <v>26991.66</v>
      </c>
      <c r="H506" s="544">
        <v>-1286183.6399999999</v>
      </c>
      <c r="I506" s="312">
        <v>-2094201.41</v>
      </c>
      <c r="J506" s="517">
        <v>835009.43</v>
      </c>
      <c r="K506" s="517">
        <v>26991.66</v>
      </c>
      <c r="L506" s="517">
        <v>-1286183.6399999999</v>
      </c>
      <c r="M506" s="313">
        <v>-1286183.6399999999</v>
      </c>
      <c r="N506" s="313">
        <f t="shared" si="7"/>
        <v>0</v>
      </c>
      <c r="P506" s="302">
        <v>18</v>
      </c>
    </row>
    <row r="507" spans="3:16" ht="15" customHeight="1" x14ac:dyDescent="0.3">
      <c r="C507" s="545" t="s">
        <v>4750</v>
      </c>
      <c r="D507" s="320" t="s">
        <v>1471</v>
      </c>
      <c r="E507" s="544">
        <v>-138252.07</v>
      </c>
      <c r="F507" s="544">
        <v>48511</v>
      </c>
      <c r="G507" s="544">
        <v>0</v>
      </c>
      <c r="H507" s="544">
        <v>-89741.07</v>
      </c>
      <c r="I507" s="316">
        <v>-138252.07</v>
      </c>
      <c r="J507" s="518">
        <v>48511</v>
      </c>
      <c r="K507" s="518">
        <v>0</v>
      </c>
      <c r="L507" s="518">
        <v>-89741.07</v>
      </c>
      <c r="M507" s="317">
        <v>-89741.07</v>
      </c>
      <c r="N507" s="313">
        <f t="shared" si="7"/>
        <v>0</v>
      </c>
      <c r="P507" s="302"/>
    </row>
    <row r="508" spans="3:16" ht="15" customHeight="1" x14ac:dyDescent="0.3">
      <c r="C508" s="545" t="s">
        <v>4751</v>
      </c>
      <c r="D508" s="320" t="s">
        <v>1487</v>
      </c>
      <c r="E508" s="544">
        <v>-108152.13</v>
      </c>
      <c r="F508" s="544">
        <v>91012.43</v>
      </c>
      <c r="G508" s="544">
        <v>26991.66</v>
      </c>
      <c r="H508" s="544">
        <v>-44131.360000000001</v>
      </c>
      <c r="I508" s="316">
        <v>-108152.13</v>
      </c>
      <c r="J508" s="518">
        <v>91012.43</v>
      </c>
      <c r="K508" s="518">
        <v>26991.66</v>
      </c>
      <c r="L508" s="518">
        <v>-44131.360000000001</v>
      </c>
      <c r="M508" s="317">
        <v>-44131.360000000001</v>
      </c>
      <c r="N508" s="313">
        <f t="shared" si="7"/>
        <v>0</v>
      </c>
      <c r="P508" s="302"/>
    </row>
    <row r="509" spans="3:16" ht="15" customHeight="1" x14ac:dyDescent="0.3">
      <c r="C509" s="545" t="s">
        <v>4752</v>
      </c>
      <c r="D509" s="320" t="s">
        <v>1491</v>
      </c>
      <c r="E509" s="544">
        <v>-834415</v>
      </c>
      <c r="F509" s="544">
        <v>409458</v>
      </c>
      <c r="G509" s="544">
        <v>0</v>
      </c>
      <c r="H509" s="544">
        <v>-424957</v>
      </c>
      <c r="I509" s="316">
        <v>-834415</v>
      </c>
      <c r="J509" s="518">
        <v>409458</v>
      </c>
      <c r="K509" s="518">
        <v>0</v>
      </c>
      <c r="L509" s="518">
        <v>-424957</v>
      </c>
      <c r="M509" s="317">
        <v>-424957</v>
      </c>
      <c r="N509" s="313">
        <f t="shared" si="7"/>
        <v>0</v>
      </c>
      <c r="P509" s="302"/>
    </row>
    <row r="510" spans="3:16" ht="15" customHeight="1" x14ac:dyDescent="0.3">
      <c r="C510" s="545" t="s">
        <v>4753</v>
      </c>
      <c r="D510" s="320" t="s">
        <v>1494</v>
      </c>
      <c r="E510" s="544">
        <v>-75701.490000000005</v>
      </c>
      <c r="F510" s="544">
        <v>35148</v>
      </c>
      <c r="G510" s="544">
        <v>0</v>
      </c>
      <c r="H510" s="544">
        <v>-40553.49</v>
      </c>
      <c r="I510" s="316">
        <v>-75701.490000000005</v>
      </c>
      <c r="J510" s="518">
        <v>35148</v>
      </c>
      <c r="K510" s="518">
        <v>0</v>
      </c>
      <c r="L510" s="518">
        <v>-40553.49</v>
      </c>
      <c r="M510" s="317">
        <v>-40553.49</v>
      </c>
      <c r="N510" s="313">
        <f t="shared" si="7"/>
        <v>0</v>
      </c>
      <c r="P510" s="302"/>
    </row>
    <row r="511" spans="3:16" ht="15" customHeight="1" x14ac:dyDescent="0.3">
      <c r="C511" s="545" t="s">
        <v>4754</v>
      </c>
      <c r="D511" s="320" t="s">
        <v>3558</v>
      </c>
      <c r="E511" s="544">
        <v>-937680.72</v>
      </c>
      <c r="F511" s="544">
        <v>250880</v>
      </c>
      <c r="G511" s="544">
        <v>0</v>
      </c>
      <c r="H511" s="544">
        <v>-686800.72</v>
      </c>
      <c r="I511" s="316">
        <v>-937680.72</v>
      </c>
      <c r="J511" s="518">
        <v>250880</v>
      </c>
      <c r="K511" s="518">
        <v>0</v>
      </c>
      <c r="L511" s="518">
        <v>-686800.72</v>
      </c>
      <c r="M511" s="317">
        <v>-686800.72</v>
      </c>
      <c r="N511" s="313">
        <f t="shared" si="7"/>
        <v>0</v>
      </c>
      <c r="P511" s="302"/>
    </row>
    <row r="512" spans="3:16" ht="15" customHeight="1" x14ac:dyDescent="0.3">
      <c r="C512" s="543" t="s">
        <v>4755</v>
      </c>
      <c r="D512" s="319" t="s">
        <v>1497</v>
      </c>
      <c r="E512" s="544">
        <v>-1368040.47</v>
      </c>
      <c r="F512" s="544">
        <v>0</v>
      </c>
      <c r="G512" s="544">
        <v>0</v>
      </c>
      <c r="H512" s="544">
        <v>-1368040.47</v>
      </c>
      <c r="I512" s="312">
        <v>-1368040.47</v>
      </c>
      <c r="J512" s="517">
        <v>0</v>
      </c>
      <c r="K512" s="517">
        <v>0</v>
      </c>
      <c r="L512" s="517">
        <v>-1368040.47</v>
      </c>
      <c r="M512" s="313">
        <v>-1368040.47</v>
      </c>
      <c r="N512" s="313">
        <f t="shared" si="7"/>
        <v>0</v>
      </c>
      <c r="P512" s="302">
        <v>17</v>
      </c>
    </row>
    <row r="513" spans="3:16" ht="15" customHeight="1" x14ac:dyDescent="0.3">
      <c r="C513" s="545" t="s">
        <v>4756</v>
      </c>
      <c r="D513" s="320" t="s">
        <v>1500</v>
      </c>
      <c r="E513" s="544">
        <v>-1368040.47</v>
      </c>
      <c r="F513" s="544">
        <v>0</v>
      </c>
      <c r="G513" s="544">
        <v>0</v>
      </c>
      <c r="H513" s="544">
        <v>-1368040.47</v>
      </c>
      <c r="I513" s="316">
        <v>-1368040.47</v>
      </c>
      <c r="J513" s="518">
        <v>0</v>
      </c>
      <c r="K513" s="518">
        <v>0</v>
      </c>
      <c r="L513" s="518">
        <v>-1368040.47</v>
      </c>
      <c r="M513" s="317">
        <v>-1368040.47</v>
      </c>
      <c r="N513" s="313">
        <f t="shared" si="7"/>
        <v>0</v>
      </c>
      <c r="P513" s="302"/>
    </row>
    <row r="514" spans="3:16" ht="15" customHeight="1" x14ac:dyDescent="0.3">
      <c r="C514" s="543" t="s">
        <v>4757</v>
      </c>
      <c r="D514" s="319" t="s">
        <v>3559</v>
      </c>
      <c r="E514" s="544">
        <v>-44813865.57</v>
      </c>
      <c r="F514" s="544">
        <v>30280471.899999999</v>
      </c>
      <c r="G514" s="544">
        <v>15877765.93</v>
      </c>
      <c r="H514" s="544">
        <v>-30411159.600000001</v>
      </c>
      <c r="I514" s="312">
        <v>-44813865.57</v>
      </c>
      <c r="J514" s="517">
        <v>30280471.899999999</v>
      </c>
      <c r="K514" s="517">
        <v>15877765.93</v>
      </c>
      <c r="L514" s="517">
        <v>-30411159.600000001</v>
      </c>
      <c r="M514" s="313">
        <v>-30411159.600000001</v>
      </c>
      <c r="N514" s="313">
        <f t="shared" si="7"/>
        <v>0</v>
      </c>
      <c r="P514" s="302">
        <v>19</v>
      </c>
    </row>
    <row r="515" spans="3:16" ht="15" customHeight="1" x14ac:dyDescent="0.3">
      <c r="C515" s="543" t="s">
        <v>4758</v>
      </c>
      <c r="D515" s="319" t="s">
        <v>3560</v>
      </c>
      <c r="E515" s="544">
        <v>-44813865.57</v>
      </c>
      <c r="F515" s="544">
        <v>30280471.899999999</v>
      </c>
      <c r="G515" s="544">
        <v>15877765.93</v>
      </c>
      <c r="H515" s="544">
        <v>-30411159.600000001</v>
      </c>
      <c r="I515" s="312">
        <v>-44813865.57</v>
      </c>
      <c r="J515" s="517">
        <v>30280471.899999999</v>
      </c>
      <c r="K515" s="517">
        <v>15877765.93</v>
      </c>
      <c r="L515" s="517">
        <v>-30411159.600000001</v>
      </c>
      <c r="M515" s="313">
        <v>-30411159.600000001</v>
      </c>
      <c r="N515" s="313">
        <f t="shared" si="7"/>
        <v>0</v>
      </c>
      <c r="P515" s="302"/>
    </row>
    <row r="516" spans="3:16" ht="15" customHeight="1" x14ac:dyDescent="0.3">
      <c r="C516" s="545" t="s">
        <v>4759</v>
      </c>
      <c r="D516" s="320" t="s">
        <v>1510</v>
      </c>
      <c r="E516" s="544">
        <v>-10752358.65</v>
      </c>
      <c r="F516" s="544">
        <v>11783229.75</v>
      </c>
      <c r="G516" s="544">
        <v>2571698.0299999998</v>
      </c>
      <c r="H516" s="544">
        <v>-1540826.93</v>
      </c>
      <c r="I516" s="316">
        <v>-10752358.65</v>
      </c>
      <c r="J516" s="518">
        <v>11783229.75</v>
      </c>
      <c r="K516" s="518">
        <v>2571698.0299999998</v>
      </c>
      <c r="L516" s="518">
        <v>-1540826.93</v>
      </c>
      <c r="M516" s="317">
        <v>-1540826.93</v>
      </c>
      <c r="N516" s="313">
        <f t="shared" si="7"/>
        <v>0</v>
      </c>
      <c r="P516" s="302"/>
    </row>
    <row r="517" spans="3:16" ht="15" customHeight="1" x14ac:dyDescent="0.3">
      <c r="C517" s="545" t="s">
        <v>4760</v>
      </c>
      <c r="D517" s="320" t="s">
        <v>1514</v>
      </c>
      <c r="E517" s="544">
        <v>-32139419.390000001</v>
      </c>
      <c r="F517" s="544">
        <v>16575154.619999999</v>
      </c>
      <c r="G517" s="544">
        <v>13306067.9</v>
      </c>
      <c r="H517" s="544">
        <v>-28870332.670000002</v>
      </c>
      <c r="I517" s="316">
        <v>-32139419.390000001</v>
      </c>
      <c r="J517" s="518">
        <v>16575154.619999999</v>
      </c>
      <c r="K517" s="518">
        <v>13306067.9</v>
      </c>
      <c r="L517" s="518">
        <v>-28870332.670000002</v>
      </c>
      <c r="M517" s="317">
        <v>-28870332.670000002</v>
      </c>
      <c r="N517" s="313">
        <f t="shared" si="7"/>
        <v>0</v>
      </c>
      <c r="P517" s="302"/>
    </row>
    <row r="518" spans="3:16" ht="15" customHeight="1" x14ac:dyDescent="0.3">
      <c r="C518" s="545" t="s">
        <v>4761</v>
      </c>
      <c r="D518" s="320" t="s">
        <v>1518</v>
      </c>
      <c r="E518" s="544">
        <v>-1922087.53</v>
      </c>
      <c r="F518" s="544">
        <v>1922087.53</v>
      </c>
      <c r="G518" s="544">
        <v>0</v>
      </c>
      <c r="H518" s="544">
        <v>0</v>
      </c>
      <c r="I518" s="316">
        <v>-1922087.53</v>
      </c>
      <c r="J518" s="518">
        <v>1922087.53</v>
      </c>
      <c r="K518" s="518">
        <v>0</v>
      </c>
      <c r="L518" s="518">
        <v>0</v>
      </c>
      <c r="M518" s="317">
        <v>0</v>
      </c>
      <c r="N518" s="313">
        <f t="shared" si="7"/>
        <v>0</v>
      </c>
      <c r="P518" s="302"/>
    </row>
    <row r="519" spans="3:16" ht="15" customHeight="1" x14ac:dyDescent="0.3">
      <c r="C519" s="543" t="s">
        <v>4762</v>
      </c>
      <c r="D519" s="319" t="s">
        <v>3561</v>
      </c>
      <c r="E519" s="544">
        <v>27000048.329999998</v>
      </c>
      <c r="F519" s="544">
        <v>46531494.759999998</v>
      </c>
      <c r="G519" s="544">
        <v>41433090.310000002</v>
      </c>
      <c r="H519" s="544">
        <v>32098452.780000001</v>
      </c>
      <c r="I519" s="312">
        <v>27000048.329999998</v>
      </c>
      <c r="J519" s="517">
        <v>46531494.759999998</v>
      </c>
      <c r="K519" s="517">
        <v>41433090.310000002</v>
      </c>
      <c r="L519" s="517">
        <v>32098452.780000001</v>
      </c>
      <c r="M519" s="313">
        <v>32098452.780000001</v>
      </c>
      <c r="N519" s="313">
        <f t="shared" si="7"/>
        <v>0</v>
      </c>
      <c r="P519" s="302"/>
    </row>
    <row r="520" spans="3:16" ht="15" customHeight="1" x14ac:dyDescent="0.3">
      <c r="C520" s="543" t="s">
        <v>4763</v>
      </c>
      <c r="D520" s="319" t="s">
        <v>3562</v>
      </c>
      <c r="E520" s="544">
        <v>-240000000</v>
      </c>
      <c r="F520" s="544">
        <v>1855</v>
      </c>
      <c r="G520" s="544">
        <v>1855</v>
      </c>
      <c r="H520" s="544">
        <v>-240000000</v>
      </c>
      <c r="I520" s="312">
        <v>-240000000</v>
      </c>
      <c r="J520" s="517">
        <v>1855</v>
      </c>
      <c r="K520" s="517">
        <v>1855</v>
      </c>
      <c r="L520" s="517">
        <v>-240000000</v>
      </c>
      <c r="M520" s="313">
        <v>-240000000</v>
      </c>
      <c r="N520" s="313">
        <f t="shared" si="7"/>
        <v>0</v>
      </c>
      <c r="P520" s="321">
        <v>20</v>
      </c>
    </row>
    <row r="521" spans="3:16" ht="15" customHeight="1" x14ac:dyDescent="0.3">
      <c r="C521" s="543" t="s">
        <v>4764</v>
      </c>
      <c r="D521" s="319" t="s">
        <v>3563</v>
      </c>
      <c r="E521" s="544">
        <v>-240000000</v>
      </c>
      <c r="F521" s="544">
        <v>1855</v>
      </c>
      <c r="G521" s="544">
        <v>1855</v>
      </c>
      <c r="H521" s="544">
        <v>-240000000</v>
      </c>
      <c r="I521" s="312">
        <v>-240000000</v>
      </c>
      <c r="J521" s="517">
        <v>1855</v>
      </c>
      <c r="K521" s="517">
        <v>1855</v>
      </c>
      <c r="L521" s="517">
        <v>-240000000</v>
      </c>
      <c r="M521" s="313">
        <v>-240000000</v>
      </c>
      <c r="N521" s="313">
        <f t="shared" si="7"/>
        <v>0</v>
      </c>
      <c r="P521" s="302"/>
    </row>
    <row r="522" spans="3:16" ht="15" customHeight="1" x14ac:dyDescent="0.3">
      <c r="C522" s="545" t="s">
        <v>4765</v>
      </c>
      <c r="D522" s="320" t="s">
        <v>1553</v>
      </c>
      <c r="E522" s="544">
        <v>-5518</v>
      </c>
      <c r="F522" s="544">
        <v>1843</v>
      </c>
      <c r="G522" s="544">
        <v>0</v>
      </c>
      <c r="H522" s="544">
        <v>-3675</v>
      </c>
      <c r="I522" s="316">
        <v>-5518</v>
      </c>
      <c r="J522" s="518">
        <v>1843</v>
      </c>
      <c r="K522" s="518">
        <v>0</v>
      </c>
      <c r="L522" s="518">
        <v>-3675</v>
      </c>
      <c r="M522" s="317">
        <v>-3675</v>
      </c>
      <c r="N522" s="313">
        <f t="shared" si="7"/>
        <v>0</v>
      </c>
      <c r="P522" s="302"/>
    </row>
    <row r="523" spans="3:16" ht="15" customHeight="1" x14ac:dyDescent="0.3">
      <c r="C523" s="545" t="s">
        <v>4766</v>
      </c>
      <c r="D523" s="320" t="s">
        <v>1556</v>
      </c>
      <c r="E523" s="544">
        <v>-73</v>
      </c>
      <c r="F523" s="544">
        <v>12</v>
      </c>
      <c r="G523" s="544">
        <v>0</v>
      </c>
      <c r="H523" s="544">
        <v>-61</v>
      </c>
      <c r="I523" s="316">
        <v>-73</v>
      </c>
      <c r="J523" s="518">
        <v>12</v>
      </c>
      <c r="K523" s="518">
        <v>0</v>
      </c>
      <c r="L523" s="518">
        <v>-61</v>
      </c>
      <c r="M523" s="317">
        <v>-61</v>
      </c>
      <c r="N523" s="313">
        <f t="shared" si="7"/>
        <v>0</v>
      </c>
      <c r="P523" s="302"/>
    </row>
    <row r="524" spans="3:16" ht="15" customHeight="1" x14ac:dyDescent="0.3">
      <c r="C524" s="545" t="s">
        <v>4767</v>
      </c>
      <c r="D524" s="320" t="s">
        <v>1559</v>
      </c>
      <c r="E524" s="544">
        <v>-239994409</v>
      </c>
      <c r="F524" s="544">
        <v>0</v>
      </c>
      <c r="G524" s="544">
        <v>1855</v>
      </c>
      <c r="H524" s="544">
        <v>-239996264</v>
      </c>
      <c r="I524" s="316">
        <v>-239994409</v>
      </c>
      <c r="J524" s="518">
        <v>0</v>
      </c>
      <c r="K524" s="518">
        <v>1855</v>
      </c>
      <c r="L524" s="518">
        <v>-239996264</v>
      </c>
      <c r="M524" s="317">
        <v>-239996264</v>
      </c>
      <c r="N524" s="313">
        <f t="shared" si="7"/>
        <v>0</v>
      </c>
      <c r="P524" s="302"/>
    </row>
    <row r="525" spans="3:16" ht="15" customHeight="1" x14ac:dyDescent="0.3">
      <c r="C525" s="543" t="s">
        <v>4768</v>
      </c>
      <c r="D525" s="319" t="s">
        <v>3564</v>
      </c>
      <c r="E525" s="544">
        <v>250483795.00999999</v>
      </c>
      <c r="F525" s="544">
        <v>46529639.759999998</v>
      </c>
      <c r="G525" s="544">
        <v>41431235.310000002</v>
      </c>
      <c r="H525" s="544">
        <v>255582199.46000001</v>
      </c>
      <c r="I525" s="312">
        <v>250483795.00999999</v>
      </c>
      <c r="J525" s="517">
        <v>46529639.759999998</v>
      </c>
      <c r="K525" s="517">
        <v>41431235.310000002</v>
      </c>
      <c r="L525" s="517">
        <v>255582199.46000001</v>
      </c>
      <c r="M525" s="313">
        <v>255582199.46000001</v>
      </c>
      <c r="N525" s="313">
        <f t="shared" ref="N525:N588" si="8">L525-M525</f>
        <v>0</v>
      </c>
      <c r="P525" s="321"/>
    </row>
    <row r="526" spans="3:16" ht="15" customHeight="1" x14ac:dyDescent="0.3">
      <c r="C526" s="543" t="s">
        <v>4769</v>
      </c>
      <c r="D526" s="319" t="s">
        <v>3565</v>
      </c>
      <c r="E526" s="544">
        <v>1540240.83</v>
      </c>
      <c r="F526" s="544">
        <v>19830797.77</v>
      </c>
      <c r="G526" s="544">
        <v>16272634.15</v>
      </c>
      <c r="H526" s="544">
        <v>5098404.45</v>
      </c>
      <c r="I526" s="312">
        <v>1540240.83</v>
      </c>
      <c r="J526" s="517">
        <v>19830797.77</v>
      </c>
      <c r="K526" s="517">
        <v>16272634.15</v>
      </c>
      <c r="L526" s="517">
        <v>5098404.45</v>
      </c>
      <c r="M526" s="313">
        <v>5098404.45</v>
      </c>
      <c r="N526" s="313">
        <f t="shared" si="8"/>
        <v>0</v>
      </c>
      <c r="P526" s="302"/>
    </row>
    <row r="527" spans="3:16" ht="15" customHeight="1" x14ac:dyDescent="0.3">
      <c r="C527" s="545" t="s">
        <v>4770</v>
      </c>
      <c r="D527" s="320" t="s">
        <v>3566</v>
      </c>
      <c r="E527" s="544">
        <v>-2098384.59</v>
      </c>
      <c r="F527" s="544">
        <v>2098384.59</v>
      </c>
      <c r="G527" s="544">
        <v>0</v>
      </c>
      <c r="H527" s="544">
        <v>0</v>
      </c>
      <c r="I527" s="316">
        <v>-2098384.59</v>
      </c>
      <c r="J527" s="518">
        <v>2098384.59</v>
      </c>
      <c r="K527" s="518">
        <v>0</v>
      </c>
      <c r="L527" s="518">
        <v>0</v>
      </c>
      <c r="M527" s="317">
        <v>0</v>
      </c>
      <c r="N527" s="313">
        <f t="shared" si="8"/>
        <v>0</v>
      </c>
      <c r="P527" s="302"/>
    </row>
    <row r="528" spans="3:16" ht="15" customHeight="1" x14ac:dyDescent="0.3">
      <c r="C528" s="545" t="s">
        <v>4771</v>
      </c>
      <c r="D528" s="320" t="s">
        <v>1597</v>
      </c>
      <c r="E528" s="544">
        <v>3638625.42</v>
      </c>
      <c r="F528" s="544">
        <v>17732413.18</v>
      </c>
      <c r="G528" s="544">
        <v>16272634.15</v>
      </c>
      <c r="H528" s="544">
        <v>5098404.45</v>
      </c>
      <c r="I528" s="316">
        <v>3638625.42</v>
      </c>
      <c r="J528" s="518">
        <v>17732413.18</v>
      </c>
      <c r="K528" s="518">
        <v>16272634.15</v>
      </c>
      <c r="L528" s="518">
        <v>5098404.45</v>
      </c>
      <c r="M528" s="317">
        <v>5098404.45</v>
      </c>
      <c r="N528" s="313">
        <f t="shared" si="8"/>
        <v>0</v>
      </c>
      <c r="P528" s="322">
        <v>22</v>
      </c>
    </row>
    <row r="529" spans="3:16" ht="15" customHeight="1" x14ac:dyDescent="0.3">
      <c r="C529" s="543" t="s">
        <v>4772</v>
      </c>
      <c r="D529" s="319" t="s">
        <v>1600</v>
      </c>
      <c r="E529" s="544">
        <v>248943554.18000001</v>
      </c>
      <c r="F529" s="544">
        <v>26698841.989999998</v>
      </c>
      <c r="G529" s="544">
        <v>25158601.16</v>
      </c>
      <c r="H529" s="544">
        <v>250483795.00999999</v>
      </c>
      <c r="I529" s="312">
        <v>248943554.18000001</v>
      </c>
      <c r="J529" s="517">
        <v>26698841.989999998</v>
      </c>
      <c r="K529" s="517">
        <v>25158601.16</v>
      </c>
      <c r="L529" s="517">
        <v>250483795.00999999</v>
      </c>
      <c r="M529" s="313">
        <v>250483795.00999999</v>
      </c>
      <c r="N529" s="313">
        <f t="shared" si="8"/>
        <v>0</v>
      </c>
      <c r="P529" s="322"/>
    </row>
    <row r="530" spans="3:16" ht="15" customHeight="1" x14ac:dyDescent="0.3">
      <c r="C530" s="545" t="s">
        <v>4773</v>
      </c>
      <c r="D530" s="320" t="s">
        <v>1603</v>
      </c>
      <c r="E530" s="544">
        <v>229521963.03</v>
      </c>
      <c r="F530" s="544">
        <v>26698841.989999998</v>
      </c>
      <c r="G530" s="544">
        <v>5737010.0099999998</v>
      </c>
      <c r="H530" s="544">
        <v>250483795.00999999</v>
      </c>
      <c r="I530" s="316">
        <v>229521963.03</v>
      </c>
      <c r="J530" s="518">
        <v>26698841.989999998</v>
      </c>
      <c r="K530" s="518">
        <v>5737010.0099999998</v>
      </c>
      <c r="L530" s="518">
        <v>250483795.00999999</v>
      </c>
      <c r="M530" s="317">
        <v>250483795.00999999</v>
      </c>
      <c r="N530" s="313">
        <f t="shared" si="8"/>
        <v>0</v>
      </c>
      <c r="P530" s="322">
        <v>22</v>
      </c>
    </row>
    <row r="531" spans="3:16" ht="15" customHeight="1" x14ac:dyDescent="0.3">
      <c r="C531" s="545" t="s">
        <v>4774</v>
      </c>
      <c r="D531" s="320" t="s">
        <v>1607</v>
      </c>
      <c r="E531" s="544">
        <v>19421591.149999999</v>
      </c>
      <c r="F531" s="544">
        <v>0</v>
      </c>
      <c r="G531" s="544">
        <v>19421591.149999999</v>
      </c>
      <c r="H531" s="544">
        <v>0</v>
      </c>
      <c r="I531" s="316">
        <v>19421591.149999999</v>
      </c>
      <c r="J531" s="518">
        <v>0</v>
      </c>
      <c r="K531" s="518">
        <v>19421591.149999999</v>
      </c>
      <c r="L531" s="518">
        <v>0</v>
      </c>
      <c r="M531" s="317">
        <v>0</v>
      </c>
      <c r="N531" s="313">
        <f t="shared" si="8"/>
        <v>0</v>
      </c>
      <c r="P531" s="322"/>
    </row>
    <row r="532" spans="3:16" ht="15" customHeight="1" x14ac:dyDescent="0.3">
      <c r="C532" s="543" t="s">
        <v>4775</v>
      </c>
      <c r="D532" s="319" t="s">
        <v>1610</v>
      </c>
      <c r="E532" s="544">
        <v>16516253.32</v>
      </c>
      <c r="F532" s="544">
        <v>0</v>
      </c>
      <c r="G532" s="544">
        <v>0</v>
      </c>
      <c r="H532" s="544">
        <v>16516253.32</v>
      </c>
      <c r="I532" s="312">
        <v>16516253.32</v>
      </c>
      <c r="J532" s="517">
        <v>0</v>
      </c>
      <c r="K532" s="517">
        <v>0</v>
      </c>
      <c r="L532" s="517">
        <v>16516253.32</v>
      </c>
      <c r="M532" s="313">
        <v>16516253.32</v>
      </c>
      <c r="N532" s="313">
        <f t="shared" si="8"/>
        <v>0</v>
      </c>
      <c r="P532" s="321">
        <v>20</v>
      </c>
    </row>
    <row r="533" spans="3:16" ht="15" customHeight="1" x14ac:dyDescent="0.3">
      <c r="C533" s="543" t="s">
        <v>4776</v>
      </c>
      <c r="D533" s="319" t="s">
        <v>1613</v>
      </c>
      <c r="E533" s="544">
        <v>16516253.32</v>
      </c>
      <c r="F533" s="544">
        <v>0</v>
      </c>
      <c r="G533" s="544">
        <v>0</v>
      </c>
      <c r="H533" s="544">
        <v>16516253.32</v>
      </c>
      <c r="I533" s="312">
        <v>16516253.32</v>
      </c>
      <c r="J533" s="517">
        <v>0</v>
      </c>
      <c r="K533" s="517">
        <v>0</v>
      </c>
      <c r="L533" s="517">
        <v>16516253.32</v>
      </c>
      <c r="M533" s="313">
        <v>16516253.32</v>
      </c>
      <c r="N533" s="313">
        <f t="shared" si="8"/>
        <v>0</v>
      </c>
      <c r="P533" s="302"/>
    </row>
    <row r="534" spans="3:16" ht="15" customHeight="1" x14ac:dyDescent="0.3">
      <c r="C534" s="545" t="s">
        <v>4777</v>
      </c>
      <c r="D534" s="320" t="s">
        <v>1616</v>
      </c>
      <c r="E534" s="544">
        <v>16516253.32</v>
      </c>
      <c r="F534" s="544">
        <v>0</v>
      </c>
      <c r="G534" s="544">
        <v>0</v>
      </c>
      <c r="H534" s="544">
        <v>16516253.32</v>
      </c>
      <c r="I534" s="316">
        <v>16516253.32</v>
      </c>
      <c r="J534" s="518">
        <v>0</v>
      </c>
      <c r="K534" s="518">
        <v>0</v>
      </c>
      <c r="L534" s="518">
        <v>16516253.32</v>
      </c>
      <c r="M534" s="317">
        <v>16516253.32</v>
      </c>
      <c r="N534" s="313">
        <f t="shared" si="8"/>
        <v>0</v>
      </c>
      <c r="P534" s="302"/>
    </row>
    <row r="535" spans="3:16" ht="15" customHeight="1" x14ac:dyDescent="0.3">
      <c r="C535" s="545"/>
      <c r="D535" s="320"/>
      <c r="E535" s="544"/>
      <c r="F535" s="544"/>
      <c r="G535" s="544"/>
      <c r="H535" s="544"/>
      <c r="I535" s="316"/>
      <c r="J535" s="554"/>
      <c r="K535" s="554"/>
      <c r="L535" s="518"/>
      <c r="M535" s="317"/>
      <c r="N535" s="313">
        <f t="shared" si="8"/>
        <v>0</v>
      </c>
      <c r="P535" s="302"/>
    </row>
    <row r="536" spans="3:16" ht="15" customHeight="1" x14ac:dyDescent="0.3">
      <c r="C536" s="545"/>
      <c r="D536" s="320"/>
      <c r="E536" s="544"/>
      <c r="F536" s="544"/>
      <c r="G536" s="544"/>
      <c r="H536" s="544"/>
      <c r="I536" s="316"/>
      <c r="J536" s="554"/>
      <c r="K536" s="554"/>
      <c r="L536" s="518"/>
      <c r="M536" s="317"/>
      <c r="N536" s="313">
        <f t="shared" si="8"/>
        <v>0</v>
      </c>
      <c r="P536" s="302"/>
    </row>
    <row r="537" spans="3:16" ht="15" customHeight="1" x14ac:dyDescent="0.3">
      <c r="C537" s="543">
        <v>3</v>
      </c>
      <c r="D537" s="319" t="s">
        <v>3567</v>
      </c>
      <c r="E537" s="544">
        <v>0</v>
      </c>
      <c r="F537" s="544">
        <v>59359605.420000002</v>
      </c>
      <c r="G537" s="544">
        <v>13282410.75</v>
      </c>
      <c r="H537" s="544">
        <v>46077194.670000002</v>
      </c>
      <c r="I537" s="312">
        <v>0</v>
      </c>
      <c r="J537" s="517">
        <v>59359605.420000002</v>
      </c>
      <c r="K537" s="517">
        <v>13282410.75</v>
      </c>
      <c r="L537" s="517">
        <v>46077194.670000002</v>
      </c>
      <c r="M537" s="313">
        <f>M538+M587</f>
        <v>51286773.569999993</v>
      </c>
      <c r="N537" s="313">
        <f t="shared" si="8"/>
        <v>-5209578.8999999911</v>
      </c>
      <c r="P537" s="321"/>
    </row>
    <row r="538" spans="3:16" ht="15" customHeight="1" x14ac:dyDescent="0.3">
      <c r="C538" s="543" t="s">
        <v>4778</v>
      </c>
      <c r="D538" s="319" t="s">
        <v>3568</v>
      </c>
      <c r="E538" s="544">
        <v>0</v>
      </c>
      <c r="F538" s="544">
        <v>8994819.3100000005</v>
      </c>
      <c r="G538" s="544">
        <v>2061780.41</v>
      </c>
      <c r="H538" s="544">
        <v>6933038.9000000004</v>
      </c>
      <c r="I538" s="312">
        <v>0</v>
      </c>
      <c r="J538" s="517">
        <v>8994819.3100000005</v>
      </c>
      <c r="K538" s="517">
        <v>2061780.41</v>
      </c>
      <c r="L538" s="517">
        <v>6933038.9000000004</v>
      </c>
      <c r="M538" s="313">
        <f>M539+M543+M558</f>
        <v>15983950.66</v>
      </c>
      <c r="N538" s="313">
        <f t="shared" si="8"/>
        <v>-9050911.7599999998</v>
      </c>
      <c r="P538" s="322" t="s">
        <v>3569</v>
      </c>
    </row>
    <row r="539" spans="3:16" ht="15" customHeight="1" x14ac:dyDescent="0.3">
      <c r="C539" s="543" t="s">
        <v>4779</v>
      </c>
      <c r="D539" s="319" t="s">
        <v>3570</v>
      </c>
      <c r="E539" s="544">
        <v>0</v>
      </c>
      <c r="F539" s="544">
        <v>4135338.34</v>
      </c>
      <c r="G539" s="544">
        <v>52773.91</v>
      </c>
      <c r="H539" s="544">
        <v>4082564.43</v>
      </c>
      <c r="I539" s="312">
        <v>0</v>
      </c>
      <c r="J539" s="517">
        <v>4135338.34</v>
      </c>
      <c r="K539" s="517">
        <v>52773.91</v>
      </c>
      <c r="L539" s="517">
        <v>4082564.43</v>
      </c>
      <c r="M539" s="313">
        <v>4082564.43</v>
      </c>
      <c r="N539" s="313">
        <f t="shared" si="8"/>
        <v>0</v>
      </c>
      <c r="P539" s="302"/>
    </row>
    <row r="540" spans="3:16" ht="15" customHeight="1" x14ac:dyDescent="0.3">
      <c r="C540" s="543" t="s">
        <v>4780</v>
      </c>
      <c r="D540" s="319" t="s">
        <v>3571</v>
      </c>
      <c r="E540" s="544">
        <v>0</v>
      </c>
      <c r="F540" s="544">
        <v>4135338.34</v>
      </c>
      <c r="G540" s="544">
        <v>52773.91</v>
      </c>
      <c r="H540" s="544">
        <v>4082564.43</v>
      </c>
      <c r="I540" s="312">
        <v>0</v>
      </c>
      <c r="J540" s="517">
        <v>4135338.34</v>
      </c>
      <c r="K540" s="517">
        <v>52773.91</v>
      </c>
      <c r="L540" s="517">
        <v>4082564.43</v>
      </c>
      <c r="M540" s="640">
        <v>4082564.43</v>
      </c>
      <c r="N540" s="313">
        <f t="shared" si="8"/>
        <v>0</v>
      </c>
      <c r="O540" s="603"/>
      <c r="P540" s="302"/>
    </row>
    <row r="541" spans="3:16" ht="15" customHeight="1" x14ac:dyDescent="0.3">
      <c r="C541" s="545" t="s">
        <v>4781</v>
      </c>
      <c r="D541" s="320" t="s">
        <v>3572</v>
      </c>
      <c r="E541" s="544">
        <v>0</v>
      </c>
      <c r="F541" s="544">
        <v>4130588.51</v>
      </c>
      <c r="G541" s="544">
        <v>13832</v>
      </c>
      <c r="H541" s="544">
        <v>4116756.51</v>
      </c>
      <c r="I541" s="316">
        <v>0</v>
      </c>
      <c r="J541" s="518">
        <v>4130588.51</v>
      </c>
      <c r="K541" s="518">
        <v>13832</v>
      </c>
      <c r="L541" s="518">
        <v>4116756.51</v>
      </c>
      <c r="M541" s="317">
        <v>4116756.51</v>
      </c>
      <c r="N541" s="313">
        <f t="shared" si="8"/>
        <v>0</v>
      </c>
      <c r="P541" s="302"/>
    </row>
    <row r="542" spans="3:16" ht="15" customHeight="1" x14ac:dyDescent="0.3">
      <c r="C542" s="545" t="s">
        <v>4782</v>
      </c>
      <c r="D542" s="320" t="s">
        <v>3573</v>
      </c>
      <c r="E542" s="544">
        <v>0</v>
      </c>
      <c r="F542" s="544">
        <v>4749.83</v>
      </c>
      <c r="G542" s="544">
        <v>38941.910000000003</v>
      </c>
      <c r="H542" s="544">
        <v>-34192.080000000002</v>
      </c>
      <c r="I542" s="316">
        <v>0</v>
      </c>
      <c r="J542" s="518">
        <v>4749.83</v>
      </c>
      <c r="K542" s="518">
        <v>38941.910000000003</v>
      </c>
      <c r="L542" s="518">
        <v>-34192.080000000002</v>
      </c>
      <c r="M542" s="317">
        <v>-34192.080000000002</v>
      </c>
      <c r="N542" s="313">
        <f t="shared" si="8"/>
        <v>0</v>
      </c>
      <c r="P542" s="302"/>
    </row>
    <row r="543" spans="3:16" ht="15" customHeight="1" x14ac:dyDescent="0.3">
      <c r="C543" s="543" t="s">
        <v>4783</v>
      </c>
      <c r="D543" s="319" t="s">
        <v>1638</v>
      </c>
      <c r="E543" s="544">
        <v>0</v>
      </c>
      <c r="F543" s="544">
        <v>2866476.67</v>
      </c>
      <c r="G543" s="544">
        <v>307145.53999999998</v>
      </c>
      <c r="H543" s="544">
        <v>2559331.13</v>
      </c>
      <c r="I543" s="312">
        <v>0</v>
      </c>
      <c r="J543" s="517">
        <v>2866476.67</v>
      </c>
      <c r="K543" s="517">
        <v>307145.53999999998</v>
      </c>
      <c r="L543" s="517">
        <v>2559331.13</v>
      </c>
      <c r="M543" s="640">
        <f>M544+M548</f>
        <v>2554046.56</v>
      </c>
      <c r="N543" s="313">
        <f t="shared" si="8"/>
        <v>5284.5699999998324</v>
      </c>
      <c r="P543" s="302"/>
    </row>
    <row r="544" spans="3:16" ht="15" customHeight="1" x14ac:dyDescent="0.3">
      <c r="C544" s="543" t="s">
        <v>4784</v>
      </c>
      <c r="D544" s="319" t="s">
        <v>3574</v>
      </c>
      <c r="E544" s="544">
        <v>0</v>
      </c>
      <c r="F544" s="544">
        <v>357347.9</v>
      </c>
      <c r="G544" s="544">
        <v>0.95</v>
      </c>
      <c r="H544" s="544">
        <v>357346.95</v>
      </c>
      <c r="I544" s="312">
        <v>0</v>
      </c>
      <c r="J544" s="517">
        <v>357347.9</v>
      </c>
      <c r="K544" s="517">
        <v>0.95</v>
      </c>
      <c r="L544" s="517">
        <v>357346.95</v>
      </c>
      <c r="M544" s="313">
        <v>357346.95</v>
      </c>
      <c r="N544" s="313">
        <f t="shared" si="8"/>
        <v>0</v>
      </c>
      <c r="P544" s="322"/>
    </row>
    <row r="545" spans="3:16" ht="15" customHeight="1" x14ac:dyDescent="0.3">
      <c r="C545" s="545" t="s">
        <v>4785</v>
      </c>
      <c r="D545" s="320" t="s">
        <v>3575</v>
      </c>
      <c r="E545" s="544">
        <v>0</v>
      </c>
      <c r="F545" s="544">
        <v>550.4</v>
      </c>
      <c r="G545" s="544">
        <v>0</v>
      </c>
      <c r="H545" s="544">
        <v>550.4</v>
      </c>
      <c r="I545" s="316">
        <v>0</v>
      </c>
      <c r="J545" s="518">
        <v>550.4</v>
      </c>
      <c r="K545" s="518">
        <v>0</v>
      </c>
      <c r="L545" s="518">
        <v>550.4</v>
      </c>
      <c r="M545" s="317">
        <v>550.4</v>
      </c>
      <c r="N545" s="313">
        <f t="shared" si="8"/>
        <v>0</v>
      </c>
      <c r="P545" s="322"/>
    </row>
    <row r="546" spans="3:16" ht="15" customHeight="1" x14ac:dyDescent="0.3">
      <c r="C546" s="545" t="s">
        <v>4786</v>
      </c>
      <c r="D546" s="320" t="s">
        <v>3576</v>
      </c>
      <c r="E546" s="544">
        <v>0</v>
      </c>
      <c r="F546" s="544">
        <v>260980.64</v>
      </c>
      <c r="G546" s="544">
        <v>0.95</v>
      </c>
      <c r="H546" s="544">
        <v>260979.69</v>
      </c>
      <c r="I546" s="316">
        <v>0</v>
      </c>
      <c r="J546" s="518">
        <v>260980.64</v>
      </c>
      <c r="K546" s="518">
        <v>0.95</v>
      </c>
      <c r="L546" s="518">
        <v>260979.69</v>
      </c>
      <c r="M546" s="317">
        <v>260979.69</v>
      </c>
      <c r="N546" s="313">
        <f t="shared" si="8"/>
        <v>0</v>
      </c>
      <c r="P546" s="302"/>
    </row>
    <row r="547" spans="3:16" ht="15" customHeight="1" x14ac:dyDescent="0.3">
      <c r="C547" s="545" t="s">
        <v>4787</v>
      </c>
      <c r="D547" s="320" t="s">
        <v>3577</v>
      </c>
      <c r="E547" s="544">
        <v>0</v>
      </c>
      <c r="F547" s="544">
        <v>95816.86</v>
      </c>
      <c r="G547" s="544">
        <v>0</v>
      </c>
      <c r="H547" s="544">
        <v>95816.86</v>
      </c>
      <c r="I547" s="316">
        <v>0</v>
      </c>
      <c r="J547" s="518">
        <v>95816.86</v>
      </c>
      <c r="K547" s="518">
        <v>0</v>
      </c>
      <c r="L547" s="518">
        <v>95816.86</v>
      </c>
      <c r="M547" s="317">
        <v>95816.86</v>
      </c>
      <c r="N547" s="313">
        <f t="shared" si="8"/>
        <v>0</v>
      </c>
      <c r="P547" s="302"/>
    </row>
    <row r="548" spans="3:16" ht="15" customHeight="1" x14ac:dyDescent="0.3">
      <c r="C548" s="543" t="s">
        <v>4788</v>
      </c>
      <c r="D548" s="319" t="s">
        <v>1646</v>
      </c>
      <c r="E548" s="544">
        <v>0</v>
      </c>
      <c r="F548" s="544">
        <v>2509128.77</v>
      </c>
      <c r="G548" s="544">
        <v>307144.59000000003</v>
      </c>
      <c r="H548" s="544">
        <v>2201984.1800000002</v>
      </c>
      <c r="I548" s="312">
        <v>0</v>
      </c>
      <c r="J548" s="517">
        <v>2509128.77</v>
      </c>
      <c r="K548" s="517">
        <v>307144.59000000003</v>
      </c>
      <c r="L548" s="517">
        <v>2201984.1800000002</v>
      </c>
      <c r="M548" s="313">
        <f>SUM(M549:M557)</f>
        <v>2196699.61</v>
      </c>
      <c r="N548" s="313">
        <f t="shared" si="8"/>
        <v>5284.570000000298</v>
      </c>
      <c r="P548" s="302"/>
    </row>
    <row r="549" spans="3:16" ht="15" customHeight="1" x14ac:dyDescent="0.3">
      <c r="C549" s="545" t="s">
        <v>4789</v>
      </c>
      <c r="D549" s="320" t="s">
        <v>3579</v>
      </c>
      <c r="E549" s="544">
        <v>0</v>
      </c>
      <c r="F549" s="544">
        <v>1800</v>
      </c>
      <c r="G549" s="544">
        <v>0</v>
      </c>
      <c r="H549" s="544">
        <v>1800</v>
      </c>
      <c r="I549" s="316">
        <v>0</v>
      </c>
      <c r="J549" s="518">
        <v>1800</v>
      </c>
      <c r="K549" s="518">
        <v>0</v>
      </c>
      <c r="L549" s="518">
        <v>1800</v>
      </c>
      <c r="M549" s="317">
        <v>1800</v>
      </c>
      <c r="N549" s="313">
        <f t="shared" si="8"/>
        <v>0</v>
      </c>
      <c r="P549" s="302"/>
    </row>
    <row r="550" spans="3:16" ht="15" customHeight="1" x14ac:dyDescent="0.3">
      <c r="C550" s="545" t="s">
        <v>4790</v>
      </c>
      <c r="D550" s="320" t="s">
        <v>3580</v>
      </c>
      <c r="E550" s="544">
        <v>0</v>
      </c>
      <c r="F550" s="544">
        <v>33947.82</v>
      </c>
      <c r="G550" s="544">
        <v>0</v>
      </c>
      <c r="H550" s="544">
        <v>33947.82</v>
      </c>
      <c r="I550" s="316">
        <v>0</v>
      </c>
      <c r="J550" s="518">
        <v>33947.82</v>
      </c>
      <c r="K550" s="518">
        <v>0</v>
      </c>
      <c r="L550" s="518">
        <v>33947.82</v>
      </c>
      <c r="M550" s="317">
        <v>33947.82</v>
      </c>
      <c r="N550" s="313">
        <f t="shared" si="8"/>
        <v>0</v>
      </c>
      <c r="P550" s="302"/>
    </row>
    <row r="551" spans="3:16" ht="15" customHeight="1" x14ac:dyDescent="0.3">
      <c r="C551" s="545" t="s">
        <v>4791</v>
      </c>
      <c r="D551" s="320" t="s">
        <v>3581</v>
      </c>
      <c r="E551" s="544"/>
      <c r="F551" s="544"/>
      <c r="G551" s="544"/>
      <c r="H551" s="544"/>
      <c r="I551" s="316"/>
      <c r="J551" s="518"/>
      <c r="K551" s="518"/>
      <c r="L551" s="518"/>
      <c r="N551" s="313">
        <f t="shared" si="8"/>
        <v>0</v>
      </c>
      <c r="P551" s="302"/>
    </row>
    <row r="552" spans="3:16" ht="15" customHeight="1" x14ac:dyDescent="0.3">
      <c r="C552" s="545" t="s">
        <v>4792</v>
      </c>
      <c r="D552" s="320" t="s">
        <v>1654</v>
      </c>
      <c r="E552" s="544">
        <v>0</v>
      </c>
      <c r="F552" s="544">
        <v>492907.93</v>
      </c>
      <c r="G552" s="544">
        <v>306694.59000000003</v>
      </c>
      <c r="H552" s="544">
        <v>186213.34</v>
      </c>
      <c r="I552" s="316">
        <v>0</v>
      </c>
      <c r="J552" s="518">
        <v>492907.93</v>
      </c>
      <c r="K552" s="518">
        <v>306694.59000000003</v>
      </c>
      <c r="L552" s="518">
        <v>186213.34</v>
      </c>
      <c r="M552" s="317">
        <v>186213.34</v>
      </c>
      <c r="N552" s="313">
        <f t="shared" si="8"/>
        <v>0</v>
      </c>
      <c r="P552" s="302"/>
    </row>
    <row r="553" spans="3:16" ht="15" customHeight="1" x14ac:dyDescent="0.3">
      <c r="C553" s="545" t="s">
        <v>4793</v>
      </c>
      <c r="D553" s="320" t="s">
        <v>1656</v>
      </c>
      <c r="E553" s="544">
        <v>0</v>
      </c>
      <c r="F553" s="544">
        <v>41005.910000000003</v>
      </c>
      <c r="G553" s="544">
        <v>0</v>
      </c>
      <c r="H553" s="544">
        <v>41005.910000000003</v>
      </c>
      <c r="I553" s="316">
        <v>0</v>
      </c>
      <c r="J553" s="518">
        <v>41005.910000000003</v>
      </c>
      <c r="K553" s="518">
        <v>0</v>
      </c>
      <c r="L553" s="518">
        <v>41005.910000000003</v>
      </c>
      <c r="M553" s="317">
        <v>41005.910000000003</v>
      </c>
      <c r="N553" s="313">
        <f t="shared" si="8"/>
        <v>0</v>
      </c>
      <c r="P553" s="302"/>
    </row>
    <row r="554" spans="3:16" ht="15" customHeight="1" x14ac:dyDescent="0.3">
      <c r="C554" s="545" t="s">
        <v>4794</v>
      </c>
      <c r="D554" s="320" t="s">
        <v>3582</v>
      </c>
      <c r="E554" s="544">
        <v>0</v>
      </c>
      <c r="F554" s="544">
        <v>22588.74</v>
      </c>
      <c r="G554" s="544">
        <v>450</v>
      </c>
      <c r="H554" s="544">
        <v>22138.74</v>
      </c>
      <c r="I554" s="316">
        <v>0</v>
      </c>
      <c r="J554" s="518">
        <v>22588.74</v>
      </c>
      <c r="K554" s="518">
        <v>450</v>
      </c>
      <c r="L554" s="518">
        <v>22138.74</v>
      </c>
      <c r="M554" s="317">
        <v>22138.74</v>
      </c>
      <c r="N554" s="313">
        <f t="shared" si="8"/>
        <v>0</v>
      </c>
      <c r="P554" s="302"/>
    </row>
    <row r="555" spans="3:16" ht="15" customHeight="1" x14ac:dyDescent="0.3">
      <c r="C555" s="545" t="s">
        <v>4795</v>
      </c>
      <c r="D555" s="320" t="s">
        <v>1665</v>
      </c>
      <c r="E555" s="544">
        <v>0</v>
      </c>
      <c r="F555" s="544">
        <v>1916789.59</v>
      </c>
      <c r="G555" s="544">
        <v>0</v>
      </c>
      <c r="H555" s="544">
        <v>1916789.59</v>
      </c>
      <c r="I555" s="316">
        <v>0</v>
      </c>
      <c r="J555" s="518">
        <v>1916789.59</v>
      </c>
      <c r="K555" s="518">
        <v>0</v>
      </c>
      <c r="L555" s="518">
        <v>1916789.59</v>
      </c>
      <c r="M555" s="555">
        <f>L555-K556</f>
        <v>1911505.02</v>
      </c>
      <c r="N555" s="313">
        <f t="shared" si="8"/>
        <v>5284.5700000000652</v>
      </c>
      <c r="P555" s="302"/>
    </row>
    <row r="556" spans="3:16" ht="15" customHeight="1" x14ac:dyDescent="0.3">
      <c r="C556" s="545"/>
      <c r="D556" s="320"/>
      <c r="E556" s="544"/>
      <c r="F556" s="544"/>
      <c r="G556" s="544"/>
      <c r="H556" s="544"/>
      <c r="I556" s="316"/>
      <c r="J556" s="518"/>
      <c r="K556" s="555">
        <v>5284.57</v>
      </c>
      <c r="L556" s="518"/>
      <c r="M556" s="317"/>
      <c r="N556" s="313">
        <f t="shared" si="8"/>
        <v>0</v>
      </c>
      <c r="P556" s="302"/>
    </row>
    <row r="557" spans="3:16" ht="15" customHeight="1" x14ac:dyDescent="0.3">
      <c r="C557" s="545" t="s">
        <v>4796</v>
      </c>
      <c r="D557" s="320" t="s">
        <v>3584</v>
      </c>
      <c r="E557" s="544">
        <v>0</v>
      </c>
      <c r="F557" s="544">
        <v>88.78</v>
      </c>
      <c r="G557" s="544">
        <v>0</v>
      </c>
      <c r="H557" s="544">
        <v>88.78</v>
      </c>
      <c r="I557" s="316">
        <v>0</v>
      </c>
      <c r="J557" s="518">
        <v>88.78</v>
      </c>
      <c r="K557" s="518">
        <v>0</v>
      </c>
      <c r="L557" s="518">
        <v>88.78</v>
      </c>
      <c r="M557" s="317">
        <v>88.78</v>
      </c>
      <c r="N557" s="313">
        <f t="shared" si="8"/>
        <v>0</v>
      </c>
      <c r="P557" s="302"/>
    </row>
    <row r="558" spans="3:16" ht="15" customHeight="1" x14ac:dyDescent="0.3">
      <c r="C558" s="543" t="s">
        <v>4797</v>
      </c>
      <c r="D558" s="319" t="s">
        <v>1667</v>
      </c>
      <c r="E558" s="544">
        <v>0</v>
      </c>
      <c r="F558" s="544">
        <v>1993004.3</v>
      </c>
      <c r="G558" s="544">
        <v>1701860.96</v>
      </c>
      <c r="H558" s="544">
        <v>291143.34000000003</v>
      </c>
      <c r="I558" s="312">
        <v>0</v>
      </c>
      <c r="J558" s="517">
        <v>1993004.3</v>
      </c>
      <c r="K558" s="517">
        <v>1701860.96</v>
      </c>
      <c r="L558" s="517">
        <v>291143.34000000003</v>
      </c>
      <c r="M558" s="640">
        <f>M559+M561+M569+M583</f>
        <v>9347339.6699999999</v>
      </c>
      <c r="N558" s="313">
        <f t="shared" si="8"/>
        <v>-9056196.3300000001</v>
      </c>
      <c r="P558" s="302"/>
    </row>
    <row r="559" spans="3:16" ht="15" customHeight="1" x14ac:dyDescent="0.3">
      <c r="C559" s="543" t="s">
        <v>4798</v>
      </c>
      <c r="D559" s="319" t="s">
        <v>3585</v>
      </c>
      <c r="E559" s="544">
        <v>0</v>
      </c>
      <c r="F559" s="544">
        <v>4980</v>
      </c>
      <c r="G559" s="544">
        <v>0</v>
      </c>
      <c r="H559" s="544">
        <v>4980</v>
      </c>
      <c r="I559" s="312">
        <v>0</v>
      </c>
      <c r="J559" s="517">
        <v>4980</v>
      </c>
      <c r="K559" s="517">
        <v>0</v>
      </c>
      <c r="L559" s="517">
        <v>4980</v>
      </c>
      <c r="M559" s="313">
        <v>4980</v>
      </c>
      <c r="N559" s="313">
        <f t="shared" si="8"/>
        <v>0</v>
      </c>
      <c r="P559" s="302"/>
    </row>
    <row r="560" spans="3:16" ht="15" customHeight="1" x14ac:dyDescent="0.3">
      <c r="C560" s="545" t="s">
        <v>4799</v>
      </c>
      <c r="D560" s="320" t="s">
        <v>3586</v>
      </c>
      <c r="E560" s="544">
        <v>0</v>
      </c>
      <c r="F560" s="544">
        <v>4980</v>
      </c>
      <c r="G560" s="544">
        <v>0</v>
      </c>
      <c r="H560" s="544">
        <v>4980</v>
      </c>
      <c r="I560" s="316">
        <v>0</v>
      </c>
      <c r="J560" s="518">
        <v>4980</v>
      </c>
      <c r="K560" s="518">
        <v>0</v>
      </c>
      <c r="L560" s="518">
        <v>4980</v>
      </c>
      <c r="M560" s="317">
        <v>4980</v>
      </c>
      <c r="N560" s="313">
        <f t="shared" si="8"/>
        <v>0</v>
      </c>
      <c r="P560" s="302"/>
    </row>
    <row r="561" spans="3:19" ht="15" customHeight="1" x14ac:dyDescent="0.3">
      <c r="C561" s="543" t="s">
        <v>4800</v>
      </c>
      <c r="D561" s="319" t="s">
        <v>2301</v>
      </c>
      <c r="E561" s="544">
        <v>0</v>
      </c>
      <c r="F561" s="544">
        <v>78501.38</v>
      </c>
      <c r="G561" s="544">
        <v>0</v>
      </c>
      <c r="H561" s="544">
        <v>78501.38</v>
      </c>
      <c r="I561" s="312">
        <v>0</v>
      </c>
      <c r="J561" s="517">
        <v>78501.38</v>
      </c>
      <c r="K561" s="517">
        <v>0</v>
      </c>
      <c r="L561" s="517">
        <v>78501.38</v>
      </c>
      <c r="M561" s="313">
        <v>78501.38</v>
      </c>
      <c r="N561" s="313">
        <f t="shared" si="8"/>
        <v>0</v>
      </c>
      <c r="P561" s="302"/>
    </row>
    <row r="562" spans="3:19" ht="15" customHeight="1" x14ac:dyDescent="0.3">
      <c r="C562" s="545" t="s">
        <v>4801</v>
      </c>
      <c r="D562" s="320" t="s">
        <v>3587</v>
      </c>
      <c r="E562" s="544"/>
      <c r="F562" s="544"/>
      <c r="G562" s="544"/>
      <c r="H562" s="544"/>
      <c r="I562" s="316"/>
      <c r="J562" s="518"/>
      <c r="K562" s="518"/>
      <c r="L562" s="518"/>
      <c r="M562" s="317"/>
      <c r="N562" s="313">
        <f t="shared" si="8"/>
        <v>0</v>
      </c>
      <c r="P562" s="302"/>
    </row>
    <row r="563" spans="3:19" ht="15" customHeight="1" x14ac:dyDescent="0.3">
      <c r="C563" s="545" t="s">
        <v>4802</v>
      </c>
      <c r="D563" s="320" t="s">
        <v>3588</v>
      </c>
      <c r="E563" s="544">
        <v>0</v>
      </c>
      <c r="F563" s="544">
        <v>2333.0700000000002</v>
      </c>
      <c r="G563" s="544">
        <v>0</v>
      </c>
      <c r="H563" s="544">
        <v>2333.0700000000002</v>
      </c>
      <c r="I563" s="316">
        <v>0</v>
      </c>
      <c r="J563" s="518">
        <v>2333.0700000000002</v>
      </c>
      <c r="K563" s="518">
        <v>0</v>
      </c>
      <c r="L563" s="518">
        <v>2333.0700000000002</v>
      </c>
      <c r="M563" s="317">
        <v>2333.0700000000002</v>
      </c>
      <c r="N563" s="313">
        <f t="shared" si="8"/>
        <v>0</v>
      </c>
      <c r="P563" s="302"/>
    </row>
    <row r="564" spans="3:19" ht="15" customHeight="1" x14ac:dyDescent="0.3">
      <c r="C564" s="545" t="s">
        <v>4803</v>
      </c>
      <c r="D564" s="320" t="s">
        <v>3589</v>
      </c>
      <c r="E564" s="544">
        <v>0</v>
      </c>
      <c r="F564" s="544">
        <v>285</v>
      </c>
      <c r="G564" s="544">
        <v>0</v>
      </c>
      <c r="H564" s="544">
        <v>285</v>
      </c>
      <c r="I564" s="316">
        <v>0</v>
      </c>
      <c r="J564" s="518">
        <v>285</v>
      </c>
      <c r="K564" s="518">
        <v>0</v>
      </c>
      <c r="L564" s="518">
        <v>285</v>
      </c>
      <c r="M564" s="317">
        <v>285</v>
      </c>
      <c r="N564" s="313">
        <f t="shared" si="8"/>
        <v>0</v>
      </c>
      <c r="P564" s="302"/>
    </row>
    <row r="565" spans="3:19" ht="15" customHeight="1" x14ac:dyDescent="0.3">
      <c r="C565" s="545" t="s">
        <v>4804</v>
      </c>
      <c r="D565" s="320" t="s">
        <v>3590</v>
      </c>
      <c r="E565" s="544">
        <v>0</v>
      </c>
      <c r="F565" s="544">
        <v>6040</v>
      </c>
      <c r="G565" s="544">
        <v>0</v>
      </c>
      <c r="H565" s="544">
        <v>6040</v>
      </c>
      <c r="I565" s="316">
        <v>0</v>
      </c>
      <c r="J565" s="518">
        <v>6040</v>
      </c>
      <c r="K565" s="518">
        <v>0</v>
      </c>
      <c r="L565" s="518">
        <v>6040</v>
      </c>
      <c r="M565" s="317">
        <v>6040</v>
      </c>
      <c r="N565" s="313">
        <f t="shared" si="8"/>
        <v>0</v>
      </c>
      <c r="P565" s="302"/>
    </row>
    <row r="566" spans="3:19" ht="15" customHeight="1" x14ac:dyDescent="0.3">
      <c r="C566" s="545" t="s">
        <v>4805</v>
      </c>
      <c r="D566" s="320" t="s">
        <v>3591</v>
      </c>
      <c r="E566" s="544">
        <v>0</v>
      </c>
      <c r="F566" s="544">
        <v>50658.87</v>
      </c>
      <c r="G566" s="544">
        <v>0</v>
      </c>
      <c r="H566" s="544">
        <v>50658.87</v>
      </c>
      <c r="I566" s="316">
        <v>0</v>
      </c>
      <c r="J566" s="518">
        <v>50658.87</v>
      </c>
      <c r="K566" s="518">
        <v>0</v>
      </c>
      <c r="L566" s="518">
        <v>50658.87</v>
      </c>
      <c r="M566" s="317">
        <v>50658.87</v>
      </c>
      <c r="N566" s="313">
        <f t="shared" si="8"/>
        <v>0</v>
      </c>
      <c r="P566" s="302"/>
    </row>
    <row r="567" spans="3:19" ht="15" customHeight="1" x14ac:dyDescent="0.3">
      <c r="C567" s="545" t="s">
        <v>4952</v>
      </c>
      <c r="D567" s="320" t="s">
        <v>3592</v>
      </c>
      <c r="E567" s="544">
        <v>0</v>
      </c>
      <c r="F567" s="544">
        <v>2352.63</v>
      </c>
      <c r="G567" s="544">
        <v>0</v>
      </c>
      <c r="H567" s="544">
        <v>2352.63</v>
      </c>
      <c r="I567" s="316">
        <v>0</v>
      </c>
      <c r="J567" s="518">
        <v>2352.63</v>
      </c>
      <c r="K567" s="518">
        <v>0</v>
      </c>
      <c r="L567" s="518">
        <v>2352.63</v>
      </c>
      <c r="M567" s="317">
        <v>2352.63</v>
      </c>
      <c r="N567" s="313">
        <f t="shared" si="8"/>
        <v>0</v>
      </c>
      <c r="P567" s="302"/>
    </row>
    <row r="568" spans="3:19" ht="15" customHeight="1" x14ac:dyDescent="0.3">
      <c r="C568" s="545" t="s">
        <v>4806</v>
      </c>
      <c r="D568" s="320" t="s">
        <v>3593</v>
      </c>
      <c r="E568" s="544">
        <v>0</v>
      </c>
      <c r="F568" s="544">
        <v>16831.810000000001</v>
      </c>
      <c r="G568" s="544">
        <v>0</v>
      </c>
      <c r="H568" s="544">
        <v>16831.810000000001</v>
      </c>
      <c r="I568" s="316">
        <v>0</v>
      </c>
      <c r="J568" s="518">
        <v>16831.810000000001</v>
      </c>
      <c r="K568" s="518">
        <v>0</v>
      </c>
      <c r="L568" s="518">
        <v>16831.810000000001</v>
      </c>
      <c r="M568" s="317">
        <v>16831.810000000001</v>
      </c>
      <c r="N568" s="313">
        <f t="shared" si="8"/>
        <v>0</v>
      </c>
      <c r="P568" s="302"/>
    </row>
    <row r="569" spans="3:19" ht="15" customHeight="1" x14ac:dyDescent="0.3">
      <c r="C569" s="543" t="s">
        <v>4807</v>
      </c>
      <c r="D569" s="319" t="s">
        <v>3594</v>
      </c>
      <c r="E569" s="544">
        <v>0</v>
      </c>
      <c r="F569" s="544">
        <v>118352.96000000001</v>
      </c>
      <c r="G569" s="544">
        <v>0</v>
      </c>
      <c r="H569" s="544">
        <v>118352.96000000001</v>
      </c>
      <c r="I569" s="312">
        <v>0</v>
      </c>
      <c r="J569" s="517">
        <v>118352.96000000001</v>
      </c>
      <c r="K569" s="517">
        <v>0</v>
      </c>
      <c r="L569" s="517">
        <v>118352.96000000001</v>
      </c>
      <c r="M569" s="313">
        <f>SUM(M570:M582)</f>
        <v>9174549.2899999991</v>
      </c>
      <c r="N569" s="313">
        <f t="shared" si="8"/>
        <v>-9056196.3299999982</v>
      </c>
      <c r="P569" s="302"/>
    </row>
    <row r="570" spans="3:19" ht="15" customHeight="1" x14ac:dyDescent="0.3">
      <c r="C570" s="545" t="s">
        <v>4808</v>
      </c>
      <c r="D570" s="320" t="s">
        <v>3595</v>
      </c>
      <c r="E570" s="544">
        <v>0</v>
      </c>
      <c r="F570" s="544">
        <v>118204.95</v>
      </c>
      <c r="G570" s="544">
        <v>0</v>
      </c>
      <c r="H570" s="544">
        <v>118204.95</v>
      </c>
      <c r="I570" s="316">
        <v>0</v>
      </c>
      <c r="J570" s="518">
        <v>118204.95</v>
      </c>
      <c r="K570" s="518">
        <v>0</v>
      </c>
      <c r="L570" s="518">
        <v>118204.95</v>
      </c>
      <c r="M570" s="317">
        <v>118204.95</v>
      </c>
      <c r="N570" s="313">
        <f t="shared" si="8"/>
        <v>0</v>
      </c>
      <c r="P570" s="302"/>
    </row>
    <row r="571" spans="3:19" s="525" customFormat="1" ht="14.4" x14ac:dyDescent="0.3">
      <c r="C571" s="550" t="s">
        <v>4809</v>
      </c>
      <c r="D571" s="551" t="s">
        <v>1678</v>
      </c>
      <c r="E571" s="544">
        <v>0</v>
      </c>
      <c r="F571" s="544">
        <v>148.01</v>
      </c>
      <c r="G571" s="544">
        <v>0</v>
      </c>
      <c r="H571" s="544">
        <v>148.01</v>
      </c>
      <c r="I571" s="316">
        <v>0</v>
      </c>
      <c r="J571" s="518">
        <v>148.01</v>
      </c>
      <c r="K571" s="518">
        <v>0</v>
      </c>
      <c r="L571" s="518">
        <v>148.01</v>
      </c>
      <c r="M571" s="317">
        <v>148.01</v>
      </c>
      <c r="N571" s="313">
        <f t="shared" si="8"/>
        <v>0</v>
      </c>
      <c r="P571" s="322"/>
      <c r="R571" s="519"/>
      <c r="S571" s="519"/>
    </row>
    <row r="572" spans="3:19" s="525" customFormat="1" ht="14.4" x14ac:dyDescent="0.3">
      <c r="C572" s="550" t="s">
        <v>4810</v>
      </c>
      <c r="D572" s="551" t="s">
        <v>1681</v>
      </c>
      <c r="E572" s="544"/>
      <c r="F572" s="544"/>
      <c r="G572" s="544"/>
      <c r="H572" s="544"/>
      <c r="I572" s="316">
        <v>0</v>
      </c>
      <c r="J572" s="518">
        <v>0</v>
      </c>
      <c r="K572" s="518">
        <v>0</v>
      </c>
      <c r="L572" s="518">
        <v>0</v>
      </c>
      <c r="M572" s="555">
        <f>J573+J574+J575+J576+J577+J578</f>
        <v>9056196.3299999982</v>
      </c>
      <c r="N572" s="313">
        <f t="shared" si="8"/>
        <v>-9056196.3299999982</v>
      </c>
      <c r="P572" s="322"/>
      <c r="R572" s="519"/>
      <c r="S572" s="519"/>
    </row>
    <row r="573" spans="3:19" s="525" customFormat="1" ht="14.4" x14ac:dyDescent="0.3">
      <c r="C573" s="550"/>
      <c r="D573" s="551"/>
      <c r="E573" s="544"/>
      <c r="F573" s="544"/>
      <c r="G573" s="544"/>
      <c r="H573" s="544"/>
      <c r="I573" s="589">
        <v>45293</v>
      </c>
      <c r="J573" s="557">
        <v>5829400.5199999996</v>
      </c>
      <c r="K573" s="518"/>
      <c r="L573" s="518"/>
      <c r="M573" s="317"/>
      <c r="N573" s="313">
        <f t="shared" si="8"/>
        <v>0</v>
      </c>
      <c r="P573" s="322"/>
      <c r="R573" s="519"/>
      <c r="S573" s="519"/>
    </row>
    <row r="574" spans="3:19" s="525" customFormat="1" ht="14.4" x14ac:dyDescent="0.3">
      <c r="C574" s="550"/>
      <c r="D574" s="551"/>
      <c r="E574" s="544"/>
      <c r="F574" s="544"/>
      <c r="G574" s="544"/>
      <c r="H574" s="544"/>
      <c r="I574" s="589">
        <v>45293</v>
      </c>
      <c r="J574" s="557">
        <v>1258574.21</v>
      </c>
      <c r="K574" s="518"/>
      <c r="L574" s="518"/>
      <c r="M574" s="317"/>
      <c r="N574" s="313">
        <f t="shared" si="8"/>
        <v>0</v>
      </c>
      <c r="P574" s="322"/>
      <c r="R574" s="519"/>
      <c r="S574" s="519"/>
    </row>
    <row r="575" spans="3:19" s="525" customFormat="1" ht="14.4" x14ac:dyDescent="0.3">
      <c r="C575" s="550"/>
      <c r="D575" s="551"/>
      <c r="E575" s="544"/>
      <c r="F575" s="544"/>
      <c r="G575" s="544"/>
      <c r="H575" s="544"/>
      <c r="I575" s="589">
        <v>45293</v>
      </c>
      <c r="J575" s="557">
        <v>270240.25</v>
      </c>
      <c r="K575" s="518"/>
      <c r="L575" s="518"/>
      <c r="M575" s="317"/>
      <c r="N575" s="313">
        <f t="shared" si="8"/>
        <v>0</v>
      </c>
      <c r="P575" s="322"/>
      <c r="R575" s="519"/>
      <c r="S575" s="519"/>
    </row>
    <row r="576" spans="3:19" s="525" customFormat="1" ht="14.4" x14ac:dyDescent="0.3">
      <c r="C576" s="550"/>
      <c r="D576" s="551"/>
      <c r="E576" s="544"/>
      <c r="F576" s="544"/>
      <c r="G576" s="544"/>
      <c r="H576" s="544"/>
      <c r="I576" s="589">
        <v>45293</v>
      </c>
      <c r="J576" s="557">
        <v>58808.76</v>
      </c>
      <c r="K576" s="518"/>
      <c r="L576" s="518"/>
      <c r="M576" s="317"/>
      <c r="N576" s="313">
        <f t="shared" si="8"/>
        <v>0</v>
      </c>
      <c r="P576" s="322"/>
      <c r="R576" s="519"/>
      <c r="S576" s="519"/>
    </row>
    <row r="577" spans="3:19" s="525" customFormat="1" ht="14.4" x14ac:dyDescent="0.3">
      <c r="C577" s="550"/>
      <c r="D577" s="551"/>
      <c r="E577" s="544"/>
      <c r="F577" s="544"/>
      <c r="G577" s="544"/>
      <c r="H577" s="544"/>
      <c r="I577" s="589">
        <v>45657</v>
      </c>
      <c r="J577" s="557">
        <v>1381786.97</v>
      </c>
      <c r="K577" s="518"/>
      <c r="L577" s="518"/>
      <c r="M577" s="317"/>
      <c r="N577" s="313">
        <f t="shared" si="8"/>
        <v>0</v>
      </c>
      <c r="P577" s="322"/>
      <c r="R577" s="519"/>
      <c r="S577" s="519"/>
    </row>
    <row r="578" spans="3:19" s="525" customFormat="1" ht="14.4" x14ac:dyDescent="0.3">
      <c r="C578" s="550"/>
      <c r="D578" s="551"/>
      <c r="E578" s="544"/>
      <c r="F578" s="544"/>
      <c r="G578" s="544"/>
      <c r="H578" s="544"/>
      <c r="I578" s="589">
        <v>45657</v>
      </c>
      <c r="J578" s="557">
        <v>257385.62</v>
      </c>
      <c r="K578" s="518"/>
      <c r="L578" s="518"/>
      <c r="M578" s="317"/>
      <c r="N578" s="313">
        <f t="shared" si="8"/>
        <v>0</v>
      </c>
      <c r="P578" s="322"/>
      <c r="R578" s="519"/>
      <c r="S578" s="519"/>
    </row>
    <row r="579" spans="3:19" s="525" customFormat="1" ht="14.4" x14ac:dyDescent="0.3">
      <c r="C579" s="550" t="s">
        <v>4811</v>
      </c>
      <c r="D579" s="551" t="s">
        <v>1684</v>
      </c>
      <c r="E579" s="544"/>
      <c r="F579" s="544"/>
      <c r="G579" s="544"/>
      <c r="H579" s="544"/>
      <c r="I579" s="316"/>
      <c r="J579" s="518"/>
      <c r="K579" s="518"/>
      <c r="L579" s="518"/>
      <c r="M579" s="317"/>
      <c r="N579" s="313">
        <f t="shared" si="8"/>
        <v>0</v>
      </c>
      <c r="P579" s="322"/>
      <c r="R579" s="519"/>
      <c r="S579" s="519"/>
    </row>
    <row r="580" spans="3:19" s="525" customFormat="1" ht="14.4" x14ac:dyDescent="0.3">
      <c r="C580" s="550" t="s">
        <v>4812</v>
      </c>
      <c r="D580" s="551" t="s">
        <v>1687</v>
      </c>
      <c r="E580" s="544"/>
      <c r="F580" s="544"/>
      <c r="G580" s="544"/>
      <c r="H580" s="544"/>
      <c r="I580" s="316"/>
      <c r="J580" s="518"/>
      <c r="K580" s="518"/>
      <c r="L580" s="518"/>
      <c r="M580" s="317"/>
      <c r="N580" s="313">
        <f t="shared" si="8"/>
        <v>0</v>
      </c>
      <c r="P580" s="322"/>
      <c r="R580" s="519"/>
      <c r="S580" s="519"/>
    </row>
    <row r="581" spans="3:19" s="525" customFormat="1" ht="14.4" x14ac:dyDescent="0.3">
      <c r="C581" s="550" t="s">
        <v>4813</v>
      </c>
      <c r="D581" s="551" t="s">
        <v>3596</v>
      </c>
      <c r="E581" s="544"/>
      <c r="F581" s="544"/>
      <c r="G581" s="544"/>
      <c r="H581" s="544"/>
      <c r="I581" s="316"/>
      <c r="J581" s="518"/>
      <c r="K581" s="518"/>
      <c r="L581" s="518"/>
      <c r="M581" s="317"/>
      <c r="N581" s="313">
        <f t="shared" si="8"/>
        <v>0</v>
      </c>
      <c r="P581" s="322"/>
      <c r="R581" s="519"/>
      <c r="S581" s="519"/>
    </row>
    <row r="582" spans="3:19" ht="15" customHeight="1" x14ac:dyDescent="0.3">
      <c r="C582" s="550" t="s">
        <v>4814</v>
      </c>
      <c r="D582" s="551" t="s">
        <v>3597</v>
      </c>
      <c r="E582" s="544"/>
      <c r="F582" s="544"/>
      <c r="G582" s="544"/>
      <c r="H582" s="544"/>
      <c r="J582" s="518"/>
      <c r="K582" s="518"/>
      <c r="L582" s="518"/>
      <c r="M582" s="317"/>
      <c r="N582" s="313">
        <f t="shared" si="8"/>
        <v>0</v>
      </c>
      <c r="P582" s="322"/>
    </row>
    <row r="583" spans="3:19" ht="15" customHeight="1" x14ac:dyDescent="0.3">
      <c r="C583" s="543" t="s">
        <v>4815</v>
      </c>
      <c r="D583" s="543" t="s">
        <v>3598</v>
      </c>
      <c r="E583" s="544">
        <v>0</v>
      </c>
      <c r="F583" s="544">
        <v>89309</v>
      </c>
      <c r="G583" s="544">
        <v>0</v>
      </c>
      <c r="H583" s="544">
        <v>89309</v>
      </c>
      <c r="I583" s="312">
        <v>0</v>
      </c>
      <c r="J583" s="517">
        <v>89309</v>
      </c>
      <c r="K583" s="517">
        <v>0</v>
      </c>
      <c r="L583" s="517">
        <v>89309</v>
      </c>
      <c r="M583" s="313">
        <v>89309</v>
      </c>
      <c r="N583" s="313">
        <f t="shared" si="8"/>
        <v>0</v>
      </c>
      <c r="P583" s="302"/>
    </row>
    <row r="584" spans="3:19" ht="15" customHeight="1" x14ac:dyDescent="0.3">
      <c r="C584" s="545" t="s">
        <v>4816</v>
      </c>
      <c r="D584" s="545" t="s">
        <v>3599</v>
      </c>
      <c r="E584" s="544">
        <v>0</v>
      </c>
      <c r="F584" s="544">
        <v>89309</v>
      </c>
      <c r="G584" s="544">
        <v>0</v>
      </c>
      <c r="H584" s="544">
        <v>89309</v>
      </c>
      <c r="I584" s="316">
        <v>0</v>
      </c>
      <c r="J584" s="518">
        <v>89309</v>
      </c>
      <c r="K584" s="518">
        <v>0</v>
      </c>
      <c r="L584" s="518">
        <v>89309</v>
      </c>
      <c r="M584" s="317">
        <v>89309</v>
      </c>
      <c r="N584" s="313">
        <f t="shared" si="8"/>
        <v>0</v>
      </c>
      <c r="P584" s="302"/>
    </row>
    <row r="585" spans="3:19" ht="15" customHeight="1" x14ac:dyDescent="0.3">
      <c r="C585" s="543" t="s">
        <v>4817</v>
      </c>
      <c r="D585" s="319" t="s">
        <v>3600</v>
      </c>
      <c r="E585" s="544">
        <v>0</v>
      </c>
      <c r="F585" s="544">
        <v>1701860.96</v>
      </c>
      <c r="G585" s="544">
        <v>1701860.96</v>
      </c>
      <c r="H585" s="544">
        <v>0</v>
      </c>
      <c r="I585" s="312">
        <v>0</v>
      </c>
      <c r="J585" s="517">
        <v>1701860.96</v>
      </c>
      <c r="K585" s="517">
        <v>1701860.96</v>
      </c>
      <c r="L585" s="517">
        <v>0</v>
      </c>
      <c r="M585" s="313">
        <v>0</v>
      </c>
      <c r="N585" s="313">
        <f t="shared" si="8"/>
        <v>0</v>
      </c>
      <c r="P585" s="302"/>
      <c r="R585" s="525"/>
      <c r="S585" s="525"/>
    </row>
    <row r="586" spans="3:19" ht="15" customHeight="1" x14ac:dyDescent="0.3">
      <c r="C586" s="545" t="s">
        <v>4818</v>
      </c>
      <c r="D586" s="320" t="s">
        <v>2313</v>
      </c>
      <c r="E586" s="544">
        <v>0</v>
      </c>
      <c r="F586" s="544">
        <v>1701860.96</v>
      </c>
      <c r="G586" s="544">
        <v>1701860.96</v>
      </c>
      <c r="H586" s="544">
        <v>0</v>
      </c>
      <c r="I586" s="316">
        <v>0</v>
      </c>
      <c r="J586" s="518">
        <v>1701860.96</v>
      </c>
      <c r="K586" s="518">
        <v>1701860.96</v>
      </c>
      <c r="L586" s="518">
        <v>0</v>
      </c>
      <c r="M586" s="317">
        <v>0</v>
      </c>
      <c r="N586" s="313">
        <f t="shared" si="8"/>
        <v>0</v>
      </c>
      <c r="P586" s="302"/>
      <c r="R586" s="525"/>
      <c r="S586" s="525"/>
    </row>
    <row r="587" spans="3:19" ht="15" customHeight="1" x14ac:dyDescent="0.3">
      <c r="C587" s="543" t="s">
        <v>4819</v>
      </c>
      <c r="D587" s="319" t="s">
        <v>3601</v>
      </c>
      <c r="E587" s="544">
        <v>0</v>
      </c>
      <c r="F587" s="544">
        <v>50364786.109999999</v>
      </c>
      <c r="G587" s="544">
        <v>11220630.34</v>
      </c>
      <c r="H587" s="544">
        <v>39144155.770000003</v>
      </c>
      <c r="I587" s="312">
        <v>0</v>
      </c>
      <c r="J587" s="517">
        <v>50364786.109999999</v>
      </c>
      <c r="K587" s="517">
        <v>11220630.34</v>
      </c>
      <c r="L587" s="517">
        <v>39144155.770000003</v>
      </c>
      <c r="M587" s="313">
        <f>M589+M610+M615+M624+M686+M693+M696+M705+M710</f>
        <v>35302822.909999996</v>
      </c>
      <c r="N587" s="313">
        <f t="shared" si="8"/>
        <v>3841332.8600000069</v>
      </c>
      <c r="P587" s="322"/>
      <c r="R587" s="525"/>
      <c r="S587" s="525"/>
    </row>
    <row r="588" spans="3:19" ht="15" customHeight="1" x14ac:dyDescent="0.3">
      <c r="C588" s="543" t="s">
        <v>4820</v>
      </c>
      <c r="D588" s="319" t="s">
        <v>3602</v>
      </c>
      <c r="E588" s="544">
        <v>0</v>
      </c>
      <c r="F588" s="544">
        <v>50339529.630000003</v>
      </c>
      <c r="G588" s="544">
        <v>11220630.34</v>
      </c>
      <c r="H588" s="544">
        <v>39118899.289999999</v>
      </c>
      <c r="I588" s="312">
        <v>0</v>
      </c>
      <c r="J588" s="517">
        <v>50339529.630000003</v>
      </c>
      <c r="K588" s="517">
        <v>11220630.34</v>
      </c>
      <c r="L588" s="517">
        <v>39118899.289999999</v>
      </c>
      <c r="M588" s="313">
        <f>M589+M610+M615+M624+M686+M693+M696</f>
        <v>35220265.57</v>
      </c>
      <c r="N588" s="313">
        <f t="shared" si="8"/>
        <v>3898633.7199999988</v>
      </c>
      <c r="P588" s="322"/>
      <c r="R588" s="525"/>
      <c r="S588" s="525"/>
    </row>
    <row r="589" spans="3:19" ht="15" customHeight="1" x14ac:dyDescent="0.3">
      <c r="C589" s="543" t="s">
        <v>4821</v>
      </c>
      <c r="D589" s="319" t="s">
        <v>3603</v>
      </c>
      <c r="E589" s="544">
        <v>0</v>
      </c>
      <c r="F589" s="544">
        <v>14310911.689999999</v>
      </c>
      <c r="G589" s="544">
        <v>1314795.79</v>
      </c>
      <c r="H589" s="544">
        <v>12996115.9</v>
      </c>
      <c r="I589" s="312">
        <v>0</v>
      </c>
      <c r="J589" s="517">
        <v>14310911.689999999</v>
      </c>
      <c r="K589" s="517">
        <v>1314795.79</v>
      </c>
      <c r="L589" s="517">
        <v>12996115.9</v>
      </c>
      <c r="M589" s="313">
        <f>SUM(M590:M609)</f>
        <v>13175116.99</v>
      </c>
      <c r="N589" s="313">
        <f t="shared" ref="N589:N652" si="9">L589-M589</f>
        <v>-179001.08999999985</v>
      </c>
      <c r="P589" s="322" t="s">
        <v>3604</v>
      </c>
      <c r="R589" s="525"/>
      <c r="S589" s="525"/>
    </row>
    <row r="590" spans="3:19" ht="15" customHeight="1" x14ac:dyDescent="0.3">
      <c r="C590" s="545" t="s">
        <v>4822</v>
      </c>
      <c r="D590" s="320" t="s">
        <v>1701</v>
      </c>
      <c r="E590" s="544">
        <v>0</v>
      </c>
      <c r="F590" s="544">
        <v>401005.61</v>
      </c>
      <c r="G590" s="544">
        <v>130.26</v>
      </c>
      <c r="H590" s="544">
        <v>400875.35</v>
      </c>
      <c r="I590" s="316">
        <v>0</v>
      </c>
      <c r="J590" s="518">
        <v>401005.61</v>
      </c>
      <c r="K590" s="518">
        <v>130.26</v>
      </c>
      <c r="L590" s="518">
        <v>400875.35</v>
      </c>
      <c r="M590" s="317">
        <v>400875.35</v>
      </c>
      <c r="N590" s="313">
        <f t="shared" si="9"/>
        <v>0</v>
      </c>
      <c r="P590" s="322"/>
    </row>
    <row r="591" spans="3:19" ht="15" customHeight="1" x14ac:dyDescent="0.3">
      <c r="C591" s="545" t="s">
        <v>4823</v>
      </c>
      <c r="D591" s="320" t="s">
        <v>1704</v>
      </c>
      <c r="E591" s="544">
        <v>0</v>
      </c>
      <c r="F591" s="544">
        <v>338557.57</v>
      </c>
      <c r="G591" s="544">
        <v>201.43</v>
      </c>
      <c r="H591" s="544">
        <v>338356.14</v>
      </c>
      <c r="I591" s="316">
        <v>0</v>
      </c>
      <c r="J591" s="518">
        <v>338557.57</v>
      </c>
      <c r="K591" s="518">
        <v>201.43</v>
      </c>
      <c r="L591" s="518">
        <v>338356.14</v>
      </c>
      <c r="M591" s="317">
        <v>338356.14</v>
      </c>
      <c r="N591" s="313">
        <f t="shared" si="9"/>
        <v>0</v>
      </c>
      <c r="P591" s="322"/>
    </row>
    <row r="592" spans="3:19" ht="15" customHeight="1" x14ac:dyDescent="0.3">
      <c r="C592" s="545" t="s">
        <v>4824</v>
      </c>
      <c r="D592" s="320" t="s">
        <v>1707</v>
      </c>
      <c r="E592" s="544">
        <v>0</v>
      </c>
      <c r="F592" s="544">
        <v>7334.77</v>
      </c>
      <c r="G592" s="544">
        <v>0</v>
      </c>
      <c r="H592" s="544">
        <v>7334.77</v>
      </c>
      <c r="I592" s="316">
        <v>0</v>
      </c>
      <c r="J592" s="518">
        <v>7334.77</v>
      </c>
      <c r="K592" s="518">
        <v>0</v>
      </c>
      <c r="L592" s="518">
        <v>7334.77</v>
      </c>
      <c r="M592" s="317">
        <v>7334.77</v>
      </c>
      <c r="N592" s="313">
        <f t="shared" si="9"/>
        <v>0</v>
      </c>
      <c r="P592" s="322"/>
    </row>
    <row r="593" spans="3:16" ht="15" customHeight="1" x14ac:dyDescent="0.3">
      <c r="C593" s="545" t="s">
        <v>4825</v>
      </c>
      <c r="D593" s="320" t="s">
        <v>1710</v>
      </c>
      <c r="E593" s="544">
        <v>0</v>
      </c>
      <c r="F593" s="544">
        <v>93949.93</v>
      </c>
      <c r="G593" s="544">
        <v>253.12</v>
      </c>
      <c r="H593" s="544">
        <v>93696.81</v>
      </c>
      <c r="I593" s="316">
        <v>0</v>
      </c>
      <c r="J593" s="518">
        <v>93949.93</v>
      </c>
      <c r="K593" s="518">
        <v>253.12</v>
      </c>
      <c r="L593" s="518">
        <v>93696.81</v>
      </c>
      <c r="M593" s="317">
        <v>93696.81</v>
      </c>
      <c r="N593" s="313">
        <f t="shared" si="9"/>
        <v>0</v>
      </c>
      <c r="P593" s="322"/>
    </row>
    <row r="594" spans="3:16" ht="15" customHeight="1" x14ac:dyDescent="0.3">
      <c r="C594" s="545" t="s">
        <v>4826</v>
      </c>
      <c r="D594" s="320" t="s">
        <v>1713</v>
      </c>
      <c r="E594" s="544">
        <v>0</v>
      </c>
      <c r="F594" s="544">
        <v>16443.68</v>
      </c>
      <c r="G594" s="544">
        <v>0</v>
      </c>
      <c r="H594" s="544">
        <v>16443.68</v>
      </c>
      <c r="I594" s="316">
        <v>0</v>
      </c>
      <c r="J594" s="518">
        <v>16443.68</v>
      </c>
      <c r="K594" s="518">
        <v>0</v>
      </c>
      <c r="L594" s="518">
        <v>16443.68</v>
      </c>
      <c r="M594" s="317">
        <v>16443.68</v>
      </c>
      <c r="N594" s="313">
        <f t="shared" si="9"/>
        <v>0</v>
      </c>
      <c r="P594" s="322"/>
    </row>
    <row r="595" spans="3:16" ht="15" customHeight="1" x14ac:dyDescent="0.3">
      <c r="C595" s="545" t="s">
        <v>4827</v>
      </c>
      <c r="D595" s="320" t="s">
        <v>3605</v>
      </c>
      <c r="E595" s="544">
        <v>0</v>
      </c>
      <c r="F595" s="544">
        <v>5568.24</v>
      </c>
      <c r="G595" s="544">
        <v>0</v>
      </c>
      <c r="H595" s="544">
        <v>5568.24</v>
      </c>
      <c r="I595" s="316">
        <v>0</v>
      </c>
      <c r="J595" s="518">
        <v>5568.24</v>
      </c>
      <c r="K595" s="518">
        <v>0</v>
      </c>
      <c r="L595" s="518">
        <v>5568.24</v>
      </c>
      <c r="M595" s="317">
        <v>5568.24</v>
      </c>
      <c r="N595" s="313">
        <f t="shared" si="9"/>
        <v>0</v>
      </c>
      <c r="P595" s="322"/>
    </row>
    <row r="596" spans="3:16" ht="15" customHeight="1" x14ac:dyDescent="0.3">
      <c r="C596" s="545" t="s">
        <v>4828</v>
      </c>
      <c r="D596" s="320" t="s">
        <v>3606</v>
      </c>
      <c r="E596" s="544">
        <v>0</v>
      </c>
      <c r="F596" s="544">
        <v>32383.88</v>
      </c>
      <c r="G596" s="544">
        <v>0</v>
      </c>
      <c r="H596" s="544">
        <v>32383.88</v>
      </c>
      <c r="I596" s="316">
        <v>0</v>
      </c>
      <c r="J596" s="518">
        <v>32383.88</v>
      </c>
      <c r="K596" s="518">
        <v>0</v>
      </c>
      <c r="L596" s="518">
        <v>32383.88</v>
      </c>
      <c r="M596" s="317">
        <v>32383.88</v>
      </c>
      <c r="N596" s="313">
        <f t="shared" si="9"/>
        <v>0</v>
      </c>
      <c r="P596" s="322"/>
    </row>
    <row r="597" spans="3:16" ht="15" customHeight="1" x14ac:dyDescent="0.3">
      <c r="C597" s="545" t="s">
        <v>4829</v>
      </c>
      <c r="D597" s="320" t="s">
        <v>1716</v>
      </c>
      <c r="E597" s="544">
        <v>0</v>
      </c>
      <c r="F597" s="544">
        <v>4593022.21</v>
      </c>
      <c r="G597" s="544">
        <v>0</v>
      </c>
      <c r="H597" s="544">
        <v>4593022.21</v>
      </c>
      <c r="I597" s="316">
        <v>0</v>
      </c>
      <c r="J597" s="518">
        <v>4593022.21</v>
      </c>
      <c r="K597" s="518">
        <v>0</v>
      </c>
      <c r="L597" s="518">
        <v>4593022.21</v>
      </c>
      <c r="M597" s="317">
        <v>4593022.21</v>
      </c>
      <c r="N597" s="313">
        <f t="shared" si="9"/>
        <v>0</v>
      </c>
      <c r="P597" s="322"/>
    </row>
    <row r="598" spans="3:16" ht="15" customHeight="1" x14ac:dyDescent="0.3">
      <c r="C598" s="545" t="s">
        <v>4830</v>
      </c>
      <c r="D598" s="320" t="s">
        <v>3607</v>
      </c>
      <c r="E598" s="544"/>
      <c r="F598" s="544"/>
      <c r="G598" s="544"/>
      <c r="H598" s="544"/>
      <c r="I598" s="316"/>
      <c r="J598" s="518"/>
      <c r="K598" s="518"/>
      <c r="L598" s="518"/>
      <c r="M598" s="317"/>
      <c r="N598" s="313">
        <f t="shared" si="9"/>
        <v>0</v>
      </c>
      <c r="P598" s="322"/>
    </row>
    <row r="599" spans="3:16" ht="15" customHeight="1" x14ac:dyDescent="0.3">
      <c r="C599" s="545" t="s">
        <v>4831</v>
      </c>
      <c r="D599" s="320" t="s">
        <v>1719</v>
      </c>
      <c r="E599" s="544">
        <v>0</v>
      </c>
      <c r="F599" s="544">
        <v>1207402.24</v>
      </c>
      <c r="G599" s="544">
        <v>18900.46</v>
      </c>
      <c r="H599" s="544">
        <v>1188501.78</v>
      </c>
      <c r="I599" s="316">
        <v>0</v>
      </c>
      <c r="J599" s="518">
        <v>1207402.24</v>
      </c>
      <c r="K599" s="518">
        <v>18900.46</v>
      </c>
      <c r="L599" s="518">
        <v>1188501.78</v>
      </c>
      <c r="M599" s="554">
        <f>L599+J600</f>
        <v>1367502.87</v>
      </c>
      <c r="N599" s="313">
        <f t="shared" si="9"/>
        <v>-179001.09000000008</v>
      </c>
      <c r="P599" s="322"/>
    </row>
    <row r="600" spans="3:16" ht="15" customHeight="1" x14ac:dyDescent="0.3">
      <c r="C600" s="545"/>
      <c r="D600" s="320"/>
      <c r="E600" s="544"/>
      <c r="F600" s="544"/>
      <c r="G600" s="544"/>
      <c r="H600" s="544"/>
      <c r="I600" s="589">
        <v>45293</v>
      </c>
      <c r="J600" s="557">
        <v>179001.09</v>
      </c>
      <c r="K600" s="518"/>
      <c r="L600" s="518"/>
      <c r="M600" s="317"/>
      <c r="N600" s="313">
        <f t="shared" si="9"/>
        <v>0</v>
      </c>
      <c r="P600" s="322"/>
    </row>
    <row r="601" spans="3:16" ht="15" customHeight="1" x14ac:dyDescent="0.3">
      <c r="C601" s="545" t="s">
        <v>4832</v>
      </c>
      <c r="D601" s="320" t="s">
        <v>1722</v>
      </c>
      <c r="E601" s="544">
        <v>0</v>
      </c>
      <c r="F601" s="544">
        <v>122700.77</v>
      </c>
      <c r="G601" s="544">
        <v>0</v>
      </c>
      <c r="H601" s="544">
        <v>122700.77</v>
      </c>
      <c r="I601" s="316">
        <v>0</v>
      </c>
      <c r="J601" s="518">
        <v>122700.77</v>
      </c>
      <c r="K601" s="518">
        <v>0</v>
      </c>
      <c r="L601" s="518">
        <v>122700.77</v>
      </c>
      <c r="M601" s="317">
        <v>122700.77</v>
      </c>
      <c r="N601" s="313">
        <f t="shared" si="9"/>
        <v>0</v>
      </c>
      <c r="P601" s="322"/>
    </row>
    <row r="602" spans="3:16" ht="15" customHeight="1" x14ac:dyDescent="0.3">
      <c r="C602" s="545" t="s">
        <v>4833</v>
      </c>
      <c r="D602" s="320" t="s">
        <v>1725</v>
      </c>
      <c r="E602" s="544">
        <v>0</v>
      </c>
      <c r="F602" s="544">
        <v>362985.65</v>
      </c>
      <c r="G602" s="544">
        <v>0</v>
      </c>
      <c r="H602" s="544">
        <v>362985.65</v>
      </c>
      <c r="I602" s="316">
        <v>0</v>
      </c>
      <c r="J602" s="518">
        <v>362985.65</v>
      </c>
      <c r="K602" s="518">
        <v>0</v>
      </c>
      <c r="L602" s="518">
        <v>362985.65</v>
      </c>
      <c r="M602" s="317">
        <v>362985.65</v>
      </c>
      <c r="N602" s="313">
        <f t="shared" si="9"/>
        <v>0</v>
      </c>
      <c r="P602" s="322"/>
    </row>
    <row r="603" spans="3:16" ht="15" customHeight="1" x14ac:dyDescent="0.3">
      <c r="C603" s="545" t="s">
        <v>4834</v>
      </c>
      <c r="D603" s="320" t="s">
        <v>1728</v>
      </c>
      <c r="E603" s="544">
        <v>0</v>
      </c>
      <c r="F603" s="544">
        <v>6178853.8099999996</v>
      </c>
      <c r="G603" s="544">
        <v>1272918.81</v>
      </c>
      <c r="H603" s="544">
        <v>4905935</v>
      </c>
      <c r="I603" s="316">
        <v>0</v>
      </c>
      <c r="J603" s="518">
        <v>6178853.8099999996</v>
      </c>
      <c r="K603" s="518">
        <v>1272918.81</v>
      </c>
      <c r="L603" s="518">
        <v>4905935</v>
      </c>
      <c r="M603" s="317">
        <v>4905935</v>
      </c>
      <c r="N603" s="313">
        <f t="shared" si="9"/>
        <v>0</v>
      </c>
      <c r="P603" s="322"/>
    </row>
    <row r="604" spans="3:16" ht="15" customHeight="1" x14ac:dyDescent="0.3">
      <c r="C604" s="545" t="s">
        <v>4835</v>
      </c>
      <c r="D604" s="320" t="s">
        <v>3608</v>
      </c>
      <c r="E604" s="544">
        <v>0</v>
      </c>
      <c r="F604" s="544">
        <v>2161.9899999999998</v>
      </c>
      <c r="G604" s="544">
        <v>6.78</v>
      </c>
      <c r="H604" s="544">
        <v>2155.21</v>
      </c>
      <c r="I604" s="316">
        <v>0</v>
      </c>
      <c r="J604" s="518">
        <v>2161.9899999999998</v>
      </c>
      <c r="K604" s="518">
        <v>6.78</v>
      </c>
      <c r="L604" s="518">
        <v>2155.21</v>
      </c>
      <c r="M604" s="317">
        <v>2155.21</v>
      </c>
      <c r="N604" s="313">
        <f t="shared" si="9"/>
        <v>0</v>
      </c>
      <c r="P604" s="322"/>
    </row>
    <row r="605" spans="3:16" ht="15" customHeight="1" x14ac:dyDescent="0.3">
      <c r="C605" s="545" t="s">
        <v>4836</v>
      </c>
      <c r="D605" s="320" t="s">
        <v>1731</v>
      </c>
      <c r="E605" s="544">
        <v>0</v>
      </c>
      <c r="F605" s="544">
        <v>83301.8</v>
      </c>
      <c r="G605" s="544">
        <v>22384.93</v>
      </c>
      <c r="H605" s="544">
        <v>60916.87</v>
      </c>
      <c r="I605" s="316">
        <v>0</v>
      </c>
      <c r="J605" s="518">
        <v>83301.8</v>
      </c>
      <c r="K605" s="518">
        <v>22384.93</v>
      </c>
      <c r="L605" s="518">
        <v>60916.87</v>
      </c>
      <c r="M605" s="317">
        <v>60916.87</v>
      </c>
      <c r="N605" s="313">
        <f t="shared" si="9"/>
        <v>0</v>
      </c>
      <c r="P605" s="322"/>
    </row>
    <row r="606" spans="3:16" ht="15" customHeight="1" x14ac:dyDescent="0.3">
      <c r="C606" s="545" t="s">
        <v>4837</v>
      </c>
      <c r="D606" s="320" t="s">
        <v>1734</v>
      </c>
      <c r="E606" s="544">
        <v>0</v>
      </c>
      <c r="F606" s="544">
        <v>514113.61</v>
      </c>
      <c r="G606" s="544">
        <v>0</v>
      </c>
      <c r="H606" s="544">
        <v>514113.61</v>
      </c>
      <c r="I606" s="316">
        <v>0</v>
      </c>
      <c r="J606" s="518">
        <v>514113.61</v>
      </c>
      <c r="K606" s="518">
        <v>0</v>
      </c>
      <c r="L606" s="518">
        <v>514113.61</v>
      </c>
      <c r="M606" s="317">
        <v>514113.61</v>
      </c>
      <c r="N606" s="313">
        <f t="shared" si="9"/>
        <v>0</v>
      </c>
      <c r="P606" s="322"/>
    </row>
    <row r="607" spans="3:16" ht="15" customHeight="1" x14ac:dyDescent="0.3">
      <c r="C607" s="545" t="s">
        <v>4838</v>
      </c>
      <c r="D607" s="320" t="s">
        <v>1737</v>
      </c>
      <c r="E607" s="544">
        <v>0</v>
      </c>
      <c r="F607" s="544">
        <v>28281.61</v>
      </c>
      <c r="G607" s="544">
        <v>0</v>
      </c>
      <c r="H607" s="544">
        <v>28281.61</v>
      </c>
      <c r="I607" s="316">
        <v>0</v>
      </c>
      <c r="J607" s="518">
        <v>28281.61</v>
      </c>
      <c r="K607" s="518">
        <v>0</v>
      </c>
      <c r="L607" s="518">
        <v>28281.61</v>
      </c>
      <c r="M607" s="317">
        <v>28281.61</v>
      </c>
      <c r="N607" s="313">
        <f t="shared" si="9"/>
        <v>0</v>
      </c>
      <c r="P607" s="322"/>
    </row>
    <row r="608" spans="3:16" ht="15" customHeight="1" x14ac:dyDescent="0.3">
      <c r="C608" s="545" t="s">
        <v>4839</v>
      </c>
      <c r="D608" s="320" t="s">
        <v>3609</v>
      </c>
      <c r="E608" s="544"/>
      <c r="F608" s="544"/>
      <c r="G608" s="544"/>
      <c r="H608" s="544"/>
      <c r="I608" s="316"/>
      <c r="J608" s="518"/>
      <c r="K608" s="518"/>
      <c r="L608" s="518"/>
      <c r="M608" s="317"/>
      <c r="N608" s="313">
        <f t="shared" si="9"/>
        <v>0</v>
      </c>
      <c r="P608" s="322"/>
    </row>
    <row r="609" spans="3:16" ht="15" customHeight="1" x14ac:dyDescent="0.3">
      <c r="C609" s="545" t="s">
        <v>4840</v>
      </c>
      <c r="D609" s="320" t="s">
        <v>1740</v>
      </c>
      <c r="E609" s="544">
        <v>0</v>
      </c>
      <c r="F609" s="544">
        <v>322844.32</v>
      </c>
      <c r="G609" s="544">
        <v>0</v>
      </c>
      <c r="H609" s="544">
        <v>322844.32</v>
      </c>
      <c r="I609" s="316">
        <v>0</v>
      </c>
      <c r="J609" s="518">
        <v>322844.32</v>
      </c>
      <c r="K609" s="518">
        <v>0</v>
      </c>
      <c r="L609" s="518">
        <v>322844.32</v>
      </c>
      <c r="M609" s="317">
        <v>322844.32</v>
      </c>
      <c r="N609" s="313">
        <f t="shared" si="9"/>
        <v>0</v>
      </c>
      <c r="P609" s="322"/>
    </row>
    <row r="610" spans="3:16" ht="15" customHeight="1" x14ac:dyDescent="0.3">
      <c r="C610" s="543" t="s">
        <v>4841</v>
      </c>
      <c r="D610" s="319" t="s">
        <v>1743</v>
      </c>
      <c r="E610" s="544">
        <v>0</v>
      </c>
      <c r="F610" s="544">
        <v>4174662.25</v>
      </c>
      <c r="G610" s="544">
        <v>0</v>
      </c>
      <c r="H610" s="544">
        <v>4174662.25</v>
      </c>
      <c r="I610" s="312">
        <v>0</v>
      </c>
      <c r="J610" s="517">
        <v>4174662.25</v>
      </c>
      <c r="K610" s="517">
        <v>0</v>
      </c>
      <c r="L610" s="517">
        <v>4174662.25</v>
      </c>
      <c r="M610" s="313">
        <f>SUM(M611:M614)</f>
        <v>4174662.25</v>
      </c>
      <c r="N610" s="313">
        <f t="shared" si="9"/>
        <v>0</v>
      </c>
      <c r="P610" s="322" t="s">
        <v>3604</v>
      </c>
    </row>
    <row r="611" spans="3:16" ht="15" customHeight="1" x14ac:dyDescent="0.3">
      <c r="C611" s="545" t="s">
        <v>4842</v>
      </c>
      <c r="D611" s="320" t="s">
        <v>1745</v>
      </c>
      <c r="E611" s="544">
        <v>0</v>
      </c>
      <c r="F611" s="544">
        <v>879994.54</v>
      </c>
      <c r="G611" s="544">
        <v>0</v>
      </c>
      <c r="H611" s="544">
        <v>879994.54</v>
      </c>
      <c r="I611" s="316">
        <v>0</v>
      </c>
      <c r="J611" s="518">
        <v>879994.54</v>
      </c>
      <c r="K611" s="518">
        <v>0</v>
      </c>
      <c r="L611" s="518">
        <v>879994.54</v>
      </c>
      <c r="M611" s="317">
        <v>879994.54</v>
      </c>
      <c r="N611" s="313">
        <f t="shared" si="9"/>
        <v>0</v>
      </c>
      <c r="P611" s="322"/>
    </row>
    <row r="612" spans="3:16" ht="15" customHeight="1" x14ac:dyDescent="0.3">
      <c r="C612" s="545" t="s">
        <v>4843</v>
      </c>
      <c r="D612" s="320" t="s">
        <v>1748</v>
      </c>
      <c r="E612" s="544">
        <v>0</v>
      </c>
      <c r="F612" s="544">
        <v>3020324.62</v>
      </c>
      <c r="G612" s="544">
        <v>0</v>
      </c>
      <c r="H612" s="544">
        <v>3020324.62</v>
      </c>
      <c r="I612" s="316">
        <v>0</v>
      </c>
      <c r="J612" s="518">
        <v>3020324.62</v>
      </c>
      <c r="K612" s="518">
        <v>0</v>
      </c>
      <c r="L612" s="518">
        <v>3020324.62</v>
      </c>
      <c r="M612" s="317">
        <v>3020324.62</v>
      </c>
      <c r="N612" s="313">
        <f t="shared" si="9"/>
        <v>0</v>
      </c>
      <c r="P612" s="322"/>
    </row>
    <row r="613" spans="3:16" ht="15" customHeight="1" x14ac:dyDescent="0.3">
      <c r="C613" s="545" t="s">
        <v>4844</v>
      </c>
      <c r="D613" s="320" t="s">
        <v>1751</v>
      </c>
      <c r="E613" s="544">
        <v>0</v>
      </c>
      <c r="F613" s="544">
        <v>164605.85999999999</v>
      </c>
      <c r="G613" s="544">
        <v>0</v>
      </c>
      <c r="H613" s="544">
        <v>164605.85999999999</v>
      </c>
      <c r="I613" s="316">
        <v>0</v>
      </c>
      <c r="J613" s="518">
        <v>164605.85999999999</v>
      </c>
      <c r="K613" s="518">
        <v>0</v>
      </c>
      <c r="L613" s="518">
        <v>164605.85999999999</v>
      </c>
      <c r="M613" s="317">
        <v>164605.85999999999</v>
      </c>
      <c r="N613" s="313">
        <f t="shared" si="9"/>
        <v>0</v>
      </c>
      <c r="P613" s="322"/>
    </row>
    <row r="614" spans="3:16" ht="15" customHeight="1" x14ac:dyDescent="0.3">
      <c r="C614" s="545" t="s">
        <v>4845</v>
      </c>
      <c r="D614" s="320" t="s">
        <v>1754</v>
      </c>
      <c r="E614" s="544">
        <v>0</v>
      </c>
      <c r="F614" s="544">
        <v>109737.23</v>
      </c>
      <c r="G614" s="544">
        <v>0</v>
      </c>
      <c r="H614" s="544">
        <v>109737.23</v>
      </c>
      <c r="I614" s="316">
        <v>0</v>
      </c>
      <c r="J614" s="518">
        <v>109737.23</v>
      </c>
      <c r="K614" s="518">
        <v>0</v>
      </c>
      <c r="L614" s="518">
        <v>109737.23</v>
      </c>
      <c r="M614" s="317">
        <v>109737.23</v>
      </c>
      <c r="N614" s="313">
        <f t="shared" si="9"/>
        <v>0</v>
      </c>
      <c r="P614" s="322"/>
    </row>
    <row r="615" spans="3:16" ht="15" customHeight="1" x14ac:dyDescent="0.3">
      <c r="C615" s="543" t="s">
        <v>4846</v>
      </c>
      <c r="D615" s="319" t="s">
        <v>3610</v>
      </c>
      <c r="E615" s="544">
        <v>0</v>
      </c>
      <c r="F615" s="544">
        <v>19693789.629999999</v>
      </c>
      <c r="G615" s="544">
        <v>8605822.5999999996</v>
      </c>
      <c r="H615" s="544">
        <v>11087967.029999999</v>
      </c>
      <c r="I615" s="312">
        <v>0</v>
      </c>
      <c r="J615" s="517">
        <v>19693789.629999999</v>
      </c>
      <c r="K615" s="517">
        <v>8605822.5999999996</v>
      </c>
      <c r="L615" s="517">
        <v>11087967.029999999</v>
      </c>
      <c r="M615" s="313">
        <f>SUM(M616:M623)</f>
        <v>8985245.290000001</v>
      </c>
      <c r="N615" s="313">
        <f t="shared" si="9"/>
        <v>2102721.7399999984</v>
      </c>
      <c r="P615" s="322" t="s">
        <v>3604</v>
      </c>
    </row>
    <row r="616" spans="3:16" ht="15" customHeight="1" x14ac:dyDescent="0.3">
      <c r="C616" s="545" t="s">
        <v>4847</v>
      </c>
      <c r="D616" s="320" t="s">
        <v>1760</v>
      </c>
      <c r="E616" s="544">
        <v>0</v>
      </c>
      <c r="F616" s="544">
        <v>1857781.88</v>
      </c>
      <c r="G616" s="544">
        <v>0</v>
      </c>
      <c r="H616" s="544">
        <v>1857781.88</v>
      </c>
      <c r="I616" s="316">
        <v>0</v>
      </c>
      <c r="J616" s="518">
        <v>1857781.88</v>
      </c>
      <c r="K616" s="518">
        <v>0</v>
      </c>
      <c r="L616" s="518">
        <v>1857781.88</v>
      </c>
      <c r="M616" s="317">
        <v>1857781.88</v>
      </c>
      <c r="N616" s="313">
        <f t="shared" si="9"/>
        <v>0</v>
      </c>
      <c r="P616" s="322"/>
    </row>
    <row r="617" spans="3:16" ht="15" customHeight="1" x14ac:dyDescent="0.3">
      <c r="C617" s="545" t="s">
        <v>4848</v>
      </c>
      <c r="D617" s="320" t="s">
        <v>1763</v>
      </c>
      <c r="E617" s="544">
        <v>0</v>
      </c>
      <c r="F617" s="544">
        <v>1772208.89</v>
      </c>
      <c r="G617" s="544">
        <v>880191.17</v>
      </c>
      <c r="H617" s="544">
        <v>892017.72</v>
      </c>
      <c r="I617" s="316">
        <v>0</v>
      </c>
      <c r="J617" s="518">
        <v>1772208.89</v>
      </c>
      <c r="K617" s="518">
        <v>880191.17</v>
      </c>
      <c r="L617" s="518">
        <v>892017.72</v>
      </c>
      <c r="M617" s="317">
        <v>892017.72</v>
      </c>
      <c r="N617" s="313">
        <f t="shared" si="9"/>
        <v>0</v>
      </c>
      <c r="P617" s="322"/>
    </row>
    <row r="618" spans="3:16" ht="15" customHeight="1" x14ac:dyDescent="0.3">
      <c r="C618" s="545" t="s">
        <v>4849</v>
      </c>
      <c r="D618" s="320" t="s">
        <v>1766</v>
      </c>
      <c r="E618" s="544">
        <v>0</v>
      </c>
      <c r="F618" s="544">
        <v>1924617.36</v>
      </c>
      <c r="G618" s="544">
        <v>1503339.57</v>
      </c>
      <c r="H618" s="544">
        <v>421277.79</v>
      </c>
      <c r="I618" s="316">
        <v>0</v>
      </c>
      <c r="J618" s="518">
        <v>1924617.36</v>
      </c>
      <c r="K618" s="518">
        <v>1503339.57</v>
      </c>
      <c r="L618" s="518">
        <v>421277.79</v>
      </c>
      <c r="M618" s="317">
        <v>421277.79</v>
      </c>
      <c r="N618" s="313">
        <f t="shared" si="9"/>
        <v>0</v>
      </c>
      <c r="P618" s="322"/>
    </row>
    <row r="619" spans="3:16" ht="15" customHeight="1" x14ac:dyDescent="0.3">
      <c r="C619" s="545" t="s">
        <v>4850</v>
      </c>
      <c r="D619" s="320" t="s">
        <v>1769</v>
      </c>
      <c r="E619" s="544">
        <v>0</v>
      </c>
      <c r="F619" s="544">
        <v>1059017.1000000001</v>
      </c>
      <c r="G619" s="544">
        <v>0</v>
      </c>
      <c r="H619" s="544">
        <v>1059017.1000000001</v>
      </c>
      <c r="I619" s="316">
        <v>0</v>
      </c>
      <c r="J619" s="518">
        <v>1059017.1000000001</v>
      </c>
      <c r="K619" s="518">
        <v>0</v>
      </c>
      <c r="L619" s="518">
        <v>1059017.1000000001</v>
      </c>
      <c r="M619" s="317">
        <v>1059017.1000000001</v>
      </c>
      <c r="N619" s="313">
        <f t="shared" si="9"/>
        <v>0</v>
      </c>
      <c r="P619" s="322"/>
    </row>
    <row r="620" spans="3:16" ht="15" customHeight="1" x14ac:dyDescent="0.3">
      <c r="C620" s="545" t="s">
        <v>4851</v>
      </c>
      <c r="D620" s="320" t="s">
        <v>1772</v>
      </c>
      <c r="E620" s="544">
        <v>0</v>
      </c>
      <c r="F620" s="544">
        <v>0</v>
      </c>
      <c r="G620" s="544">
        <v>2846769.86</v>
      </c>
      <c r="H620" s="544">
        <v>-2846769.86</v>
      </c>
      <c r="I620" s="316">
        <v>0</v>
      </c>
      <c r="J620" s="518">
        <v>0</v>
      </c>
      <c r="K620" s="518">
        <v>2846769.86</v>
      </c>
      <c r="L620" s="518">
        <v>-2846769.86</v>
      </c>
      <c r="M620" s="420">
        <v>-2846769.86</v>
      </c>
      <c r="N620" s="313">
        <f t="shared" si="9"/>
        <v>0</v>
      </c>
      <c r="P620" s="322"/>
    </row>
    <row r="621" spans="3:16" ht="15" customHeight="1" x14ac:dyDescent="0.3">
      <c r="C621" s="545" t="s">
        <v>4852</v>
      </c>
      <c r="D621" s="320" t="s">
        <v>1775</v>
      </c>
      <c r="E621" s="544">
        <v>0</v>
      </c>
      <c r="F621" s="544">
        <v>13080164.4</v>
      </c>
      <c r="G621" s="544">
        <v>0</v>
      </c>
      <c r="H621" s="544">
        <v>13080164.4</v>
      </c>
      <c r="I621" s="316">
        <v>0</v>
      </c>
      <c r="J621" s="518">
        <v>13080164.4</v>
      </c>
      <c r="K621" s="518">
        <v>0</v>
      </c>
      <c r="L621" s="518">
        <v>13080164.4</v>
      </c>
      <c r="M621" s="555">
        <f>L621-K622</f>
        <v>10977442.66</v>
      </c>
      <c r="N621" s="313">
        <f t="shared" si="9"/>
        <v>2102721.7400000002</v>
      </c>
      <c r="P621" s="322"/>
    </row>
    <row r="622" spans="3:16" ht="15" customHeight="1" x14ac:dyDescent="0.3">
      <c r="C622" s="545"/>
      <c r="D622" s="320"/>
      <c r="E622" s="544"/>
      <c r="F622" s="544"/>
      <c r="G622" s="544"/>
      <c r="H622" s="544"/>
      <c r="I622" s="316"/>
      <c r="J622" s="518"/>
      <c r="K622" s="557">
        <v>2102721.7400000002</v>
      </c>
      <c r="L622" s="595"/>
      <c r="M622" s="317"/>
      <c r="N622" s="313">
        <f t="shared" si="9"/>
        <v>0</v>
      </c>
      <c r="P622" s="322"/>
    </row>
    <row r="623" spans="3:16" ht="15" customHeight="1" x14ac:dyDescent="0.3">
      <c r="C623" s="545" t="s">
        <v>4853</v>
      </c>
      <c r="D623" s="320" t="s">
        <v>3611</v>
      </c>
      <c r="E623" s="544">
        <v>0</v>
      </c>
      <c r="F623" s="544">
        <v>0</v>
      </c>
      <c r="G623" s="544">
        <v>3375522</v>
      </c>
      <c r="H623" s="544">
        <v>-3375522</v>
      </c>
      <c r="I623" s="316">
        <v>0</v>
      </c>
      <c r="J623" s="518">
        <v>0</v>
      </c>
      <c r="K623" s="518">
        <v>3375522</v>
      </c>
      <c r="L623" s="518">
        <v>-3375522</v>
      </c>
      <c r="M623" s="317">
        <v>-3375522</v>
      </c>
      <c r="N623" s="313">
        <f t="shared" si="9"/>
        <v>0</v>
      </c>
      <c r="P623" s="322"/>
    </row>
    <row r="624" spans="3:16" ht="15" customHeight="1" x14ac:dyDescent="0.3">
      <c r="C624" s="543" t="s">
        <v>4854</v>
      </c>
      <c r="D624" s="319" t="s">
        <v>1778</v>
      </c>
      <c r="E624" s="544">
        <v>0</v>
      </c>
      <c r="F624" s="544">
        <v>11415121.880000001</v>
      </c>
      <c r="G624" s="544">
        <v>1297423.27</v>
      </c>
      <c r="H624" s="544">
        <v>10117698.609999999</v>
      </c>
      <c r="I624" s="312">
        <v>0</v>
      </c>
      <c r="J624" s="517">
        <v>11415121.880000001</v>
      </c>
      <c r="K624" s="517">
        <v>1297423.27</v>
      </c>
      <c r="L624" s="517">
        <v>10117698.609999999</v>
      </c>
      <c r="M624" s="313">
        <f>SUM(M625:M685)</f>
        <v>8142785.5400000019</v>
      </c>
      <c r="N624" s="313">
        <f t="shared" si="9"/>
        <v>1974913.0699999975</v>
      </c>
      <c r="P624" s="322" t="s">
        <v>3604</v>
      </c>
    </row>
    <row r="625" spans="3:16" ht="15" customHeight="1" x14ac:dyDescent="0.3">
      <c r="C625" s="545" t="s">
        <v>4855</v>
      </c>
      <c r="D625" s="320" t="s">
        <v>1781</v>
      </c>
      <c r="E625" s="544">
        <v>0</v>
      </c>
      <c r="F625" s="544">
        <v>148530.17000000001</v>
      </c>
      <c r="G625" s="544">
        <v>0</v>
      </c>
      <c r="H625" s="544">
        <v>148530.17000000001</v>
      </c>
      <c r="I625" s="316">
        <v>0</v>
      </c>
      <c r="J625" s="518">
        <v>148530.17000000001</v>
      </c>
      <c r="K625" s="518">
        <v>0</v>
      </c>
      <c r="L625" s="518">
        <v>148530.17000000001</v>
      </c>
      <c r="M625" s="518">
        <v>148530.17000000001</v>
      </c>
      <c r="N625" s="313">
        <f t="shared" si="9"/>
        <v>0</v>
      </c>
      <c r="P625" s="322"/>
    </row>
    <row r="626" spans="3:16" ht="15" customHeight="1" x14ac:dyDescent="0.3">
      <c r="C626" s="545" t="s">
        <v>4856</v>
      </c>
      <c r="D626" s="320" t="s">
        <v>1784</v>
      </c>
      <c r="E626" s="544">
        <v>0</v>
      </c>
      <c r="F626" s="544">
        <v>224903.8</v>
      </c>
      <c r="G626" s="544">
        <v>0</v>
      </c>
      <c r="H626" s="544">
        <v>224903.8</v>
      </c>
      <c r="I626" s="316">
        <v>0</v>
      </c>
      <c r="J626" s="518">
        <v>224903.8</v>
      </c>
      <c r="K626" s="518">
        <v>0</v>
      </c>
      <c r="L626" s="518">
        <v>224903.8</v>
      </c>
      <c r="M626" s="555">
        <f>L626-K627</f>
        <v>-267273.75</v>
      </c>
      <c r="N626" s="313">
        <f t="shared" si="9"/>
        <v>492177.55</v>
      </c>
      <c r="P626" s="302"/>
    </row>
    <row r="627" spans="3:16" ht="15" customHeight="1" x14ac:dyDescent="0.3">
      <c r="C627" s="545"/>
      <c r="D627" s="320"/>
      <c r="E627" s="544"/>
      <c r="F627" s="544"/>
      <c r="G627" s="544"/>
      <c r="H627" s="544"/>
      <c r="I627" s="596" t="s">
        <v>5907</v>
      </c>
      <c r="J627" s="518"/>
      <c r="K627" s="557">
        <v>492177.55</v>
      </c>
      <c r="L627" s="518"/>
      <c r="M627" s="317"/>
      <c r="N627" s="313">
        <f t="shared" si="9"/>
        <v>0</v>
      </c>
      <c r="P627" s="302"/>
    </row>
    <row r="628" spans="3:16" ht="15" customHeight="1" x14ac:dyDescent="0.3">
      <c r="C628" s="545" t="s">
        <v>4857</v>
      </c>
      <c r="D628" s="320" t="s">
        <v>1787</v>
      </c>
      <c r="E628" s="544">
        <v>0</v>
      </c>
      <c r="F628" s="544">
        <v>157.6</v>
      </c>
      <c r="G628" s="544">
        <v>0</v>
      </c>
      <c r="H628" s="544">
        <v>157.6</v>
      </c>
      <c r="I628" s="316">
        <v>0</v>
      </c>
      <c r="J628" s="518">
        <v>157.6</v>
      </c>
      <c r="K628" s="518">
        <v>0</v>
      </c>
      <c r="L628" s="518">
        <v>157.6</v>
      </c>
      <c r="M628" s="518">
        <v>157.6</v>
      </c>
      <c r="N628" s="313">
        <f t="shared" si="9"/>
        <v>0</v>
      </c>
      <c r="P628" s="302"/>
    </row>
    <row r="629" spans="3:16" ht="15" customHeight="1" x14ac:dyDescent="0.3">
      <c r="C629" s="545" t="s">
        <v>4858</v>
      </c>
      <c r="D629" s="320" t="s">
        <v>1790</v>
      </c>
      <c r="E629" s="544">
        <v>0</v>
      </c>
      <c r="F629" s="544">
        <v>789565.36</v>
      </c>
      <c r="G629" s="544">
        <v>0</v>
      </c>
      <c r="H629" s="544">
        <v>789565.36</v>
      </c>
      <c r="I629" s="316">
        <v>0</v>
      </c>
      <c r="J629" s="518">
        <v>789565.36</v>
      </c>
      <c r="K629" s="518">
        <v>0</v>
      </c>
      <c r="L629" s="518">
        <v>789565.36</v>
      </c>
      <c r="M629" s="555">
        <f>L629+J630-K630</f>
        <v>785271.07</v>
      </c>
      <c r="N629" s="313">
        <f t="shared" si="9"/>
        <v>4294.2900000000373</v>
      </c>
      <c r="P629" s="302"/>
    </row>
    <row r="630" spans="3:16" ht="15" customHeight="1" x14ac:dyDescent="0.3">
      <c r="C630" s="545"/>
      <c r="D630" s="320"/>
      <c r="E630" s="544"/>
      <c r="F630" s="544"/>
      <c r="G630" s="544"/>
      <c r="H630" s="544"/>
      <c r="I630" s="589">
        <v>45656</v>
      </c>
      <c r="J630" s="557">
        <v>4.2300000000000004</v>
      </c>
      <c r="K630" s="557">
        <v>4298.5200000000004</v>
      </c>
      <c r="L630" s="595"/>
      <c r="M630" s="317"/>
      <c r="N630" s="313">
        <f t="shared" si="9"/>
        <v>0</v>
      </c>
      <c r="P630" s="302"/>
    </row>
    <row r="631" spans="3:16" ht="15" customHeight="1" x14ac:dyDescent="0.3">
      <c r="C631" s="545" t="s">
        <v>4859</v>
      </c>
      <c r="D631" s="320" t="s">
        <v>3612</v>
      </c>
      <c r="E631" s="544">
        <v>0</v>
      </c>
      <c r="F631" s="544">
        <v>2000000</v>
      </c>
      <c r="G631" s="544">
        <v>0</v>
      </c>
      <c r="H631" s="544">
        <v>2000000</v>
      </c>
      <c r="I631" s="316">
        <v>0</v>
      </c>
      <c r="J631" s="518">
        <v>2000000</v>
      </c>
      <c r="K631" s="518">
        <v>0</v>
      </c>
      <c r="L631" s="518">
        <v>2000000</v>
      </c>
      <c r="M631" s="518">
        <v>2000000</v>
      </c>
      <c r="N631" s="313">
        <f t="shared" si="9"/>
        <v>0</v>
      </c>
      <c r="P631" s="302"/>
    </row>
    <row r="632" spans="3:16" ht="15" customHeight="1" x14ac:dyDescent="0.3">
      <c r="C632" s="545" t="s">
        <v>4860</v>
      </c>
      <c r="D632" s="320" t="s">
        <v>1796</v>
      </c>
      <c r="E632" s="544">
        <v>0</v>
      </c>
      <c r="F632" s="544">
        <v>92979.68</v>
      </c>
      <c r="G632" s="544">
        <v>0</v>
      </c>
      <c r="H632" s="544">
        <v>92979.68</v>
      </c>
      <c r="I632" s="316">
        <v>0</v>
      </c>
      <c r="J632" s="518">
        <v>92979.68</v>
      </c>
      <c r="K632" s="518">
        <v>0</v>
      </c>
      <c r="L632" s="518">
        <v>92979.68</v>
      </c>
      <c r="M632" s="518">
        <v>92979.68</v>
      </c>
      <c r="N632" s="313">
        <f t="shared" si="9"/>
        <v>0</v>
      </c>
      <c r="P632" s="302"/>
    </row>
    <row r="633" spans="3:16" ht="15" customHeight="1" x14ac:dyDescent="0.3">
      <c r="C633" s="545" t="s">
        <v>4861</v>
      </c>
      <c r="D633" s="320" t="s">
        <v>1802</v>
      </c>
      <c r="E633" s="544">
        <v>0</v>
      </c>
      <c r="F633" s="544">
        <v>22829.279999999999</v>
      </c>
      <c r="G633" s="544">
        <v>40.32</v>
      </c>
      <c r="H633" s="544">
        <v>22788.959999999999</v>
      </c>
      <c r="I633" s="316">
        <v>0</v>
      </c>
      <c r="J633" s="518">
        <v>22829.279999999999</v>
      </c>
      <c r="K633" s="518">
        <v>40.32</v>
      </c>
      <c r="L633" s="518">
        <v>22788.959999999999</v>
      </c>
      <c r="M633" s="555">
        <f>L633-K634-K635-K636+J637+J638</f>
        <v>20927.469999999998</v>
      </c>
      <c r="N633" s="313">
        <f t="shared" si="9"/>
        <v>1861.4900000000016</v>
      </c>
      <c r="P633" s="302"/>
    </row>
    <row r="634" spans="3:16" ht="15" customHeight="1" x14ac:dyDescent="0.3">
      <c r="C634" s="545"/>
      <c r="D634" s="320"/>
      <c r="E634" s="544"/>
      <c r="F634" s="544"/>
      <c r="G634" s="544"/>
      <c r="H634" s="544"/>
      <c r="I634" s="589">
        <v>45293</v>
      </c>
      <c r="J634" s="518"/>
      <c r="K634" s="557">
        <v>27.99</v>
      </c>
      <c r="L634" s="518"/>
      <c r="M634" s="317"/>
      <c r="N634" s="313">
        <f t="shared" si="9"/>
        <v>0</v>
      </c>
      <c r="P634" s="302"/>
    </row>
    <row r="635" spans="3:16" ht="15" customHeight="1" x14ac:dyDescent="0.3">
      <c r="C635" s="545"/>
      <c r="D635" s="320"/>
      <c r="E635" s="544"/>
      <c r="F635" s="544"/>
      <c r="G635" s="544"/>
      <c r="H635" s="544"/>
      <c r="I635" s="589">
        <v>45293</v>
      </c>
      <c r="J635" s="518"/>
      <c r="K635" s="557">
        <v>1485.79</v>
      </c>
      <c r="L635" s="518"/>
      <c r="M635" s="317"/>
      <c r="N635" s="313">
        <f t="shared" si="9"/>
        <v>0</v>
      </c>
      <c r="P635" s="302"/>
    </row>
    <row r="636" spans="3:16" ht="15" customHeight="1" x14ac:dyDescent="0.3">
      <c r="C636" s="545"/>
      <c r="D636" s="320"/>
      <c r="E636" s="544"/>
      <c r="F636" s="544"/>
      <c r="G636" s="544"/>
      <c r="H636" s="544"/>
      <c r="I636" s="589">
        <v>45293</v>
      </c>
      <c r="J636" s="518"/>
      <c r="K636" s="557">
        <v>5000</v>
      </c>
      <c r="L636" s="518"/>
      <c r="M636" s="317"/>
      <c r="N636" s="313">
        <f t="shared" si="9"/>
        <v>0</v>
      </c>
      <c r="P636" s="302"/>
    </row>
    <row r="637" spans="3:16" ht="15" customHeight="1" x14ac:dyDescent="0.3">
      <c r="C637" s="545"/>
      <c r="D637" s="320"/>
      <c r="E637" s="544"/>
      <c r="F637" s="544"/>
      <c r="G637" s="544"/>
      <c r="H637" s="544"/>
      <c r="I637" s="589">
        <v>45293</v>
      </c>
      <c r="J637" s="557">
        <v>4076.59</v>
      </c>
      <c r="K637" s="519"/>
      <c r="L637" s="518"/>
      <c r="M637" s="317"/>
      <c r="N637" s="313">
        <f t="shared" si="9"/>
        <v>0</v>
      </c>
      <c r="P637" s="302"/>
    </row>
    <row r="638" spans="3:16" ht="15" customHeight="1" x14ac:dyDescent="0.3">
      <c r="C638" s="545"/>
      <c r="D638" s="320"/>
      <c r="E638" s="544"/>
      <c r="F638" s="544"/>
      <c r="G638" s="544"/>
      <c r="H638" s="544"/>
      <c r="I638" s="589">
        <v>45293</v>
      </c>
      <c r="J638" s="557">
        <v>575.70000000000005</v>
      </c>
      <c r="K638" s="519"/>
      <c r="L638" s="518"/>
      <c r="M638" s="317"/>
      <c r="N638" s="313">
        <f t="shared" si="9"/>
        <v>0</v>
      </c>
      <c r="P638" s="302"/>
    </row>
    <row r="639" spans="3:16" ht="15" customHeight="1" x14ac:dyDescent="0.3">
      <c r="C639" s="545" t="s">
        <v>4862</v>
      </c>
      <c r="D639" s="320" t="s">
        <v>3613</v>
      </c>
      <c r="E639" s="544">
        <v>0</v>
      </c>
      <c r="F639" s="544">
        <v>2180</v>
      </c>
      <c r="G639" s="544">
        <v>0</v>
      </c>
      <c r="H639" s="544">
        <v>2180</v>
      </c>
      <c r="I639" s="316">
        <v>0</v>
      </c>
      <c r="J639" s="518">
        <v>2180</v>
      </c>
      <c r="K639" s="518">
        <v>0</v>
      </c>
      <c r="L639" s="518">
        <v>2180</v>
      </c>
      <c r="M639" s="518">
        <v>2180</v>
      </c>
      <c r="N639" s="313">
        <f t="shared" si="9"/>
        <v>0</v>
      </c>
      <c r="P639" s="302"/>
    </row>
    <row r="640" spans="3:16" ht="15" customHeight="1" x14ac:dyDescent="0.3">
      <c r="C640" s="545" t="s">
        <v>4863</v>
      </c>
      <c r="D640" s="320" t="s">
        <v>1805</v>
      </c>
      <c r="E640" s="544">
        <v>0</v>
      </c>
      <c r="F640" s="544">
        <v>162422.68</v>
      </c>
      <c r="G640" s="544">
        <v>0</v>
      </c>
      <c r="H640" s="544">
        <v>162422.68</v>
      </c>
      <c r="I640" s="316">
        <v>0</v>
      </c>
      <c r="J640" s="518">
        <v>162422.68</v>
      </c>
      <c r="K640" s="518">
        <v>0</v>
      </c>
      <c r="L640" s="518">
        <v>162422.68</v>
      </c>
      <c r="M640" s="555">
        <f>L640+J641+J642</f>
        <v>162479.99999999997</v>
      </c>
      <c r="N640" s="313">
        <f t="shared" si="9"/>
        <v>-57.319999999977881</v>
      </c>
      <c r="P640" s="302"/>
    </row>
    <row r="641" spans="3:16" ht="15" customHeight="1" x14ac:dyDescent="0.3">
      <c r="C641" s="545"/>
      <c r="D641" s="320"/>
      <c r="E641" s="544"/>
      <c r="F641" s="544"/>
      <c r="G641" s="544"/>
      <c r="H641" s="544"/>
      <c r="I641" s="589">
        <v>45293</v>
      </c>
      <c r="J641" s="557">
        <v>43.77</v>
      </c>
      <c r="K641" s="518"/>
      <c r="L641" s="518"/>
      <c r="M641" s="317"/>
      <c r="N641" s="313">
        <f t="shared" si="9"/>
        <v>0</v>
      </c>
      <c r="P641" s="302"/>
    </row>
    <row r="642" spans="3:16" ht="15" customHeight="1" x14ac:dyDescent="0.3">
      <c r="C642" s="545"/>
      <c r="D642" s="320"/>
      <c r="E642" s="544"/>
      <c r="F642" s="544"/>
      <c r="G642" s="544"/>
      <c r="H642" s="544"/>
      <c r="I642" s="589">
        <v>45293</v>
      </c>
      <c r="J642" s="557">
        <v>13.55</v>
      </c>
      <c r="K642" s="518"/>
      <c r="L642" s="518"/>
      <c r="M642" s="317"/>
      <c r="N642" s="313">
        <f t="shared" si="9"/>
        <v>0</v>
      </c>
      <c r="P642" s="302"/>
    </row>
    <row r="643" spans="3:16" ht="15" customHeight="1" x14ac:dyDescent="0.3">
      <c r="C643" s="545" t="s">
        <v>4864</v>
      </c>
      <c r="D643" s="320" t="s">
        <v>1808</v>
      </c>
      <c r="E643" s="544">
        <v>0</v>
      </c>
      <c r="F643" s="544">
        <v>26525.88</v>
      </c>
      <c r="G643" s="544">
        <v>0</v>
      </c>
      <c r="H643" s="544">
        <v>26525.88</v>
      </c>
      <c r="I643" s="316">
        <v>0</v>
      </c>
      <c r="J643" s="518">
        <v>26525.88</v>
      </c>
      <c r="K643" s="518">
        <v>0</v>
      </c>
      <c r="L643" s="518">
        <v>26525.88</v>
      </c>
      <c r="M643" s="518">
        <v>26525.88</v>
      </c>
      <c r="N643" s="313">
        <f t="shared" si="9"/>
        <v>0</v>
      </c>
      <c r="P643" s="302"/>
    </row>
    <row r="644" spans="3:16" ht="15" customHeight="1" x14ac:dyDescent="0.3">
      <c r="C644" s="545" t="s">
        <v>4865</v>
      </c>
      <c r="D644" s="320" t="s">
        <v>3614</v>
      </c>
      <c r="E644" s="544">
        <v>0</v>
      </c>
      <c r="F644" s="544">
        <v>27061.200000000001</v>
      </c>
      <c r="G644" s="544">
        <v>0</v>
      </c>
      <c r="H644" s="544">
        <v>27061.200000000001</v>
      </c>
      <c r="I644" s="316">
        <v>0</v>
      </c>
      <c r="J644" s="518">
        <v>27061.200000000001</v>
      </c>
      <c r="K644" s="518">
        <v>0</v>
      </c>
      <c r="L644" s="518">
        <v>27061.200000000001</v>
      </c>
      <c r="M644" s="518">
        <v>27061.200000000001</v>
      </c>
      <c r="N644" s="313">
        <f t="shared" si="9"/>
        <v>0</v>
      </c>
      <c r="P644" s="302"/>
    </row>
    <row r="645" spans="3:16" ht="15" customHeight="1" x14ac:dyDescent="0.3">
      <c r="C645" s="545" t="s">
        <v>4866</v>
      </c>
      <c r="D645" s="320" t="s">
        <v>3615</v>
      </c>
      <c r="E645" s="544"/>
      <c r="F645" s="544"/>
      <c r="G645" s="544"/>
      <c r="H645" s="544"/>
      <c r="I645" s="316"/>
      <c r="J645" s="518"/>
      <c r="K645" s="518"/>
      <c r="L645" s="518"/>
      <c r="M645" s="317"/>
      <c r="N645" s="313">
        <f t="shared" si="9"/>
        <v>0</v>
      </c>
      <c r="P645" s="302"/>
    </row>
    <row r="646" spans="3:16" ht="15" customHeight="1" x14ac:dyDescent="0.3">
      <c r="C646" s="545" t="s">
        <v>4867</v>
      </c>
      <c r="D646" s="320" t="s">
        <v>1814</v>
      </c>
      <c r="E646" s="544">
        <v>0</v>
      </c>
      <c r="F646" s="544">
        <v>43664.3</v>
      </c>
      <c r="G646" s="544">
        <v>0</v>
      </c>
      <c r="H646" s="544">
        <v>43664.3</v>
      </c>
      <c r="I646" s="316">
        <v>0</v>
      </c>
      <c r="J646" s="518">
        <v>43664.3</v>
      </c>
      <c r="K646" s="518">
        <v>0</v>
      </c>
      <c r="L646" s="518">
        <v>43664.3</v>
      </c>
      <c r="M646" s="555">
        <f>L646-K647</f>
        <v>-8729.5299999999988</v>
      </c>
      <c r="N646" s="313">
        <f t="shared" si="9"/>
        <v>52393.83</v>
      </c>
      <c r="P646" s="302"/>
    </row>
    <row r="647" spans="3:16" ht="15" customHeight="1" x14ac:dyDescent="0.3">
      <c r="C647" s="545"/>
      <c r="D647" s="320"/>
      <c r="E647" s="544"/>
      <c r="F647" s="544"/>
      <c r="G647" s="544"/>
      <c r="H647" s="544"/>
      <c r="I647" s="316"/>
      <c r="J647" s="518"/>
      <c r="K647" s="557">
        <v>52393.83</v>
      </c>
      <c r="L647" s="595"/>
      <c r="M647" s="317"/>
      <c r="N647" s="313">
        <f t="shared" si="9"/>
        <v>0</v>
      </c>
      <c r="P647" s="302"/>
    </row>
    <row r="648" spans="3:16" ht="15" customHeight="1" x14ac:dyDescent="0.3">
      <c r="C648" s="545" t="s">
        <v>4868</v>
      </c>
      <c r="D648" s="320" t="s">
        <v>1817</v>
      </c>
      <c r="E648" s="544">
        <v>0</v>
      </c>
      <c r="F648" s="544">
        <v>411350.69</v>
      </c>
      <c r="G648" s="544">
        <v>75191.48</v>
      </c>
      <c r="H648" s="544">
        <v>336159.21</v>
      </c>
      <c r="I648" s="316">
        <v>0</v>
      </c>
      <c r="J648" s="518">
        <v>411350.69</v>
      </c>
      <c r="K648" s="518">
        <v>75191.48</v>
      </c>
      <c r="L648" s="518">
        <v>336159.21</v>
      </c>
      <c r="M648" s="317">
        <v>336159.21</v>
      </c>
      <c r="N648" s="313">
        <f t="shared" si="9"/>
        <v>0</v>
      </c>
      <c r="P648" s="302"/>
    </row>
    <row r="649" spans="3:16" ht="15" customHeight="1" x14ac:dyDescent="0.3">
      <c r="C649" s="545" t="s">
        <v>4869</v>
      </c>
      <c r="D649" s="320" t="s">
        <v>3616</v>
      </c>
      <c r="E649" s="544">
        <v>0</v>
      </c>
      <c r="F649" s="544">
        <v>134.72</v>
      </c>
      <c r="G649" s="544">
        <v>0</v>
      </c>
      <c r="H649" s="544">
        <v>134.72</v>
      </c>
      <c r="I649" s="316">
        <v>0</v>
      </c>
      <c r="J649" s="518">
        <v>134.72</v>
      </c>
      <c r="K649" s="518">
        <v>0</v>
      </c>
      <c r="L649" s="518">
        <v>134.72</v>
      </c>
      <c r="M649" s="317">
        <v>134.72</v>
      </c>
      <c r="N649" s="313">
        <f t="shared" si="9"/>
        <v>0</v>
      </c>
      <c r="P649" s="302"/>
    </row>
    <row r="650" spans="3:16" ht="15" customHeight="1" x14ac:dyDescent="0.3">
      <c r="C650" s="545" t="s">
        <v>4870</v>
      </c>
      <c r="D650" s="320" t="s">
        <v>3617</v>
      </c>
      <c r="E650" s="544">
        <v>0</v>
      </c>
      <c r="F650" s="544">
        <v>52561.63</v>
      </c>
      <c r="G650" s="544">
        <v>0</v>
      </c>
      <c r="H650" s="544">
        <v>52561.63</v>
      </c>
      <c r="I650" s="316">
        <v>0</v>
      </c>
      <c r="J650" s="518">
        <v>52561.63</v>
      </c>
      <c r="K650" s="518">
        <v>0</v>
      </c>
      <c r="L650" s="518">
        <v>52561.63</v>
      </c>
      <c r="M650" s="317">
        <v>52561.63</v>
      </c>
      <c r="N650" s="313">
        <f t="shared" si="9"/>
        <v>0</v>
      </c>
      <c r="P650" s="302"/>
    </row>
    <row r="651" spans="3:16" ht="15" customHeight="1" x14ac:dyDescent="0.3">
      <c r="C651" s="545" t="s">
        <v>4871</v>
      </c>
      <c r="D651" s="320" t="s">
        <v>1825</v>
      </c>
      <c r="E651" s="544">
        <v>0</v>
      </c>
      <c r="F651" s="544">
        <v>53493.43</v>
      </c>
      <c r="G651" s="544">
        <v>0</v>
      </c>
      <c r="H651" s="544">
        <v>53493.43</v>
      </c>
      <c r="I651" s="316">
        <v>0</v>
      </c>
      <c r="J651" s="518">
        <v>53493.43</v>
      </c>
      <c r="K651" s="518">
        <v>0</v>
      </c>
      <c r="L651" s="518">
        <v>53493.43</v>
      </c>
      <c r="M651" s="317">
        <v>53493.43</v>
      </c>
      <c r="N651" s="313">
        <f t="shared" si="9"/>
        <v>0</v>
      </c>
      <c r="P651" s="302"/>
    </row>
    <row r="652" spans="3:16" ht="15" customHeight="1" x14ac:dyDescent="0.3">
      <c r="C652" s="545" t="s">
        <v>4872</v>
      </c>
      <c r="D652" s="320" t="s">
        <v>3618</v>
      </c>
      <c r="E652" s="544"/>
      <c r="F652" s="544"/>
      <c r="G652" s="544"/>
      <c r="H652" s="544"/>
      <c r="I652" s="316"/>
      <c r="J652" s="518"/>
      <c r="K652" s="518"/>
      <c r="L652" s="518"/>
      <c r="M652" s="317"/>
      <c r="N652" s="313">
        <f t="shared" si="9"/>
        <v>0</v>
      </c>
      <c r="P652" s="302"/>
    </row>
    <row r="653" spans="3:16" ht="15" customHeight="1" x14ac:dyDescent="0.3">
      <c r="C653" s="545" t="s">
        <v>4873</v>
      </c>
      <c r="D653" s="320" t="s">
        <v>3619</v>
      </c>
      <c r="E653" s="544">
        <v>0</v>
      </c>
      <c r="F653" s="544">
        <v>4362</v>
      </c>
      <c r="G653" s="544">
        <v>0</v>
      </c>
      <c r="H653" s="544">
        <v>4362</v>
      </c>
      <c r="I653" s="316">
        <v>0</v>
      </c>
      <c r="J653" s="518">
        <v>4362</v>
      </c>
      <c r="K653" s="518">
        <v>0</v>
      </c>
      <c r="L653" s="518">
        <v>4362</v>
      </c>
      <c r="M653" s="317">
        <v>4362</v>
      </c>
      <c r="N653" s="313">
        <f t="shared" ref="N653:N716" si="10">L653-M653</f>
        <v>0</v>
      </c>
      <c r="P653" s="302"/>
    </row>
    <row r="654" spans="3:16" ht="15" customHeight="1" x14ac:dyDescent="0.3">
      <c r="C654" s="545" t="s">
        <v>4874</v>
      </c>
      <c r="D654" s="320" t="s">
        <v>1834</v>
      </c>
      <c r="E654" s="544">
        <v>0</v>
      </c>
      <c r="F654" s="544">
        <v>9045</v>
      </c>
      <c r="G654" s="544">
        <v>0</v>
      </c>
      <c r="H654" s="544">
        <v>9045</v>
      </c>
      <c r="I654" s="316">
        <v>0</v>
      </c>
      <c r="J654" s="518">
        <v>9045</v>
      </c>
      <c r="K654" s="518">
        <v>0</v>
      </c>
      <c r="L654" s="518">
        <v>9045</v>
      </c>
      <c r="M654" s="317">
        <v>9045</v>
      </c>
      <c r="N654" s="313">
        <f t="shared" si="10"/>
        <v>0</v>
      </c>
      <c r="P654" s="302"/>
    </row>
    <row r="655" spans="3:16" ht="15" customHeight="1" x14ac:dyDescent="0.3">
      <c r="C655" s="545" t="s">
        <v>4875</v>
      </c>
      <c r="D655" s="320" t="s">
        <v>1837</v>
      </c>
      <c r="E655" s="544">
        <v>0</v>
      </c>
      <c r="F655" s="544">
        <v>5439.29</v>
      </c>
      <c r="G655" s="544">
        <v>0</v>
      </c>
      <c r="H655" s="544">
        <v>5439.29</v>
      </c>
      <c r="I655" s="316">
        <v>0</v>
      </c>
      <c r="J655" s="518">
        <v>5439.29</v>
      </c>
      <c r="K655" s="518">
        <v>0</v>
      </c>
      <c r="L655" s="518">
        <v>5439.29</v>
      </c>
      <c r="M655" s="317">
        <v>5439.29</v>
      </c>
      <c r="N655" s="313">
        <f t="shared" si="10"/>
        <v>0</v>
      </c>
      <c r="P655" s="302"/>
    </row>
    <row r="656" spans="3:16" ht="15" customHeight="1" x14ac:dyDescent="0.3">
      <c r="C656" s="545" t="s">
        <v>4876</v>
      </c>
      <c r="D656" s="320" t="s">
        <v>1840</v>
      </c>
      <c r="E656" s="544">
        <v>0</v>
      </c>
      <c r="F656" s="544">
        <v>13369.93</v>
      </c>
      <c r="G656" s="544">
        <v>0</v>
      </c>
      <c r="H656" s="544">
        <v>13369.93</v>
      </c>
      <c r="I656" s="316">
        <v>0</v>
      </c>
      <c r="J656" s="518">
        <v>13369.93</v>
      </c>
      <c r="K656" s="518">
        <v>0</v>
      </c>
      <c r="L656" s="518">
        <v>13369.93</v>
      </c>
      <c r="M656" s="317">
        <v>13369.93</v>
      </c>
      <c r="N656" s="313">
        <f t="shared" si="10"/>
        <v>0</v>
      </c>
      <c r="P656" s="302"/>
    </row>
    <row r="657" spans="3:16" ht="15" customHeight="1" x14ac:dyDescent="0.3">
      <c r="C657" s="545" t="s">
        <v>4877</v>
      </c>
      <c r="D657" s="320" t="s">
        <v>3620</v>
      </c>
      <c r="E657" s="544">
        <v>0</v>
      </c>
      <c r="F657" s="544">
        <v>33406.6</v>
      </c>
      <c r="G657" s="544">
        <v>0</v>
      </c>
      <c r="H657" s="544">
        <v>33406.6</v>
      </c>
      <c r="I657" s="316">
        <v>0</v>
      </c>
      <c r="J657" s="518">
        <v>33406.6</v>
      </c>
      <c r="K657" s="518">
        <v>0</v>
      </c>
      <c r="L657" s="518">
        <v>33406.6</v>
      </c>
      <c r="M657" s="317">
        <v>33406.6</v>
      </c>
      <c r="N657" s="313">
        <f t="shared" si="10"/>
        <v>0</v>
      </c>
      <c r="P657" s="302"/>
    </row>
    <row r="658" spans="3:16" ht="15" customHeight="1" x14ac:dyDescent="0.3">
      <c r="C658" s="545" t="s">
        <v>4878</v>
      </c>
      <c r="D658" s="320" t="s">
        <v>3621</v>
      </c>
      <c r="E658" s="544"/>
      <c r="F658" s="544"/>
      <c r="G658" s="544"/>
      <c r="H658" s="544"/>
      <c r="I658" s="316"/>
      <c r="J658" s="518"/>
      <c r="K658" s="518"/>
      <c r="L658" s="518"/>
      <c r="M658" s="317"/>
      <c r="N658" s="313">
        <f t="shared" si="10"/>
        <v>0</v>
      </c>
      <c r="P658" s="302"/>
    </row>
    <row r="659" spans="3:16" ht="15" customHeight="1" x14ac:dyDescent="0.3">
      <c r="C659" s="545" t="s">
        <v>4879</v>
      </c>
      <c r="D659" s="320" t="s">
        <v>1843</v>
      </c>
      <c r="E659" s="544">
        <v>0</v>
      </c>
      <c r="F659" s="544">
        <v>110355.09</v>
      </c>
      <c r="G659" s="544">
        <v>0</v>
      </c>
      <c r="H659" s="544">
        <v>110355.09</v>
      </c>
      <c r="I659" s="316">
        <v>0</v>
      </c>
      <c r="J659" s="518">
        <v>110355.09</v>
      </c>
      <c r="K659" s="518">
        <v>0</v>
      </c>
      <c r="L659" s="518">
        <v>110355.09</v>
      </c>
      <c r="M659" s="518">
        <v>110355.09</v>
      </c>
      <c r="N659" s="313">
        <f t="shared" si="10"/>
        <v>0</v>
      </c>
      <c r="P659" s="302"/>
    </row>
    <row r="660" spans="3:16" ht="15" customHeight="1" x14ac:dyDescent="0.3">
      <c r="C660" s="545" t="s">
        <v>4880</v>
      </c>
      <c r="D660" s="320" t="s">
        <v>3622</v>
      </c>
      <c r="E660" s="544">
        <v>0</v>
      </c>
      <c r="F660" s="544">
        <v>5007967.34</v>
      </c>
      <c r="G660" s="544">
        <v>1222191.47</v>
      </c>
      <c r="H660" s="544">
        <v>3785775.87</v>
      </c>
      <c r="I660" s="316">
        <v>0</v>
      </c>
      <c r="J660" s="518">
        <v>5007967.34</v>
      </c>
      <c r="K660" s="518">
        <v>1222191.47</v>
      </c>
      <c r="L660" s="518">
        <v>3785775.87</v>
      </c>
      <c r="M660" s="555">
        <f>L660-K671+J670</f>
        <v>2361532.64</v>
      </c>
      <c r="N660" s="313">
        <f t="shared" si="10"/>
        <v>1424243.23</v>
      </c>
      <c r="P660" s="302"/>
    </row>
    <row r="661" spans="3:16" ht="15" customHeight="1" x14ac:dyDescent="0.3">
      <c r="C661" s="545"/>
      <c r="D661" s="320"/>
      <c r="E661" s="544"/>
      <c r="F661" s="544"/>
      <c r="G661" s="544"/>
      <c r="H661" s="544"/>
      <c r="I661" s="316"/>
      <c r="J661" s="518"/>
      <c r="K661" s="557">
        <v>70</v>
      </c>
      <c r="L661" s="595"/>
      <c r="M661" s="317"/>
      <c r="N661" s="313">
        <f t="shared" si="10"/>
        <v>0</v>
      </c>
      <c r="P661" s="302"/>
    </row>
    <row r="662" spans="3:16" ht="15" customHeight="1" x14ac:dyDescent="0.3">
      <c r="C662" s="545"/>
      <c r="D662" s="320"/>
      <c r="E662" s="544"/>
      <c r="F662" s="544"/>
      <c r="G662" s="544"/>
      <c r="H662" s="544"/>
      <c r="I662" s="316"/>
      <c r="J662" s="518"/>
      <c r="K662" s="557">
        <v>551.16999999999996</v>
      </c>
      <c r="L662" s="595"/>
      <c r="M662" s="317"/>
      <c r="N662" s="313">
        <f t="shared" si="10"/>
        <v>0</v>
      </c>
      <c r="P662" s="302"/>
    </row>
    <row r="663" spans="3:16" ht="15" customHeight="1" x14ac:dyDescent="0.3">
      <c r="C663" s="545"/>
      <c r="D663" s="320"/>
      <c r="E663" s="544"/>
      <c r="F663" s="544"/>
      <c r="G663" s="544"/>
      <c r="H663" s="544"/>
      <c r="I663" s="316"/>
      <c r="J663" s="518"/>
      <c r="K663" s="557">
        <v>2780</v>
      </c>
      <c r="L663" s="595"/>
      <c r="M663" s="317"/>
      <c r="N663" s="313">
        <f t="shared" si="10"/>
        <v>0</v>
      </c>
      <c r="P663" s="302"/>
    </row>
    <row r="664" spans="3:16" ht="15" customHeight="1" x14ac:dyDescent="0.3">
      <c r="C664" s="545"/>
      <c r="D664" s="320"/>
      <c r="E664" s="544"/>
      <c r="F664" s="544"/>
      <c r="G664" s="544"/>
      <c r="H664" s="544"/>
      <c r="I664" s="316"/>
      <c r="J664" s="518"/>
      <c r="K664" s="557">
        <v>4979.88</v>
      </c>
      <c r="L664" s="595"/>
      <c r="M664" s="317"/>
      <c r="N664" s="313">
        <f t="shared" si="10"/>
        <v>0</v>
      </c>
      <c r="P664" s="302"/>
    </row>
    <row r="665" spans="3:16" ht="15" customHeight="1" x14ac:dyDescent="0.3">
      <c r="C665" s="545"/>
      <c r="D665" s="320"/>
      <c r="E665" s="544"/>
      <c r="F665" s="544"/>
      <c r="G665" s="544"/>
      <c r="H665" s="544"/>
      <c r="I665" s="316"/>
      <c r="J665" s="518"/>
      <c r="K665" s="557">
        <v>91373.15</v>
      </c>
      <c r="L665" s="595"/>
      <c r="M665" s="317"/>
      <c r="N665" s="313">
        <f t="shared" si="10"/>
        <v>0</v>
      </c>
      <c r="P665" s="302"/>
    </row>
    <row r="666" spans="3:16" ht="15" customHeight="1" x14ac:dyDescent="0.3">
      <c r="C666" s="545"/>
      <c r="D666" s="320"/>
      <c r="E666" s="544"/>
      <c r="F666" s="544"/>
      <c r="G666" s="544"/>
      <c r="H666" s="544"/>
      <c r="I666" s="316"/>
      <c r="J666" s="518"/>
      <c r="K666" s="557">
        <v>98612.21</v>
      </c>
      <c r="L666" s="595"/>
      <c r="M666" s="317"/>
      <c r="N666" s="313">
        <f t="shared" si="10"/>
        <v>0</v>
      </c>
      <c r="P666" s="302"/>
    </row>
    <row r="667" spans="3:16" ht="15" customHeight="1" x14ac:dyDescent="0.3">
      <c r="C667" s="545"/>
      <c r="D667" s="320"/>
      <c r="E667" s="544"/>
      <c r="F667" s="544"/>
      <c r="G667" s="544"/>
      <c r="H667" s="544"/>
      <c r="I667" s="316"/>
      <c r="J667" s="518"/>
      <c r="K667" s="557">
        <v>154833.72</v>
      </c>
      <c r="L667" s="595"/>
      <c r="M667" s="317"/>
      <c r="N667" s="313">
        <f t="shared" si="10"/>
        <v>0</v>
      </c>
      <c r="P667" s="302"/>
    </row>
    <row r="668" spans="3:16" ht="15" customHeight="1" x14ac:dyDescent="0.3">
      <c r="C668" s="545"/>
      <c r="D668" s="320"/>
      <c r="E668" s="544"/>
      <c r="F668" s="544"/>
      <c r="G668" s="544"/>
      <c r="H668" s="544"/>
      <c r="I668" s="316"/>
      <c r="J668" s="518"/>
      <c r="K668" s="557">
        <v>432475.84</v>
      </c>
      <c r="L668" s="595"/>
      <c r="M668" s="317"/>
      <c r="N668" s="313">
        <f t="shared" si="10"/>
        <v>0</v>
      </c>
      <c r="P668" s="302"/>
    </row>
    <row r="669" spans="3:16" ht="15" customHeight="1" x14ac:dyDescent="0.3">
      <c r="C669" s="545"/>
      <c r="D669" s="320"/>
      <c r="E669" s="544"/>
      <c r="F669" s="544"/>
      <c r="G669" s="544"/>
      <c r="H669" s="544"/>
      <c r="I669" s="316"/>
      <c r="J669" s="518"/>
      <c r="K669" s="557">
        <v>478078.36</v>
      </c>
      <c r="L669" s="595"/>
      <c r="M669" s="317"/>
      <c r="N669" s="313">
        <f t="shared" si="10"/>
        <v>0</v>
      </c>
      <c r="P669" s="302"/>
    </row>
    <row r="670" spans="3:16" ht="15" customHeight="1" x14ac:dyDescent="0.3">
      <c r="C670" s="545"/>
      <c r="D670" s="320"/>
      <c r="E670" s="544"/>
      <c r="F670" s="544"/>
      <c r="G670" s="544"/>
      <c r="H670" s="544"/>
      <c r="I670" s="316"/>
      <c r="J670" s="597">
        <f>SUM(J671:J678)</f>
        <v>918803.27</v>
      </c>
      <c r="K670" s="557">
        <v>1079292.17</v>
      </c>
      <c r="L670" s="595"/>
      <c r="M670" s="317"/>
      <c r="N670" s="313">
        <f t="shared" si="10"/>
        <v>0</v>
      </c>
      <c r="P670" s="302"/>
    </row>
    <row r="671" spans="3:16" ht="15" customHeight="1" x14ac:dyDescent="0.3">
      <c r="C671" s="545"/>
      <c r="D671" s="320"/>
      <c r="E671" s="544"/>
      <c r="F671" s="544"/>
      <c r="G671" s="544"/>
      <c r="H671" s="544"/>
      <c r="I671" s="589"/>
      <c r="J671" s="557">
        <v>691652.59</v>
      </c>
      <c r="K671" s="313">
        <f>SUM(K661:K670)</f>
        <v>2343046.5</v>
      </c>
      <c r="L671" s="518"/>
      <c r="M671" s="317"/>
      <c r="N671" s="313">
        <f t="shared" si="10"/>
        <v>0</v>
      </c>
      <c r="P671" s="302"/>
    </row>
    <row r="672" spans="3:16" ht="15" customHeight="1" x14ac:dyDescent="0.3">
      <c r="C672" s="545"/>
      <c r="D672" s="320"/>
      <c r="E672" s="544"/>
      <c r="F672" s="544"/>
      <c r="G672" s="544"/>
      <c r="H672" s="544"/>
      <c r="I672" s="589"/>
      <c r="J672" s="557">
        <v>131107.07999999999</v>
      </c>
      <c r="K672" s="557"/>
      <c r="L672" s="518"/>
      <c r="M672" s="317"/>
      <c r="N672" s="313">
        <f t="shared" si="10"/>
        <v>0</v>
      </c>
      <c r="P672" s="302"/>
    </row>
    <row r="673" spans="3:16" ht="15" customHeight="1" x14ac:dyDescent="0.3">
      <c r="C673" s="545"/>
      <c r="D673" s="320"/>
      <c r="E673" s="544"/>
      <c r="F673" s="544"/>
      <c r="G673" s="544"/>
      <c r="H673" s="544"/>
      <c r="I673" s="589"/>
      <c r="J673" s="557">
        <v>75053.119999999995</v>
      </c>
      <c r="K673" s="557"/>
      <c r="L673" s="518"/>
      <c r="M673" s="317"/>
      <c r="N673" s="313">
        <f t="shared" si="10"/>
        <v>0</v>
      </c>
      <c r="P673" s="302"/>
    </row>
    <row r="674" spans="3:16" ht="15" customHeight="1" x14ac:dyDescent="0.3">
      <c r="C674" s="545"/>
      <c r="D674" s="320"/>
      <c r="E674" s="544"/>
      <c r="F674" s="544"/>
      <c r="G674" s="544"/>
      <c r="H674" s="544"/>
      <c r="I674" s="589"/>
      <c r="J674" s="557">
        <v>8131.67</v>
      </c>
      <c r="K674" s="557"/>
      <c r="L674" s="518"/>
      <c r="M674" s="317"/>
      <c r="N674" s="313">
        <f t="shared" si="10"/>
        <v>0</v>
      </c>
      <c r="P674" s="302"/>
    </row>
    <row r="675" spans="3:16" ht="15" customHeight="1" x14ac:dyDescent="0.3">
      <c r="C675" s="545"/>
      <c r="D675" s="320"/>
      <c r="E675" s="544"/>
      <c r="F675" s="544"/>
      <c r="G675" s="544"/>
      <c r="H675" s="544"/>
      <c r="I675" s="589"/>
      <c r="J675" s="557">
        <v>4979.88</v>
      </c>
      <c r="K675" s="557"/>
      <c r="L675" s="518"/>
      <c r="M675" s="317"/>
      <c r="N675" s="313">
        <f t="shared" si="10"/>
        <v>0</v>
      </c>
      <c r="P675" s="302"/>
    </row>
    <row r="676" spans="3:16" ht="15" customHeight="1" x14ac:dyDescent="0.3">
      <c r="C676" s="545"/>
      <c r="D676" s="320"/>
      <c r="E676" s="544"/>
      <c r="F676" s="544"/>
      <c r="G676" s="544"/>
      <c r="H676" s="544"/>
      <c r="I676" s="589"/>
      <c r="J676" s="557">
        <v>4430</v>
      </c>
      <c r="K676" s="557"/>
      <c r="L676" s="518"/>
      <c r="M676" s="317"/>
      <c r="N676" s="313">
        <f t="shared" si="10"/>
        <v>0</v>
      </c>
      <c r="P676" s="302"/>
    </row>
    <row r="677" spans="3:16" ht="15" customHeight="1" x14ac:dyDescent="0.3">
      <c r="C677" s="545"/>
      <c r="D677" s="320"/>
      <c r="E677" s="544"/>
      <c r="F677" s="544"/>
      <c r="G677" s="544"/>
      <c r="H677" s="544"/>
      <c r="I677" s="589"/>
      <c r="J677" s="557">
        <v>2000</v>
      </c>
      <c r="K677" s="557"/>
      <c r="L677" s="518"/>
      <c r="M677" s="317"/>
      <c r="N677" s="313">
        <f t="shared" si="10"/>
        <v>0</v>
      </c>
      <c r="P677" s="302"/>
    </row>
    <row r="678" spans="3:16" ht="15" customHeight="1" x14ac:dyDescent="0.3">
      <c r="C678" s="545"/>
      <c r="D678" s="320"/>
      <c r="E678" s="544"/>
      <c r="F678" s="544"/>
      <c r="G678" s="544"/>
      <c r="H678" s="544"/>
      <c r="I678" s="589"/>
      <c r="J678" s="557">
        <v>1448.93</v>
      </c>
      <c r="K678" s="557"/>
      <c r="L678" s="518"/>
      <c r="M678" s="317"/>
      <c r="N678" s="313">
        <f t="shared" si="10"/>
        <v>0</v>
      </c>
      <c r="P678" s="302"/>
    </row>
    <row r="679" spans="3:16" ht="15" customHeight="1" x14ac:dyDescent="0.3">
      <c r="C679" s="545" t="s">
        <v>4881</v>
      </c>
      <c r="D679" s="320" t="s">
        <v>3623</v>
      </c>
      <c r="E679" s="544">
        <v>0</v>
      </c>
      <c r="F679" s="544">
        <v>67337.05</v>
      </c>
      <c r="G679" s="544">
        <v>0</v>
      </c>
      <c r="H679" s="544">
        <v>67337.05</v>
      </c>
      <c r="I679" s="316"/>
      <c r="J679" s="518">
        <v>67337.05</v>
      </c>
      <c r="K679" s="518">
        <v>0</v>
      </c>
      <c r="L679" s="518">
        <v>67337.05</v>
      </c>
      <c r="M679" s="518">
        <v>67337.05</v>
      </c>
      <c r="N679" s="313">
        <f t="shared" si="10"/>
        <v>0</v>
      </c>
      <c r="P679" s="302"/>
    </row>
    <row r="680" spans="3:16" ht="15" customHeight="1" x14ac:dyDescent="0.3">
      <c r="C680" s="545" t="s">
        <v>4882</v>
      </c>
      <c r="D680" s="320" t="s">
        <v>1849</v>
      </c>
      <c r="E680" s="544">
        <v>0</v>
      </c>
      <c r="F680" s="544">
        <v>24887.989999999998</v>
      </c>
      <c r="G680" s="544">
        <v>0</v>
      </c>
      <c r="H680" s="544">
        <v>24887.99</v>
      </c>
      <c r="I680" s="316">
        <v>0</v>
      </c>
      <c r="J680" s="518">
        <v>24887.989999999998</v>
      </c>
      <c r="K680" s="518">
        <v>0</v>
      </c>
      <c r="L680" s="518">
        <v>24887.99</v>
      </c>
      <c r="M680" s="518">
        <v>24887.99</v>
      </c>
      <c r="N680" s="313">
        <f t="shared" si="10"/>
        <v>0</v>
      </c>
      <c r="P680" s="302"/>
    </row>
    <row r="681" spans="3:16" ht="15" customHeight="1" x14ac:dyDescent="0.3">
      <c r="C681" s="545" t="s">
        <v>4883</v>
      </c>
      <c r="D681" s="320" t="s">
        <v>1852</v>
      </c>
      <c r="E681" s="544">
        <v>0</v>
      </c>
      <c r="F681" s="544">
        <v>132761.85999999999</v>
      </c>
      <c r="G681" s="544">
        <v>0</v>
      </c>
      <c r="H681" s="544">
        <v>132761.85999999999</v>
      </c>
      <c r="I681" s="316">
        <v>0</v>
      </c>
      <c r="J681" s="518">
        <v>132761.85999999999</v>
      </c>
      <c r="K681" s="518">
        <v>0</v>
      </c>
      <c r="L681" s="518">
        <v>132761.85999999999</v>
      </c>
      <c r="M681" s="518">
        <v>132761.85999999999</v>
      </c>
      <c r="N681" s="313">
        <f t="shared" si="10"/>
        <v>0</v>
      </c>
      <c r="P681" s="302"/>
    </row>
    <row r="682" spans="3:16" ht="15" customHeight="1" x14ac:dyDescent="0.3">
      <c r="C682" s="545" t="s">
        <v>4884</v>
      </c>
      <c r="D682" s="320" t="s">
        <v>3624</v>
      </c>
      <c r="E682" s="544">
        <v>0</v>
      </c>
      <c r="F682" s="544">
        <v>13158.88</v>
      </c>
      <c r="G682" s="544">
        <v>0</v>
      </c>
      <c r="H682" s="544">
        <v>13158.88</v>
      </c>
      <c r="I682" s="316">
        <v>0</v>
      </c>
      <c r="J682" s="518">
        <v>13158.88</v>
      </c>
      <c r="K682" s="518">
        <v>0</v>
      </c>
      <c r="L682" s="518">
        <v>13158.88</v>
      </c>
      <c r="M682" s="518">
        <v>13158.88</v>
      </c>
      <c r="N682" s="313">
        <f t="shared" si="10"/>
        <v>0</v>
      </c>
      <c r="P682" s="302"/>
    </row>
    <row r="683" spans="3:16" ht="15" customHeight="1" x14ac:dyDescent="0.3">
      <c r="C683" s="545" t="s">
        <v>4885</v>
      </c>
      <c r="D683" s="320" t="s">
        <v>3625</v>
      </c>
      <c r="E683" s="544">
        <v>0</v>
      </c>
      <c r="F683" s="544">
        <v>2477</v>
      </c>
      <c r="G683" s="544">
        <v>0</v>
      </c>
      <c r="H683" s="544">
        <v>2477</v>
      </c>
      <c r="I683" s="316">
        <v>0</v>
      </c>
      <c r="J683" s="518">
        <v>2477</v>
      </c>
      <c r="K683" s="518">
        <v>0</v>
      </c>
      <c r="L683" s="518">
        <v>2477</v>
      </c>
      <c r="M683" s="518">
        <v>2477</v>
      </c>
      <c r="N683" s="313">
        <f t="shared" si="10"/>
        <v>0</v>
      </c>
      <c r="P683" s="302"/>
    </row>
    <row r="684" spans="3:16" ht="15" customHeight="1" x14ac:dyDescent="0.3">
      <c r="C684" s="545" t="s">
        <v>4886</v>
      </c>
      <c r="D684" s="320" t="s">
        <v>3626</v>
      </c>
      <c r="E684" s="544">
        <v>0</v>
      </c>
      <c r="F684" s="544">
        <v>1569916.4</v>
      </c>
      <c r="G684" s="544">
        <v>0</v>
      </c>
      <c r="H684" s="544">
        <v>1569916.4</v>
      </c>
      <c r="I684" s="316">
        <v>0</v>
      </c>
      <c r="J684" s="518">
        <v>1569916.4</v>
      </c>
      <c r="K684" s="518">
        <v>0</v>
      </c>
      <c r="L684" s="518">
        <v>1569916.4</v>
      </c>
      <c r="M684" s="518">
        <v>1569916.4</v>
      </c>
      <c r="N684" s="313">
        <f t="shared" si="10"/>
        <v>0</v>
      </c>
      <c r="P684" s="302"/>
    </row>
    <row r="685" spans="3:16" ht="15" customHeight="1" x14ac:dyDescent="0.3">
      <c r="C685" s="545" t="s">
        <v>4887</v>
      </c>
      <c r="D685" s="320" t="s">
        <v>3627</v>
      </c>
      <c r="E685" s="544">
        <v>0</v>
      </c>
      <c r="F685" s="544">
        <v>362277.03</v>
      </c>
      <c r="G685" s="544">
        <v>0</v>
      </c>
      <c r="H685" s="544">
        <v>362277.03</v>
      </c>
      <c r="I685" s="316">
        <v>0</v>
      </c>
      <c r="J685" s="518">
        <v>362277.03</v>
      </c>
      <c r="K685" s="518">
        <v>0</v>
      </c>
      <c r="L685" s="518">
        <v>362277.03</v>
      </c>
      <c r="M685" s="518">
        <v>362277.03</v>
      </c>
      <c r="N685" s="313">
        <f t="shared" si="10"/>
        <v>0</v>
      </c>
      <c r="P685" s="302"/>
    </row>
    <row r="686" spans="3:16" ht="15" customHeight="1" x14ac:dyDescent="0.3">
      <c r="C686" s="543" t="s">
        <v>4888</v>
      </c>
      <c r="D686" s="319" t="s">
        <v>3628</v>
      </c>
      <c r="E686" s="544">
        <v>0</v>
      </c>
      <c r="F686" s="544">
        <v>343258.95</v>
      </c>
      <c r="G686" s="544">
        <v>0</v>
      </c>
      <c r="H686" s="544">
        <v>343258.95</v>
      </c>
      <c r="I686" s="312">
        <v>0</v>
      </c>
      <c r="J686" s="517">
        <v>343258.95</v>
      </c>
      <c r="K686" s="517">
        <v>0</v>
      </c>
      <c r="L686" s="517">
        <v>343258.95</v>
      </c>
      <c r="M686" s="517">
        <v>343258.95</v>
      </c>
      <c r="N686" s="313">
        <f t="shared" si="10"/>
        <v>0</v>
      </c>
      <c r="P686" s="302" t="s">
        <v>3629</v>
      </c>
    </row>
    <row r="687" spans="3:16" ht="15" customHeight="1" x14ac:dyDescent="0.3">
      <c r="C687" s="545" t="s">
        <v>4889</v>
      </c>
      <c r="D687" s="320" t="s">
        <v>1865</v>
      </c>
      <c r="E687" s="544">
        <v>0</v>
      </c>
      <c r="F687" s="544">
        <v>7716.97</v>
      </c>
      <c r="G687" s="544">
        <v>0</v>
      </c>
      <c r="H687" s="544">
        <v>7716.97</v>
      </c>
      <c r="I687" s="316">
        <v>0</v>
      </c>
      <c r="J687" s="518">
        <v>7716.97</v>
      </c>
      <c r="K687" s="518">
        <v>0</v>
      </c>
      <c r="L687" s="518">
        <v>7716.97</v>
      </c>
      <c r="M687" s="518">
        <v>7716.97</v>
      </c>
      <c r="N687" s="313">
        <f t="shared" si="10"/>
        <v>0</v>
      </c>
      <c r="P687" s="302"/>
    </row>
    <row r="688" spans="3:16" ht="15" customHeight="1" x14ac:dyDescent="0.3">
      <c r="C688" s="545" t="s">
        <v>4890</v>
      </c>
      <c r="D688" s="320" t="s">
        <v>1868</v>
      </c>
      <c r="E688" s="544">
        <v>0</v>
      </c>
      <c r="F688" s="544">
        <v>2548.66</v>
      </c>
      <c r="G688" s="544">
        <v>0</v>
      </c>
      <c r="H688" s="544">
        <v>2548.66</v>
      </c>
      <c r="I688" s="316">
        <v>0</v>
      </c>
      <c r="J688" s="518">
        <v>2548.66</v>
      </c>
      <c r="K688" s="518">
        <v>0</v>
      </c>
      <c r="L688" s="518">
        <v>2548.66</v>
      </c>
      <c r="M688" s="518">
        <v>2548.66</v>
      </c>
      <c r="N688" s="313">
        <f t="shared" si="10"/>
        <v>0</v>
      </c>
      <c r="P688" s="302"/>
    </row>
    <row r="689" spans="3:16" ht="15" customHeight="1" x14ac:dyDescent="0.3">
      <c r="C689" s="545" t="s">
        <v>4953</v>
      </c>
      <c r="D689" s="545" t="s">
        <v>5920</v>
      </c>
      <c r="E689" s="544"/>
      <c r="F689" s="544"/>
      <c r="G689" s="544"/>
      <c r="H689" s="544"/>
      <c r="I689" s="316"/>
      <c r="J689" s="518">
        <v>26991.66</v>
      </c>
      <c r="K689" s="518">
        <v>0</v>
      </c>
      <c r="L689" s="518">
        <v>26991.66</v>
      </c>
      <c r="M689" s="518">
        <v>26991.66</v>
      </c>
      <c r="N689" s="313">
        <f t="shared" si="10"/>
        <v>0</v>
      </c>
      <c r="P689" s="302"/>
    </row>
    <row r="690" spans="3:16" ht="15" customHeight="1" x14ac:dyDescent="0.3">
      <c r="C690" s="545" t="s">
        <v>4891</v>
      </c>
      <c r="D690" s="545" t="s">
        <v>1877</v>
      </c>
      <c r="E690" s="544">
        <v>0</v>
      </c>
      <c r="F690" s="544">
        <v>306001.65999999997</v>
      </c>
      <c r="G690" s="544">
        <v>0</v>
      </c>
      <c r="H690" s="544">
        <v>306001.65999999997</v>
      </c>
      <c r="I690" s="316">
        <v>0</v>
      </c>
      <c r="J690" s="518">
        <v>306001.65999999997</v>
      </c>
      <c r="K690" s="518">
        <v>0</v>
      </c>
      <c r="L690" s="518">
        <v>306001.65999999997</v>
      </c>
      <c r="M690" s="518">
        <v>306001.65999999997</v>
      </c>
      <c r="N690" s="313">
        <f t="shared" si="10"/>
        <v>0</v>
      </c>
      <c r="P690" s="302"/>
    </row>
    <row r="691" spans="3:16" ht="15" customHeight="1" x14ac:dyDescent="0.3">
      <c r="C691" s="545" t="s">
        <v>4892</v>
      </c>
      <c r="D691" s="545" t="s">
        <v>1874</v>
      </c>
      <c r="E691" s="544"/>
      <c r="F691" s="544"/>
      <c r="G691" s="544"/>
      <c r="H691" s="544"/>
      <c r="J691" s="518"/>
      <c r="K691" s="518"/>
      <c r="L691" s="518"/>
      <c r="M691" s="317"/>
      <c r="N691" s="313">
        <f t="shared" si="10"/>
        <v>0</v>
      </c>
      <c r="P691" s="302"/>
    </row>
    <row r="692" spans="3:16" ht="15" customHeight="1" x14ac:dyDescent="0.3">
      <c r="C692" s="545" t="s">
        <v>4893</v>
      </c>
      <c r="D692" s="545" t="s">
        <v>3630</v>
      </c>
      <c r="E692" s="544"/>
      <c r="F692" s="544"/>
      <c r="G692" s="544"/>
      <c r="H692" s="544"/>
      <c r="J692" s="518"/>
      <c r="K692" s="518"/>
      <c r="L692" s="518"/>
      <c r="M692" s="317"/>
      <c r="N692" s="313">
        <f t="shared" si="10"/>
        <v>0</v>
      </c>
      <c r="P692" s="302"/>
    </row>
    <row r="693" spans="3:16" ht="15" customHeight="1" x14ac:dyDescent="0.3">
      <c r="C693" s="543" t="s">
        <v>4894</v>
      </c>
      <c r="D693" s="319" t="s">
        <v>3631</v>
      </c>
      <c r="E693" s="544">
        <v>0</v>
      </c>
      <c r="F693" s="544">
        <v>41646.160000000003</v>
      </c>
      <c r="G693" s="544">
        <v>0</v>
      </c>
      <c r="H693" s="544">
        <v>41646.160000000003</v>
      </c>
      <c r="I693" s="312">
        <v>0</v>
      </c>
      <c r="J693" s="517">
        <v>41646.160000000003</v>
      </c>
      <c r="K693" s="517">
        <v>0</v>
      </c>
      <c r="L693" s="517">
        <v>41646.160000000003</v>
      </c>
      <c r="M693" s="517">
        <v>41646.160000000003</v>
      </c>
      <c r="N693" s="313">
        <f t="shared" si="10"/>
        <v>0</v>
      </c>
      <c r="P693" s="302">
        <v>24</v>
      </c>
    </row>
    <row r="694" spans="3:16" ht="15" customHeight="1" x14ac:dyDescent="0.3">
      <c r="C694" s="545" t="s">
        <v>4895</v>
      </c>
      <c r="D694" s="320" t="s">
        <v>3632</v>
      </c>
      <c r="E694" s="544">
        <v>0</v>
      </c>
      <c r="F694" s="544">
        <v>41100.800000000003</v>
      </c>
      <c r="G694" s="544">
        <v>0</v>
      </c>
      <c r="H694" s="544">
        <v>41100.800000000003</v>
      </c>
      <c r="I694" s="316">
        <v>0</v>
      </c>
      <c r="J694" s="518">
        <v>41100.800000000003</v>
      </c>
      <c r="K694" s="518">
        <v>0</v>
      </c>
      <c r="L694" s="518">
        <v>41100.800000000003</v>
      </c>
      <c r="M694" s="518">
        <v>41100.800000000003</v>
      </c>
      <c r="N694" s="313">
        <f t="shared" si="10"/>
        <v>0</v>
      </c>
      <c r="P694" s="302"/>
    </row>
    <row r="695" spans="3:16" ht="15" customHeight="1" x14ac:dyDescent="0.3">
      <c r="C695" s="545" t="s">
        <v>4896</v>
      </c>
      <c r="D695" s="320" t="s">
        <v>3633</v>
      </c>
      <c r="E695" s="544">
        <v>0</v>
      </c>
      <c r="F695" s="544">
        <v>545.36</v>
      </c>
      <c r="G695" s="544">
        <v>0</v>
      </c>
      <c r="H695" s="544">
        <v>545.36</v>
      </c>
      <c r="I695" s="316">
        <v>0</v>
      </c>
      <c r="J695" s="518">
        <v>545.36</v>
      </c>
      <c r="K695" s="518">
        <v>0</v>
      </c>
      <c r="L695" s="518">
        <v>545.36</v>
      </c>
      <c r="M695" s="518">
        <v>545.36</v>
      </c>
      <c r="N695" s="313">
        <f t="shared" si="10"/>
        <v>0</v>
      </c>
      <c r="P695" s="302"/>
    </row>
    <row r="696" spans="3:16" ht="15" customHeight="1" x14ac:dyDescent="0.3">
      <c r="C696" s="543" t="s">
        <v>4897</v>
      </c>
      <c r="D696" s="319" t="s">
        <v>1880</v>
      </c>
      <c r="E696" s="544">
        <v>0</v>
      </c>
      <c r="F696" s="544">
        <v>360139.07</v>
      </c>
      <c r="G696" s="544">
        <v>2588.6799999999998</v>
      </c>
      <c r="H696" s="544">
        <v>357550.39</v>
      </c>
      <c r="I696" s="312">
        <v>0</v>
      </c>
      <c r="J696" s="517">
        <v>360139.07</v>
      </c>
      <c r="K696" s="517">
        <v>2588.6799999999998</v>
      </c>
      <c r="L696" s="517">
        <v>357550.39</v>
      </c>
      <c r="M696" s="517">
        <v>357550.39</v>
      </c>
      <c r="N696" s="313">
        <f t="shared" si="10"/>
        <v>0</v>
      </c>
      <c r="P696" s="302">
        <v>24</v>
      </c>
    </row>
    <row r="697" spans="3:16" ht="15" customHeight="1" x14ac:dyDescent="0.3">
      <c r="C697" s="545" t="s">
        <v>4898</v>
      </c>
      <c r="D697" s="320" t="s">
        <v>3634</v>
      </c>
      <c r="E697" s="544"/>
      <c r="F697" s="544"/>
      <c r="G697" s="544"/>
      <c r="H697" s="544"/>
      <c r="I697" s="316"/>
      <c r="J697" s="518"/>
      <c r="K697" s="518"/>
      <c r="L697" s="518"/>
      <c r="M697" s="317"/>
      <c r="N697" s="313">
        <f t="shared" si="10"/>
        <v>0</v>
      </c>
      <c r="P697" s="302"/>
    </row>
    <row r="698" spans="3:16" ht="15" customHeight="1" x14ac:dyDescent="0.3">
      <c r="C698" s="545" t="s">
        <v>4899</v>
      </c>
      <c r="D698" s="320" t="s">
        <v>3635</v>
      </c>
      <c r="E698" s="544"/>
      <c r="F698" s="544"/>
      <c r="G698" s="544"/>
      <c r="H698" s="544"/>
      <c r="I698" s="316"/>
      <c r="J698" s="518"/>
      <c r="K698" s="518"/>
      <c r="L698" s="518"/>
      <c r="M698" s="317"/>
      <c r="N698" s="313">
        <f t="shared" si="10"/>
        <v>0</v>
      </c>
      <c r="P698" s="302"/>
    </row>
    <row r="699" spans="3:16" ht="15" customHeight="1" x14ac:dyDescent="0.3">
      <c r="C699" s="545" t="s">
        <v>4900</v>
      </c>
      <c r="D699" s="320" t="s">
        <v>3636</v>
      </c>
      <c r="E699" s="544">
        <v>0</v>
      </c>
      <c r="F699" s="544">
        <v>33184.6</v>
      </c>
      <c r="G699" s="544">
        <v>0</v>
      </c>
      <c r="H699" s="544">
        <v>33184.6</v>
      </c>
      <c r="I699" s="316">
        <v>0</v>
      </c>
      <c r="J699" s="518">
        <v>33184.6</v>
      </c>
      <c r="K699" s="518">
        <v>0</v>
      </c>
      <c r="L699" s="518">
        <v>33184.6</v>
      </c>
      <c r="M699" s="518">
        <v>33184.6</v>
      </c>
      <c r="N699" s="313">
        <f t="shared" si="10"/>
        <v>0</v>
      </c>
      <c r="P699" s="302"/>
    </row>
    <row r="700" spans="3:16" ht="15" customHeight="1" x14ac:dyDescent="0.3">
      <c r="C700" s="545" t="s">
        <v>4901</v>
      </c>
      <c r="D700" s="320" t="s">
        <v>3637</v>
      </c>
      <c r="E700" s="544"/>
      <c r="F700" s="544"/>
      <c r="G700" s="544"/>
      <c r="H700" s="544"/>
      <c r="I700" s="316"/>
      <c r="J700" s="518"/>
      <c r="K700" s="518"/>
      <c r="L700" s="518"/>
      <c r="M700" s="518"/>
      <c r="N700" s="313">
        <f t="shared" si="10"/>
        <v>0</v>
      </c>
      <c r="P700" s="302"/>
    </row>
    <row r="701" spans="3:16" ht="15" customHeight="1" x14ac:dyDescent="0.3">
      <c r="C701" s="545" t="s">
        <v>4902</v>
      </c>
      <c r="D701" s="320" t="s">
        <v>3638</v>
      </c>
      <c r="E701" s="544">
        <v>0</v>
      </c>
      <c r="F701" s="544">
        <v>18591.38</v>
      </c>
      <c r="G701" s="544">
        <v>0</v>
      </c>
      <c r="H701" s="544">
        <v>18591.38</v>
      </c>
      <c r="I701" s="316">
        <v>0</v>
      </c>
      <c r="J701" s="518">
        <v>18591.38</v>
      </c>
      <c r="K701" s="518">
        <v>0</v>
      </c>
      <c r="L701" s="518">
        <v>18591.38</v>
      </c>
      <c r="M701" s="518">
        <v>18591.38</v>
      </c>
      <c r="N701" s="313">
        <f t="shared" si="10"/>
        <v>0</v>
      </c>
      <c r="P701" s="302"/>
    </row>
    <row r="702" spans="3:16" ht="15" customHeight="1" x14ac:dyDescent="0.3">
      <c r="C702" s="545" t="s">
        <v>4903</v>
      </c>
      <c r="D702" s="320" t="s">
        <v>3639</v>
      </c>
      <c r="E702" s="544">
        <v>0</v>
      </c>
      <c r="F702" s="544">
        <v>2588.6799999999998</v>
      </c>
      <c r="G702" s="544">
        <v>2588.6799999999998</v>
      </c>
      <c r="H702" s="544">
        <v>0</v>
      </c>
      <c r="I702" s="316">
        <v>0</v>
      </c>
      <c r="J702" s="518">
        <v>2588.6799999999998</v>
      </c>
      <c r="K702" s="518">
        <v>2588.6799999999998</v>
      </c>
      <c r="L702" s="518">
        <v>0</v>
      </c>
      <c r="M702" s="518">
        <v>0</v>
      </c>
      <c r="N702" s="313">
        <f t="shared" si="10"/>
        <v>0</v>
      </c>
      <c r="P702" s="302"/>
    </row>
    <row r="703" spans="3:16" ht="15" customHeight="1" x14ac:dyDescent="0.3">
      <c r="C703" s="545" t="s">
        <v>4904</v>
      </c>
      <c r="D703" s="545" t="s">
        <v>3640</v>
      </c>
      <c r="E703" s="544">
        <v>0</v>
      </c>
      <c r="F703" s="544">
        <v>305774.40999999997</v>
      </c>
      <c r="G703" s="544">
        <v>0</v>
      </c>
      <c r="H703" s="544">
        <v>305774.40999999997</v>
      </c>
      <c r="I703" s="318">
        <v>0</v>
      </c>
      <c r="J703" s="518">
        <v>305774.40999999997</v>
      </c>
      <c r="K703" s="518">
        <v>0</v>
      </c>
      <c r="L703" s="518">
        <v>305774.40999999997</v>
      </c>
      <c r="M703" s="518">
        <v>305774.40999999997</v>
      </c>
      <c r="N703" s="313">
        <f t="shared" si="10"/>
        <v>0</v>
      </c>
      <c r="P703" s="302"/>
    </row>
    <row r="704" spans="3:16" ht="15" customHeight="1" x14ac:dyDescent="0.3">
      <c r="C704" s="545" t="s">
        <v>4905</v>
      </c>
      <c r="D704" s="545" t="s">
        <v>3641</v>
      </c>
      <c r="E704" s="544"/>
      <c r="F704" s="544"/>
      <c r="G704" s="544"/>
      <c r="H704" s="544"/>
      <c r="J704" s="518"/>
      <c r="K704" s="518"/>
      <c r="L704" s="518"/>
      <c r="M704" s="317"/>
      <c r="N704" s="313">
        <f t="shared" si="10"/>
        <v>0</v>
      </c>
      <c r="P704" s="302"/>
    </row>
    <row r="705" spans="3:16" ht="15" customHeight="1" x14ac:dyDescent="0.3">
      <c r="C705" s="543" t="s">
        <v>4906</v>
      </c>
      <c r="D705" s="319" t="s">
        <v>3642</v>
      </c>
      <c r="E705" s="544">
        <v>0</v>
      </c>
      <c r="F705" s="544">
        <v>25256.48</v>
      </c>
      <c r="G705" s="544">
        <v>0</v>
      </c>
      <c r="H705" s="544">
        <v>25256.48</v>
      </c>
      <c r="I705" s="312">
        <v>0</v>
      </c>
      <c r="J705" s="517">
        <v>25256.48</v>
      </c>
      <c r="K705" s="517">
        <v>0</v>
      </c>
      <c r="L705" s="517">
        <v>25256.48</v>
      </c>
      <c r="M705" s="517">
        <v>25256.48</v>
      </c>
      <c r="N705" s="313">
        <f t="shared" si="10"/>
        <v>0</v>
      </c>
      <c r="P705" s="302"/>
    </row>
    <row r="706" spans="3:16" ht="15" customHeight="1" x14ac:dyDescent="0.3">
      <c r="C706" s="543" t="s">
        <v>4907</v>
      </c>
      <c r="D706" s="319" t="s">
        <v>3643</v>
      </c>
      <c r="E706" s="544">
        <v>0</v>
      </c>
      <c r="F706" s="544">
        <v>25256.48</v>
      </c>
      <c r="G706" s="544">
        <v>0</v>
      </c>
      <c r="H706" s="544">
        <v>25256.48</v>
      </c>
      <c r="I706" s="312">
        <v>0</v>
      </c>
      <c r="J706" s="517">
        <v>25256.48</v>
      </c>
      <c r="K706" s="517">
        <v>0</v>
      </c>
      <c r="L706" s="517">
        <v>25256.48</v>
      </c>
      <c r="M706" s="517">
        <v>25256.48</v>
      </c>
      <c r="N706" s="313">
        <f t="shared" si="10"/>
        <v>0</v>
      </c>
      <c r="P706" s="302"/>
    </row>
    <row r="707" spans="3:16" ht="15" customHeight="1" x14ac:dyDescent="0.3">
      <c r="C707" s="545" t="s">
        <v>4908</v>
      </c>
      <c r="D707" s="320" t="s">
        <v>3644</v>
      </c>
      <c r="E707" s="544">
        <v>0</v>
      </c>
      <c r="F707" s="544">
        <v>25256.48</v>
      </c>
      <c r="G707" s="544">
        <v>0</v>
      </c>
      <c r="H707" s="544">
        <v>25256.48</v>
      </c>
      <c r="I707" s="316">
        <v>0</v>
      </c>
      <c r="J707" s="518">
        <v>25256.48</v>
      </c>
      <c r="K707" s="518">
        <v>0</v>
      </c>
      <c r="L707" s="518">
        <v>25256.48</v>
      </c>
      <c r="M707" s="518">
        <v>25256.48</v>
      </c>
      <c r="N707" s="313">
        <f t="shared" si="10"/>
        <v>0</v>
      </c>
      <c r="P707" s="302">
        <v>23</v>
      </c>
    </row>
    <row r="708" spans="3:16" ht="15" customHeight="1" x14ac:dyDescent="0.3">
      <c r="C708" s="559" t="s">
        <v>5830</v>
      </c>
      <c r="D708" s="560" t="s">
        <v>5831</v>
      </c>
      <c r="E708" s="558"/>
      <c r="F708" s="558"/>
      <c r="G708" s="558"/>
      <c r="H708" s="558"/>
      <c r="I708" s="561">
        <v>0</v>
      </c>
      <c r="J708" s="562">
        <v>0</v>
      </c>
      <c r="K708" s="562">
        <v>0</v>
      </c>
      <c r="L708" s="562">
        <v>0</v>
      </c>
      <c r="M708" s="594"/>
      <c r="N708" s="313">
        <f t="shared" si="10"/>
        <v>0</v>
      </c>
      <c r="P708" s="302"/>
    </row>
    <row r="709" spans="3:16" ht="15" customHeight="1" x14ac:dyDescent="0.3">
      <c r="C709" s="559" t="s">
        <v>5832</v>
      </c>
      <c r="D709" s="560" t="s">
        <v>5833</v>
      </c>
      <c r="E709" s="558"/>
      <c r="F709" s="558"/>
      <c r="G709" s="558"/>
      <c r="H709" s="558"/>
      <c r="I709" s="561">
        <v>0</v>
      </c>
      <c r="J709" s="562">
        <v>0</v>
      </c>
      <c r="K709" s="562">
        <v>0</v>
      </c>
      <c r="L709" s="562">
        <v>0</v>
      </c>
      <c r="M709" s="594"/>
      <c r="N709" s="313">
        <f t="shared" si="10"/>
        <v>0</v>
      </c>
      <c r="P709" s="302"/>
    </row>
    <row r="710" spans="3:16" ht="15" customHeight="1" x14ac:dyDescent="0.3">
      <c r="C710" s="559" t="s">
        <v>5834</v>
      </c>
      <c r="D710" s="560" t="s">
        <v>5835</v>
      </c>
      <c r="E710" s="558"/>
      <c r="F710" s="558"/>
      <c r="G710" s="558"/>
      <c r="H710" s="558"/>
      <c r="I710" s="561">
        <v>0</v>
      </c>
      <c r="J710" s="562">
        <v>0</v>
      </c>
      <c r="K710" s="562">
        <v>0</v>
      </c>
      <c r="L710" s="562">
        <v>0</v>
      </c>
      <c r="M710" s="555">
        <f>J711+J712+J713+J714+J715+J716</f>
        <v>57300.859999999993</v>
      </c>
      <c r="N710" s="313">
        <f t="shared" si="10"/>
        <v>-57300.859999999993</v>
      </c>
      <c r="P710" s="458" t="s">
        <v>3604</v>
      </c>
    </row>
    <row r="711" spans="3:16" ht="15" customHeight="1" x14ac:dyDescent="0.3">
      <c r="C711" s="563" t="s">
        <v>5836</v>
      </c>
      <c r="D711" s="564" t="s">
        <v>5837</v>
      </c>
      <c r="E711" s="558"/>
      <c r="F711" s="558"/>
      <c r="G711" s="558"/>
      <c r="H711" s="558"/>
      <c r="I711" s="598">
        <v>45657</v>
      </c>
      <c r="J711" s="566">
        <v>34997.629999999997</v>
      </c>
      <c r="L711" s="565"/>
      <c r="M711" s="317"/>
      <c r="N711" s="313">
        <f t="shared" si="10"/>
        <v>0</v>
      </c>
      <c r="P711" s="302"/>
    </row>
    <row r="712" spans="3:16" ht="15" customHeight="1" x14ac:dyDescent="0.3">
      <c r="C712" s="563"/>
      <c r="D712" s="564"/>
      <c r="E712" s="558"/>
      <c r="F712" s="558"/>
      <c r="G712" s="558"/>
      <c r="H712" s="558"/>
      <c r="I712" s="598">
        <v>45657</v>
      </c>
      <c r="J712" s="566">
        <v>8965.7999999999993</v>
      </c>
      <c r="L712" s="562"/>
      <c r="M712" s="317"/>
      <c r="N712" s="313">
        <f t="shared" si="10"/>
        <v>0</v>
      </c>
      <c r="P712" s="302"/>
    </row>
    <row r="713" spans="3:16" ht="15" customHeight="1" x14ac:dyDescent="0.3">
      <c r="C713" s="563"/>
      <c r="D713" s="564"/>
      <c r="E713" s="558"/>
      <c r="F713" s="558"/>
      <c r="G713" s="558"/>
      <c r="H713" s="558"/>
      <c r="I713" s="589">
        <v>45657</v>
      </c>
      <c r="J713" s="566">
        <v>4391.76</v>
      </c>
      <c r="K713" s="519"/>
      <c r="L713" s="562"/>
      <c r="M713" s="317"/>
      <c r="N713" s="313">
        <f t="shared" si="10"/>
        <v>0</v>
      </c>
      <c r="P713" s="302"/>
    </row>
    <row r="714" spans="3:16" ht="15" customHeight="1" x14ac:dyDescent="0.3">
      <c r="C714" s="563"/>
      <c r="D714" s="564"/>
      <c r="E714" s="558"/>
      <c r="F714" s="558"/>
      <c r="G714" s="558"/>
      <c r="H714" s="558"/>
      <c r="I714" s="589">
        <v>45657</v>
      </c>
      <c r="J714" s="566">
        <v>3864.04</v>
      </c>
      <c r="L714" s="562"/>
      <c r="M714" s="317"/>
      <c r="N714" s="313">
        <f t="shared" si="10"/>
        <v>0</v>
      </c>
      <c r="P714" s="302"/>
    </row>
    <row r="715" spans="3:16" ht="15" customHeight="1" x14ac:dyDescent="0.3">
      <c r="C715" s="563"/>
      <c r="D715" s="564"/>
      <c r="E715" s="558"/>
      <c r="F715" s="558"/>
      <c r="G715" s="558"/>
      <c r="H715" s="558"/>
      <c r="I715" s="589">
        <v>45657</v>
      </c>
      <c r="J715" s="566">
        <v>2725.64</v>
      </c>
      <c r="L715" s="562"/>
      <c r="M715" s="317"/>
      <c r="N715" s="313">
        <f t="shared" si="10"/>
        <v>0</v>
      </c>
      <c r="P715" s="302"/>
    </row>
    <row r="716" spans="3:16" ht="15" customHeight="1" x14ac:dyDescent="0.3">
      <c r="C716" s="563"/>
      <c r="D716" s="564"/>
      <c r="E716" s="558"/>
      <c r="F716" s="558"/>
      <c r="G716" s="558"/>
      <c r="H716" s="558"/>
      <c r="I716" s="589">
        <v>45657</v>
      </c>
      <c r="J716" s="566">
        <v>2355.9899999999998</v>
      </c>
      <c r="L716" s="562"/>
      <c r="M716" s="317"/>
      <c r="N716" s="313">
        <f t="shared" si="10"/>
        <v>0</v>
      </c>
      <c r="P716" s="302"/>
    </row>
    <row r="717" spans="3:16" ht="15" customHeight="1" x14ac:dyDescent="0.3">
      <c r="C717" s="543">
        <v>4</v>
      </c>
      <c r="D717" s="319" t="s">
        <v>3645</v>
      </c>
      <c r="E717" s="544">
        <v>0</v>
      </c>
      <c r="F717" s="544">
        <v>9952443.5399999991</v>
      </c>
      <c r="G717" s="544">
        <v>46138192.020000003</v>
      </c>
      <c r="H717" s="544">
        <v>-36185748.479999997</v>
      </c>
      <c r="I717" s="312">
        <v>0</v>
      </c>
      <c r="J717" s="517">
        <v>9952443.5399999991</v>
      </c>
      <c r="K717" s="517">
        <v>46138192.020000003</v>
      </c>
      <c r="L717" s="517">
        <v>-36185748.479999997</v>
      </c>
      <c r="M717" s="313">
        <v>-36185748.479999997</v>
      </c>
      <c r="N717" s="313">
        <f t="shared" ref="N717:N759" si="11">L717-M717</f>
        <v>0</v>
      </c>
      <c r="P717" s="302"/>
    </row>
    <row r="718" spans="3:16" ht="15" customHeight="1" x14ac:dyDescent="0.3">
      <c r="C718" s="543" t="s">
        <v>4909</v>
      </c>
      <c r="D718" s="319" t="s">
        <v>3646</v>
      </c>
      <c r="E718" s="544">
        <v>0</v>
      </c>
      <c r="F718" s="544">
        <v>51957.42</v>
      </c>
      <c r="G718" s="544">
        <v>5940222.3200000003</v>
      </c>
      <c r="H718" s="544">
        <v>-5888264.9000000004</v>
      </c>
      <c r="I718" s="312">
        <v>0</v>
      </c>
      <c r="J718" s="517">
        <v>51957.42</v>
      </c>
      <c r="K718" s="517">
        <v>5940222.3200000003</v>
      </c>
      <c r="L718" s="517">
        <v>-5888264.9000000004</v>
      </c>
      <c r="M718" s="313">
        <v>-5888264.9000000004</v>
      </c>
      <c r="N718" s="313">
        <f t="shared" si="11"/>
        <v>0</v>
      </c>
      <c r="P718" s="600" t="s">
        <v>3647</v>
      </c>
    </row>
    <row r="719" spans="3:16" ht="15" customHeight="1" x14ac:dyDescent="0.3">
      <c r="C719" s="543" t="s">
        <v>4910</v>
      </c>
      <c r="D719" s="319" t="s">
        <v>3648</v>
      </c>
      <c r="E719" s="544">
        <v>0</v>
      </c>
      <c r="F719" s="544">
        <v>51957.42</v>
      </c>
      <c r="G719" s="544">
        <v>5940222.3200000003</v>
      </c>
      <c r="H719" s="544">
        <v>-5888264.9000000004</v>
      </c>
      <c r="I719" s="312">
        <v>0</v>
      </c>
      <c r="J719" s="517">
        <v>51957.42</v>
      </c>
      <c r="K719" s="517">
        <v>5940222.3200000003</v>
      </c>
      <c r="L719" s="517">
        <v>-5888264.9000000004</v>
      </c>
      <c r="M719" s="313">
        <v>-5888264.9000000004</v>
      </c>
      <c r="N719" s="313">
        <f t="shared" si="11"/>
        <v>0</v>
      </c>
      <c r="P719" s="302"/>
    </row>
    <row r="720" spans="3:16" ht="15" customHeight="1" x14ac:dyDescent="0.3">
      <c r="C720" s="543" t="s">
        <v>4911</v>
      </c>
      <c r="D720" s="319" t="s">
        <v>1909</v>
      </c>
      <c r="E720" s="544">
        <v>0</v>
      </c>
      <c r="F720" s="544">
        <v>51957.42</v>
      </c>
      <c r="G720" s="544">
        <v>5940222.3200000003</v>
      </c>
      <c r="H720" s="544">
        <v>-5888264.9000000004</v>
      </c>
      <c r="I720" s="312">
        <v>0</v>
      </c>
      <c r="J720" s="517">
        <v>51957.42</v>
      </c>
      <c r="K720" s="517">
        <v>5940222.3200000003</v>
      </c>
      <c r="L720" s="517">
        <v>-5888264.9000000004</v>
      </c>
      <c r="M720" s="313">
        <v>-5888264.9000000004</v>
      </c>
      <c r="N720" s="313">
        <f t="shared" si="11"/>
        <v>0</v>
      </c>
      <c r="P720" s="302"/>
    </row>
    <row r="721" spans="3:19" ht="15" customHeight="1" x14ac:dyDescent="0.3">
      <c r="C721" s="545" t="s">
        <v>4912</v>
      </c>
      <c r="D721" s="320" t="s">
        <v>3649</v>
      </c>
      <c r="E721" s="544">
        <v>0</v>
      </c>
      <c r="F721" s="544">
        <v>51957.42</v>
      </c>
      <c r="G721" s="544">
        <v>5940222.3200000003</v>
      </c>
      <c r="H721" s="544">
        <v>-5888264.9000000004</v>
      </c>
      <c r="I721" s="316">
        <v>0</v>
      </c>
      <c r="J721" s="518">
        <v>51957.42</v>
      </c>
      <c r="K721" s="518">
        <v>5940222.3200000003</v>
      </c>
      <c r="L721" s="518">
        <v>-5888264.9000000004</v>
      </c>
      <c r="M721" s="317">
        <v>-5888264.9000000004</v>
      </c>
      <c r="N721" s="313">
        <f t="shared" si="11"/>
        <v>0</v>
      </c>
      <c r="P721" s="302"/>
    </row>
    <row r="722" spans="3:19" ht="15" customHeight="1" x14ac:dyDescent="0.3">
      <c r="C722" s="545" t="s">
        <v>4913</v>
      </c>
      <c r="D722" s="320" t="s">
        <v>3650</v>
      </c>
      <c r="E722" s="544"/>
      <c r="F722" s="544"/>
      <c r="G722" s="544"/>
      <c r="H722" s="544"/>
      <c r="J722" s="518"/>
      <c r="K722" s="518"/>
      <c r="L722" s="518"/>
      <c r="M722" s="317"/>
      <c r="N722" s="313">
        <f t="shared" si="11"/>
        <v>0</v>
      </c>
      <c r="P722" s="302"/>
    </row>
    <row r="723" spans="3:19" ht="15" customHeight="1" x14ac:dyDescent="0.3">
      <c r="C723" s="543" t="s">
        <v>4914</v>
      </c>
      <c r="D723" s="319" t="s">
        <v>3651</v>
      </c>
      <c r="E723" s="544">
        <v>0</v>
      </c>
      <c r="F723" s="544">
        <v>9900486.1199999992</v>
      </c>
      <c r="G723" s="544">
        <v>40197969.700000003</v>
      </c>
      <c r="H723" s="544">
        <v>-30297483.579999998</v>
      </c>
      <c r="I723" s="312">
        <v>0</v>
      </c>
      <c r="J723" s="517">
        <v>9900486.1199999992</v>
      </c>
      <c r="K723" s="517">
        <v>40197969.700000003</v>
      </c>
      <c r="L723" s="517">
        <v>-30297483.579999998</v>
      </c>
      <c r="M723" s="313">
        <v>-30297483.579999998</v>
      </c>
      <c r="N723" s="313">
        <f t="shared" si="11"/>
        <v>0</v>
      </c>
      <c r="P723" s="302"/>
    </row>
    <row r="724" spans="3:19" ht="15" customHeight="1" x14ac:dyDescent="0.3">
      <c r="C724" s="543" t="s">
        <v>4915</v>
      </c>
      <c r="D724" s="319" t="s">
        <v>3652</v>
      </c>
      <c r="E724" s="544">
        <v>0</v>
      </c>
      <c r="F724" s="544">
        <v>0</v>
      </c>
      <c r="G724" s="544">
        <v>30000</v>
      </c>
      <c r="H724" s="544">
        <v>-30000</v>
      </c>
      <c r="I724" s="312">
        <v>0</v>
      </c>
      <c r="J724" s="517">
        <v>0</v>
      </c>
      <c r="K724" s="517">
        <v>30000</v>
      </c>
      <c r="L724" s="517">
        <v>-30000</v>
      </c>
      <c r="M724" s="313">
        <v>-30000</v>
      </c>
      <c r="N724" s="313">
        <f t="shared" si="11"/>
        <v>0</v>
      </c>
      <c r="P724" s="302"/>
    </row>
    <row r="725" spans="3:19" ht="15" customHeight="1" x14ac:dyDescent="0.3">
      <c r="C725" s="543" t="s">
        <v>4916</v>
      </c>
      <c r="D725" s="319" t="s">
        <v>3653</v>
      </c>
      <c r="E725" s="544">
        <v>0</v>
      </c>
      <c r="F725" s="544">
        <v>0</v>
      </c>
      <c r="G725" s="544">
        <v>30000</v>
      </c>
      <c r="H725" s="544">
        <v>-30000</v>
      </c>
      <c r="I725" s="312">
        <v>0</v>
      </c>
      <c r="J725" s="517">
        <v>0</v>
      </c>
      <c r="K725" s="517">
        <v>30000</v>
      </c>
      <c r="L725" s="517">
        <v>-30000</v>
      </c>
      <c r="M725" s="313">
        <v>-30000</v>
      </c>
      <c r="N725" s="313">
        <f t="shared" si="11"/>
        <v>0</v>
      </c>
      <c r="P725" s="302"/>
    </row>
    <row r="726" spans="3:19" ht="15" customHeight="1" x14ac:dyDescent="0.3">
      <c r="C726" s="545" t="s">
        <v>4917</v>
      </c>
      <c r="D726" s="320" t="s">
        <v>3654</v>
      </c>
      <c r="E726" s="544">
        <v>0</v>
      </c>
      <c r="F726" s="544">
        <v>0</v>
      </c>
      <c r="G726" s="544">
        <v>30000</v>
      </c>
      <c r="H726" s="544">
        <v>-30000</v>
      </c>
      <c r="I726" s="316">
        <v>0</v>
      </c>
      <c r="J726" s="518">
        <v>0</v>
      </c>
      <c r="K726" s="518">
        <v>30000</v>
      </c>
      <c r="L726" s="518">
        <v>-30000</v>
      </c>
      <c r="M726" s="317">
        <v>-30000</v>
      </c>
      <c r="N726" s="313">
        <f t="shared" si="11"/>
        <v>0</v>
      </c>
      <c r="P726" s="600" t="s">
        <v>3655</v>
      </c>
    </row>
    <row r="727" spans="3:19" ht="15" customHeight="1" x14ac:dyDescent="0.3">
      <c r="C727" s="543" t="s">
        <v>4914</v>
      </c>
      <c r="D727" s="319" t="s">
        <v>3656</v>
      </c>
      <c r="E727" s="544">
        <v>0</v>
      </c>
      <c r="F727" s="544">
        <v>9900486.1199999992</v>
      </c>
      <c r="G727" s="544">
        <v>40197969.700000003</v>
      </c>
      <c r="H727" s="544">
        <v>-30297483.579999998</v>
      </c>
      <c r="I727" s="306">
        <v>0</v>
      </c>
      <c r="J727" s="517">
        <v>9900486.1199999992</v>
      </c>
      <c r="K727" s="517">
        <v>40197969.700000003</v>
      </c>
      <c r="L727" s="517">
        <v>-30297483.579999998</v>
      </c>
      <c r="M727" s="313">
        <v>-30297483.579999998</v>
      </c>
      <c r="N727" s="313">
        <f t="shared" si="11"/>
        <v>0</v>
      </c>
      <c r="P727" s="600"/>
    </row>
    <row r="728" spans="3:19" s="525" customFormat="1" ht="15" customHeight="1" x14ac:dyDescent="0.3">
      <c r="C728" s="552" t="s">
        <v>4918</v>
      </c>
      <c r="D728" s="540" t="s">
        <v>3657</v>
      </c>
      <c r="E728" s="544"/>
      <c r="F728" s="544"/>
      <c r="G728" s="544"/>
      <c r="H728" s="544"/>
      <c r="I728" s="306"/>
      <c r="J728" s="517"/>
      <c r="K728" s="517"/>
      <c r="L728" s="517"/>
      <c r="M728" s="313"/>
      <c r="N728" s="313">
        <f t="shared" si="11"/>
        <v>0</v>
      </c>
      <c r="P728" s="321" t="s">
        <v>3578</v>
      </c>
      <c r="R728" s="519"/>
      <c r="S728" s="519"/>
    </row>
    <row r="729" spans="3:19" s="525" customFormat="1" ht="15" customHeight="1" x14ac:dyDescent="0.3">
      <c r="C729" s="552" t="s">
        <v>4919</v>
      </c>
      <c r="D729" s="540" t="s">
        <v>3658</v>
      </c>
      <c r="E729" s="544"/>
      <c r="F729" s="544"/>
      <c r="G729" s="544"/>
      <c r="H729" s="544"/>
      <c r="I729" s="306"/>
      <c r="J729" s="517"/>
      <c r="K729" s="517"/>
      <c r="L729" s="517"/>
      <c r="M729" s="313"/>
      <c r="N729" s="313">
        <f t="shared" si="11"/>
        <v>0</v>
      </c>
      <c r="P729" s="600" t="s">
        <v>3655</v>
      </c>
      <c r="R729" s="519"/>
      <c r="S729" s="519"/>
    </row>
    <row r="730" spans="3:19" s="525" customFormat="1" ht="15" customHeight="1" x14ac:dyDescent="0.3">
      <c r="C730" s="550" t="s">
        <v>4920</v>
      </c>
      <c r="D730" s="551" t="s">
        <v>3659</v>
      </c>
      <c r="E730" s="544"/>
      <c r="F730" s="544"/>
      <c r="G730" s="544"/>
      <c r="H730" s="544"/>
      <c r="I730" s="332"/>
      <c r="J730" s="518"/>
      <c r="K730" s="518"/>
      <c r="L730" s="518"/>
      <c r="M730" s="317"/>
      <c r="N730" s="313">
        <f t="shared" si="11"/>
        <v>0</v>
      </c>
      <c r="P730" s="321" t="s">
        <v>3578</v>
      </c>
      <c r="R730" s="519"/>
      <c r="S730" s="519"/>
    </row>
    <row r="731" spans="3:19" s="525" customFormat="1" ht="15" customHeight="1" x14ac:dyDescent="0.3">
      <c r="C731" s="552" t="s">
        <v>4921</v>
      </c>
      <c r="D731" s="540" t="s">
        <v>3660</v>
      </c>
      <c r="E731" s="544"/>
      <c r="F731" s="544"/>
      <c r="G731" s="544"/>
      <c r="H731" s="544"/>
      <c r="I731" s="306"/>
      <c r="J731" s="517"/>
      <c r="K731" s="517"/>
      <c r="L731" s="517"/>
      <c r="M731" s="313"/>
      <c r="N731" s="313">
        <f t="shared" si="11"/>
        <v>0</v>
      </c>
      <c r="P731" s="600" t="s">
        <v>3655</v>
      </c>
      <c r="R731" s="519"/>
      <c r="S731" s="519"/>
    </row>
    <row r="732" spans="3:19" s="525" customFormat="1" ht="15" customHeight="1" x14ac:dyDescent="0.3">
      <c r="C732" s="552" t="s">
        <v>4922</v>
      </c>
      <c r="D732" s="540" t="s">
        <v>3661</v>
      </c>
      <c r="E732" s="544"/>
      <c r="F732" s="544"/>
      <c r="G732" s="544"/>
      <c r="H732" s="544"/>
      <c r="I732" s="306"/>
      <c r="J732" s="517"/>
      <c r="K732" s="517"/>
      <c r="L732" s="517"/>
      <c r="M732" s="313"/>
      <c r="N732" s="313">
        <f t="shared" si="11"/>
        <v>0</v>
      </c>
      <c r="P732" s="321" t="s">
        <v>3578</v>
      </c>
      <c r="R732" s="519"/>
      <c r="S732" s="519"/>
    </row>
    <row r="733" spans="3:19" s="525" customFormat="1" ht="15" customHeight="1" x14ac:dyDescent="0.3">
      <c r="C733" s="550" t="s">
        <v>4923</v>
      </c>
      <c r="D733" s="551" t="s">
        <v>1940</v>
      </c>
      <c r="E733" s="544"/>
      <c r="F733" s="544"/>
      <c r="G733" s="544"/>
      <c r="H733" s="544"/>
      <c r="I733" s="332"/>
      <c r="J733" s="518"/>
      <c r="K733" s="518"/>
      <c r="L733" s="518"/>
      <c r="M733" s="317"/>
      <c r="N733" s="313">
        <f t="shared" si="11"/>
        <v>0</v>
      </c>
      <c r="P733" s="321" t="s">
        <v>3578</v>
      </c>
      <c r="R733" s="519"/>
      <c r="S733" s="519"/>
    </row>
    <row r="734" spans="3:19" ht="15" customHeight="1" x14ac:dyDescent="0.3">
      <c r="C734" s="543" t="s">
        <v>4924</v>
      </c>
      <c r="D734" s="319" t="s">
        <v>3662</v>
      </c>
      <c r="E734" s="544">
        <v>0</v>
      </c>
      <c r="F734" s="544">
        <v>9893471.7200000007</v>
      </c>
      <c r="G734" s="544">
        <v>39102889</v>
      </c>
      <c r="H734" s="544">
        <v>-29209417.280000001</v>
      </c>
      <c r="I734" s="312">
        <v>0</v>
      </c>
      <c r="J734" s="517">
        <v>9893471.7200000007</v>
      </c>
      <c r="K734" s="517">
        <v>39102889</v>
      </c>
      <c r="L734" s="517">
        <v>-29209417.280000001</v>
      </c>
      <c r="M734" s="313">
        <v>-29209417.280000001</v>
      </c>
      <c r="N734" s="313">
        <f t="shared" si="11"/>
        <v>0</v>
      </c>
      <c r="P734" s="302"/>
    </row>
    <row r="735" spans="3:19" ht="15" customHeight="1" x14ac:dyDescent="0.3">
      <c r="C735" s="543" t="s">
        <v>4925</v>
      </c>
      <c r="D735" s="319" t="s">
        <v>3663</v>
      </c>
      <c r="E735" s="544">
        <v>0</v>
      </c>
      <c r="F735" s="544">
        <v>0</v>
      </c>
      <c r="G735" s="544">
        <v>464.15</v>
      </c>
      <c r="H735" s="544">
        <v>-464.15</v>
      </c>
      <c r="I735" s="312">
        <v>0</v>
      </c>
      <c r="J735" s="517">
        <v>0</v>
      </c>
      <c r="K735" s="517">
        <v>464.15</v>
      </c>
      <c r="L735" s="517">
        <v>-464.15</v>
      </c>
      <c r="M735" s="313">
        <v>-464.15</v>
      </c>
      <c r="N735" s="313">
        <f t="shared" si="11"/>
        <v>0</v>
      </c>
      <c r="P735" s="600" t="s">
        <v>3655</v>
      </c>
    </row>
    <row r="736" spans="3:19" ht="15" customHeight="1" x14ac:dyDescent="0.3">
      <c r="C736" s="545" t="s">
        <v>4926</v>
      </c>
      <c r="D736" s="320" t="s">
        <v>3664</v>
      </c>
      <c r="E736" s="544">
        <v>0</v>
      </c>
      <c r="F736" s="544">
        <v>0</v>
      </c>
      <c r="G736" s="544">
        <v>195.08</v>
      </c>
      <c r="H736" s="544">
        <v>-195.08</v>
      </c>
      <c r="I736" s="316">
        <v>0</v>
      </c>
      <c r="J736" s="518">
        <v>0</v>
      </c>
      <c r="K736" s="518">
        <v>195.08</v>
      </c>
      <c r="L736" s="518">
        <v>-195.08</v>
      </c>
      <c r="M736" s="317">
        <v>-195.08</v>
      </c>
      <c r="N736" s="313">
        <f t="shared" si="11"/>
        <v>0</v>
      </c>
      <c r="P736" s="302"/>
      <c r="R736" s="525"/>
      <c r="S736" s="525"/>
    </row>
    <row r="737" spans="3:19" ht="15" customHeight="1" x14ac:dyDescent="0.3">
      <c r="C737" s="545" t="s">
        <v>4927</v>
      </c>
      <c r="D737" s="320" t="s">
        <v>3665</v>
      </c>
      <c r="E737" s="544">
        <v>0</v>
      </c>
      <c r="F737" s="544">
        <v>0</v>
      </c>
      <c r="G737" s="544">
        <v>269.07</v>
      </c>
      <c r="H737" s="544">
        <v>-269.07</v>
      </c>
      <c r="I737" s="316">
        <v>0</v>
      </c>
      <c r="J737" s="518">
        <v>0</v>
      </c>
      <c r="K737" s="518">
        <v>269.07</v>
      </c>
      <c r="L737" s="518">
        <v>-269.07</v>
      </c>
      <c r="M737" s="317">
        <v>-269.07</v>
      </c>
      <c r="N737" s="313">
        <f t="shared" si="11"/>
        <v>0</v>
      </c>
      <c r="P737" s="302"/>
      <c r="R737" s="525"/>
      <c r="S737" s="525"/>
    </row>
    <row r="738" spans="3:19" ht="15" customHeight="1" x14ac:dyDescent="0.3">
      <c r="C738" s="543" t="s">
        <v>4928</v>
      </c>
      <c r="D738" s="319" t="s">
        <v>3666</v>
      </c>
      <c r="E738" s="544">
        <v>0</v>
      </c>
      <c r="F738" s="544">
        <v>9893471.7200000007</v>
      </c>
      <c r="G738" s="544">
        <v>39102424.850000001</v>
      </c>
      <c r="H738" s="544">
        <v>-29208953.129999999</v>
      </c>
      <c r="I738" s="312">
        <v>0</v>
      </c>
      <c r="J738" s="517">
        <v>9893471.7200000007</v>
      </c>
      <c r="K738" s="517">
        <v>39102424.850000001</v>
      </c>
      <c r="L738" s="517">
        <v>-29208953.129999999</v>
      </c>
      <c r="M738" s="313">
        <v>-29208953.129999999</v>
      </c>
      <c r="N738" s="313">
        <f t="shared" si="11"/>
        <v>0</v>
      </c>
      <c r="P738" s="600" t="s">
        <v>3655</v>
      </c>
      <c r="R738" s="525"/>
      <c r="S738" s="525"/>
    </row>
    <row r="739" spans="3:19" ht="15" customHeight="1" x14ac:dyDescent="0.3">
      <c r="C739" s="545" t="s">
        <v>4929</v>
      </c>
      <c r="D739" s="320" t="s">
        <v>1953</v>
      </c>
      <c r="E739" s="544">
        <v>0</v>
      </c>
      <c r="F739" s="544">
        <v>9893471.7200000007</v>
      </c>
      <c r="G739" s="544">
        <v>39102424.850000001</v>
      </c>
      <c r="H739" s="544">
        <v>-29208953.129999999</v>
      </c>
      <c r="I739" s="316">
        <v>0</v>
      </c>
      <c r="J739" s="518">
        <v>9893471.7200000007</v>
      </c>
      <c r="K739" s="518">
        <v>39102424.850000001</v>
      </c>
      <c r="L739" s="518">
        <v>-29208953.129999999</v>
      </c>
      <c r="M739" s="317">
        <v>-29208953.129999999</v>
      </c>
      <c r="N739" s="313">
        <f t="shared" si="11"/>
        <v>0</v>
      </c>
      <c r="P739" s="302"/>
      <c r="R739" s="525"/>
      <c r="S739" s="525"/>
    </row>
    <row r="740" spans="3:19" ht="15" customHeight="1" x14ac:dyDescent="0.3">
      <c r="C740" s="543" t="s">
        <v>4930</v>
      </c>
      <c r="D740" s="319" t="s">
        <v>3667</v>
      </c>
      <c r="E740" s="544">
        <v>0</v>
      </c>
      <c r="F740" s="544">
        <v>7014.4</v>
      </c>
      <c r="G740" s="544">
        <v>736031.69</v>
      </c>
      <c r="H740" s="544">
        <v>-729017.29</v>
      </c>
      <c r="I740" s="312">
        <v>0</v>
      </c>
      <c r="J740" s="517">
        <v>7014.4</v>
      </c>
      <c r="K740" s="517">
        <v>736031.69</v>
      </c>
      <c r="L740" s="517">
        <v>-729017.29</v>
      </c>
      <c r="M740" s="313">
        <v>-729017.29</v>
      </c>
      <c r="N740" s="313">
        <f t="shared" si="11"/>
        <v>0</v>
      </c>
      <c r="P740" s="302" t="s">
        <v>3668</v>
      </c>
      <c r="R740" s="525"/>
      <c r="S740" s="525"/>
    </row>
    <row r="741" spans="3:19" ht="15" customHeight="1" x14ac:dyDescent="0.3">
      <c r="C741" s="543" t="s">
        <v>4931</v>
      </c>
      <c r="D741" s="319" t="s">
        <v>3669</v>
      </c>
      <c r="E741" s="544">
        <v>0</v>
      </c>
      <c r="F741" s="544">
        <v>0</v>
      </c>
      <c r="G741" s="544">
        <v>383.33</v>
      </c>
      <c r="H741" s="544">
        <v>-383.33</v>
      </c>
      <c r="I741" s="312">
        <v>0</v>
      </c>
      <c r="J741" s="517">
        <v>0</v>
      </c>
      <c r="K741" s="517">
        <v>383.33</v>
      </c>
      <c r="L741" s="517">
        <v>-383.33</v>
      </c>
      <c r="M741" s="313">
        <v>-383.33</v>
      </c>
      <c r="N741" s="313">
        <f t="shared" si="11"/>
        <v>0</v>
      </c>
      <c r="P741" s="302"/>
      <c r="R741" s="525"/>
      <c r="S741" s="525"/>
    </row>
    <row r="742" spans="3:19" ht="15" customHeight="1" x14ac:dyDescent="0.3">
      <c r="C742" s="545" t="s">
        <v>4932</v>
      </c>
      <c r="D742" s="320" t="s">
        <v>1961</v>
      </c>
      <c r="E742" s="544">
        <v>0</v>
      </c>
      <c r="F742" s="544">
        <v>0</v>
      </c>
      <c r="G742" s="544">
        <v>383.33</v>
      </c>
      <c r="H742" s="544">
        <v>-383.33</v>
      </c>
      <c r="I742" s="316">
        <v>0</v>
      </c>
      <c r="J742" s="518">
        <v>0</v>
      </c>
      <c r="K742" s="518">
        <v>383.33</v>
      </c>
      <c r="L742" s="518">
        <v>-383.33</v>
      </c>
      <c r="M742" s="317">
        <v>-383.33</v>
      </c>
      <c r="N742" s="313">
        <f t="shared" si="11"/>
        <v>0</v>
      </c>
      <c r="P742" s="302"/>
    </row>
    <row r="743" spans="3:19" ht="15" customHeight="1" x14ac:dyDescent="0.3">
      <c r="C743" s="543" t="s">
        <v>4933</v>
      </c>
      <c r="D743" s="319" t="s">
        <v>3670</v>
      </c>
      <c r="E743" s="544">
        <v>0</v>
      </c>
      <c r="F743" s="544">
        <v>7014.4</v>
      </c>
      <c r="G743" s="544">
        <v>735648.36</v>
      </c>
      <c r="H743" s="544">
        <v>-728633.96</v>
      </c>
      <c r="I743" s="312">
        <v>0</v>
      </c>
      <c r="J743" s="517">
        <v>7014.4</v>
      </c>
      <c r="K743" s="517">
        <v>735648.36</v>
      </c>
      <c r="L743" s="517">
        <v>-728633.96</v>
      </c>
      <c r="M743" s="313">
        <v>-728633.96</v>
      </c>
      <c r="N743" s="313">
        <f t="shared" si="11"/>
        <v>0</v>
      </c>
      <c r="P743" s="302"/>
    </row>
    <row r="744" spans="3:19" ht="15" customHeight="1" x14ac:dyDescent="0.3">
      <c r="C744" s="545" t="s">
        <v>4934</v>
      </c>
      <c r="D744" s="320" t="s">
        <v>3671</v>
      </c>
      <c r="E744" s="544">
        <v>0</v>
      </c>
      <c r="F744" s="544">
        <v>0</v>
      </c>
      <c r="G744" s="544">
        <v>68.14</v>
      </c>
      <c r="H744" s="544">
        <v>-68.14</v>
      </c>
      <c r="I744" s="316">
        <v>0</v>
      </c>
      <c r="J744" s="518">
        <v>0</v>
      </c>
      <c r="K744" s="518">
        <v>68.14</v>
      </c>
      <c r="L744" s="518">
        <v>-68.14</v>
      </c>
      <c r="M744" s="317">
        <v>-68.14</v>
      </c>
      <c r="N744" s="313">
        <f t="shared" si="11"/>
        <v>0</v>
      </c>
      <c r="P744" s="302"/>
    </row>
    <row r="745" spans="3:19" ht="15" customHeight="1" x14ac:dyDescent="0.3">
      <c r="C745" s="545" t="s">
        <v>4935</v>
      </c>
      <c r="D745" s="320" t="s">
        <v>1967</v>
      </c>
      <c r="E745" s="544">
        <v>0</v>
      </c>
      <c r="F745" s="544">
        <v>0</v>
      </c>
      <c r="G745" s="544">
        <v>583766.35</v>
      </c>
      <c r="H745" s="544">
        <v>-583766.35</v>
      </c>
      <c r="I745" s="316">
        <v>0</v>
      </c>
      <c r="J745" s="518">
        <v>0</v>
      </c>
      <c r="K745" s="518">
        <v>583766.35</v>
      </c>
      <c r="L745" s="518">
        <v>-583766.35</v>
      </c>
      <c r="M745" s="317">
        <v>-583766.35</v>
      </c>
      <c r="N745" s="313">
        <f t="shared" si="11"/>
        <v>0</v>
      </c>
      <c r="P745" s="302"/>
    </row>
    <row r="746" spans="3:19" ht="15" customHeight="1" x14ac:dyDescent="0.3">
      <c r="C746" s="545" t="s">
        <v>4936</v>
      </c>
      <c r="D746" s="320" t="s">
        <v>1971</v>
      </c>
      <c r="E746" s="544">
        <v>0</v>
      </c>
      <c r="F746" s="544">
        <v>0</v>
      </c>
      <c r="G746" s="544">
        <v>128103.77</v>
      </c>
      <c r="H746" s="544">
        <v>-128103.77</v>
      </c>
      <c r="I746" s="316">
        <v>0</v>
      </c>
      <c r="J746" s="518">
        <v>0</v>
      </c>
      <c r="K746" s="518">
        <v>128103.77</v>
      </c>
      <c r="L746" s="518">
        <v>-128103.77</v>
      </c>
      <c r="M746" s="317">
        <v>-128103.77</v>
      </c>
      <c r="N746" s="313">
        <f t="shared" si="11"/>
        <v>0</v>
      </c>
      <c r="P746" s="302"/>
    </row>
    <row r="747" spans="3:19" ht="15" customHeight="1" x14ac:dyDescent="0.3">
      <c r="C747" s="545" t="s">
        <v>4937</v>
      </c>
      <c r="D747" s="320" t="s">
        <v>1974</v>
      </c>
      <c r="E747" s="544">
        <v>0</v>
      </c>
      <c r="F747" s="544">
        <v>0</v>
      </c>
      <c r="G747" s="544">
        <v>328.54</v>
      </c>
      <c r="H747" s="544">
        <v>-328.54</v>
      </c>
      <c r="I747" s="316">
        <v>0</v>
      </c>
      <c r="J747" s="518">
        <v>0</v>
      </c>
      <c r="K747" s="518">
        <v>328.54</v>
      </c>
      <c r="L747" s="518">
        <v>-328.54</v>
      </c>
      <c r="M747" s="317">
        <v>-328.54</v>
      </c>
      <c r="N747" s="313">
        <f t="shared" si="11"/>
        <v>0</v>
      </c>
      <c r="P747" s="302"/>
    </row>
    <row r="748" spans="3:19" ht="15" customHeight="1" x14ac:dyDescent="0.3">
      <c r="C748" s="545" t="s">
        <v>4938</v>
      </c>
      <c r="D748" s="320" t="s">
        <v>3672</v>
      </c>
      <c r="E748" s="544"/>
      <c r="F748" s="544"/>
      <c r="G748" s="544"/>
      <c r="H748" s="544"/>
      <c r="I748" s="316"/>
      <c r="J748" s="518"/>
      <c r="K748" s="518"/>
      <c r="L748" s="518"/>
      <c r="M748" s="317"/>
      <c r="N748" s="313">
        <f t="shared" si="11"/>
        <v>0</v>
      </c>
      <c r="P748" s="302"/>
    </row>
    <row r="749" spans="3:19" ht="15" customHeight="1" x14ac:dyDescent="0.3">
      <c r="C749" s="545" t="s">
        <v>4939</v>
      </c>
      <c r="D749" s="545" t="s">
        <v>3673</v>
      </c>
      <c r="E749" s="544">
        <v>0</v>
      </c>
      <c r="F749" s="544">
        <v>7014.4</v>
      </c>
      <c r="G749" s="544">
        <v>23381.56</v>
      </c>
      <c r="H749" s="544">
        <v>-16367.16</v>
      </c>
      <c r="I749" s="318">
        <v>0</v>
      </c>
      <c r="J749" s="518">
        <v>7014.4</v>
      </c>
      <c r="K749" s="518">
        <v>23381.56</v>
      </c>
      <c r="L749" s="518">
        <v>-16367.16</v>
      </c>
      <c r="M749" s="317">
        <v>-16367.16</v>
      </c>
      <c r="N749" s="313">
        <f t="shared" si="11"/>
        <v>0</v>
      </c>
      <c r="P749" s="302"/>
    </row>
    <row r="750" spans="3:19" ht="15" customHeight="1" x14ac:dyDescent="0.3">
      <c r="C750" s="543" t="s">
        <v>4940</v>
      </c>
      <c r="D750" s="543" t="s">
        <v>3674</v>
      </c>
      <c r="E750" s="544">
        <v>0</v>
      </c>
      <c r="F750" s="544">
        <v>0</v>
      </c>
      <c r="G750" s="544">
        <v>329049.01</v>
      </c>
      <c r="H750" s="544">
        <v>-329049.01</v>
      </c>
      <c r="I750" s="312">
        <v>0</v>
      </c>
      <c r="J750" s="517">
        <v>0</v>
      </c>
      <c r="K750" s="517">
        <v>329049.01</v>
      </c>
      <c r="L750" s="517">
        <v>-329049.01</v>
      </c>
      <c r="M750" s="313">
        <v>-329049.01</v>
      </c>
      <c r="N750" s="313">
        <f t="shared" si="11"/>
        <v>0</v>
      </c>
      <c r="P750" s="302"/>
    </row>
    <row r="751" spans="3:19" ht="15" customHeight="1" x14ac:dyDescent="0.3">
      <c r="C751" s="543" t="s">
        <v>4941</v>
      </c>
      <c r="D751" s="543" t="s">
        <v>3675</v>
      </c>
      <c r="E751" s="544">
        <v>0</v>
      </c>
      <c r="F751" s="544">
        <v>0</v>
      </c>
      <c r="G751" s="544">
        <v>329049.01</v>
      </c>
      <c r="H751" s="544">
        <v>-329049.01</v>
      </c>
      <c r="I751" s="312">
        <v>0</v>
      </c>
      <c r="J751" s="517">
        <v>0</v>
      </c>
      <c r="K751" s="517">
        <v>329049.01</v>
      </c>
      <c r="L751" s="517">
        <v>-329049.01</v>
      </c>
      <c r="M751" s="313">
        <v>-329049.01</v>
      </c>
      <c r="N751" s="313">
        <f t="shared" si="11"/>
        <v>0</v>
      </c>
      <c r="P751" s="600" t="s">
        <v>3655</v>
      </c>
    </row>
    <row r="752" spans="3:19" ht="15" customHeight="1" x14ac:dyDescent="0.3">
      <c r="C752" s="545" t="s">
        <v>4942</v>
      </c>
      <c r="D752" s="545" t="s">
        <v>3676</v>
      </c>
      <c r="E752" s="544">
        <v>0</v>
      </c>
      <c r="F752" s="544">
        <v>0</v>
      </c>
      <c r="G752" s="544">
        <v>329049.01</v>
      </c>
      <c r="H752" s="544">
        <v>-329049.01</v>
      </c>
      <c r="I752" s="316">
        <v>0</v>
      </c>
      <c r="J752" s="518">
        <v>0</v>
      </c>
      <c r="K752" s="518">
        <v>329049.01</v>
      </c>
      <c r="L752" s="518">
        <v>-329049.01</v>
      </c>
      <c r="M752" s="317">
        <v>-329049.01</v>
      </c>
      <c r="N752" s="313">
        <f t="shared" si="11"/>
        <v>0</v>
      </c>
      <c r="P752" s="302"/>
    </row>
    <row r="753" spans="3:19" s="525" customFormat="1" ht="14.4" x14ac:dyDescent="0.3">
      <c r="C753" s="552" t="s">
        <v>4943</v>
      </c>
      <c r="D753" s="540" t="s">
        <v>3677</v>
      </c>
      <c r="E753" s="544"/>
      <c r="F753" s="544"/>
      <c r="G753" s="544"/>
      <c r="H753" s="544"/>
      <c r="I753" s="306"/>
      <c r="J753" s="517"/>
      <c r="K753" s="517"/>
      <c r="L753" s="517"/>
      <c r="M753" s="313"/>
      <c r="N753" s="313">
        <f t="shared" si="11"/>
        <v>0</v>
      </c>
      <c r="P753" s="321" t="s">
        <v>3678</v>
      </c>
      <c r="R753" s="519"/>
      <c r="S753" s="519"/>
    </row>
    <row r="754" spans="3:19" s="525" customFormat="1" ht="14.4" x14ac:dyDescent="0.3">
      <c r="C754" s="552" t="s">
        <v>4944</v>
      </c>
      <c r="D754" s="540" t="s">
        <v>3679</v>
      </c>
      <c r="E754" s="544"/>
      <c r="F754" s="544"/>
      <c r="G754" s="544"/>
      <c r="H754" s="544"/>
      <c r="I754" s="306"/>
      <c r="J754" s="517"/>
      <c r="K754" s="517"/>
      <c r="L754" s="517"/>
      <c r="M754" s="313"/>
      <c r="N754" s="313">
        <f t="shared" si="11"/>
        <v>0</v>
      </c>
      <c r="P754" s="321" t="s">
        <v>3578</v>
      </c>
      <c r="R754" s="519"/>
      <c r="S754" s="519"/>
    </row>
    <row r="755" spans="3:19" s="525" customFormat="1" ht="14.4" x14ac:dyDescent="0.3">
      <c r="C755" s="552" t="s">
        <v>4945</v>
      </c>
      <c r="D755" s="540" t="s">
        <v>3680</v>
      </c>
      <c r="E755" s="544"/>
      <c r="F755" s="544"/>
      <c r="G755" s="544"/>
      <c r="H755" s="544"/>
      <c r="I755" s="306"/>
      <c r="J755" s="517"/>
      <c r="K755" s="517"/>
      <c r="L755" s="517"/>
      <c r="M755" s="313"/>
      <c r="N755" s="313">
        <f t="shared" si="11"/>
        <v>0</v>
      </c>
      <c r="P755" s="321" t="s">
        <v>3578</v>
      </c>
      <c r="R755" s="519"/>
      <c r="S755" s="519"/>
    </row>
    <row r="756" spans="3:19" s="525" customFormat="1" ht="14.4" x14ac:dyDescent="0.3">
      <c r="C756" s="550" t="s">
        <v>4946</v>
      </c>
      <c r="D756" s="551" t="s">
        <v>3681</v>
      </c>
      <c r="E756" s="544"/>
      <c r="F756" s="544"/>
      <c r="G756" s="544"/>
      <c r="H756" s="544"/>
      <c r="I756" s="332"/>
      <c r="J756" s="517"/>
      <c r="K756" s="517"/>
      <c r="L756" s="518"/>
      <c r="M756" s="317"/>
      <c r="N756" s="313">
        <f t="shared" si="11"/>
        <v>0</v>
      </c>
      <c r="P756" s="321" t="s">
        <v>3578</v>
      </c>
      <c r="R756" s="519"/>
      <c r="S756" s="519"/>
    </row>
    <row r="757" spans="3:19" s="525" customFormat="1" ht="14.4" x14ac:dyDescent="0.3">
      <c r="C757" s="552" t="s">
        <v>4947</v>
      </c>
      <c r="D757" s="540" t="s">
        <v>1992</v>
      </c>
      <c r="E757" s="544"/>
      <c r="F757" s="544"/>
      <c r="G757" s="544"/>
      <c r="H757" s="544"/>
      <c r="I757" s="306"/>
      <c r="J757" s="517"/>
      <c r="K757" s="517"/>
      <c r="L757" s="517"/>
      <c r="M757" s="313"/>
      <c r="N757" s="313">
        <f t="shared" si="11"/>
        <v>0</v>
      </c>
      <c r="P757" s="321" t="s">
        <v>3578</v>
      </c>
      <c r="R757" s="519"/>
      <c r="S757" s="519"/>
    </row>
    <row r="758" spans="3:19" s="525" customFormat="1" ht="14.4" x14ac:dyDescent="0.3">
      <c r="C758" s="550" t="s">
        <v>4948</v>
      </c>
      <c r="D758" s="551" t="s">
        <v>1995</v>
      </c>
      <c r="E758" s="544"/>
      <c r="F758" s="544"/>
      <c r="G758" s="544"/>
      <c r="H758" s="544"/>
      <c r="I758" s="332"/>
      <c r="J758" s="517"/>
      <c r="K758" s="517"/>
      <c r="L758" s="518"/>
      <c r="M758" s="317"/>
      <c r="N758" s="313">
        <f t="shared" si="11"/>
        <v>0</v>
      </c>
      <c r="P758" s="321" t="s">
        <v>3578</v>
      </c>
      <c r="R758" s="519"/>
      <c r="S758" s="519"/>
    </row>
    <row r="759" spans="3:19" s="525" customFormat="1" ht="14.4" x14ac:dyDescent="0.3">
      <c r="C759" s="550" t="s">
        <v>4949</v>
      </c>
      <c r="D759" s="551" t="s">
        <v>1998</v>
      </c>
      <c r="E759" s="544"/>
      <c r="F759" s="544"/>
      <c r="G759" s="544"/>
      <c r="H759" s="544"/>
      <c r="I759" s="332"/>
      <c r="J759" s="517"/>
      <c r="K759" s="517"/>
      <c r="L759" s="518"/>
      <c r="M759" s="317"/>
      <c r="N759" s="313">
        <f t="shared" si="11"/>
        <v>0</v>
      </c>
      <c r="P759" s="321" t="s">
        <v>3578</v>
      </c>
      <c r="R759" s="519"/>
      <c r="S759" s="519"/>
    </row>
    <row r="760" spans="3:19" ht="15" customHeight="1" x14ac:dyDescent="0.3">
      <c r="C760" s="545" t="s">
        <v>2124</v>
      </c>
      <c r="D760" s="545" t="s">
        <v>2124</v>
      </c>
      <c r="E760" s="544">
        <v>0</v>
      </c>
      <c r="F760" s="544">
        <v>0</v>
      </c>
      <c r="G760" s="544">
        <v>0</v>
      </c>
      <c r="H760" s="544">
        <v>0</v>
      </c>
      <c r="J760" s="518"/>
      <c r="K760" s="518"/>
      <c r="P760" s="302"/>
    </row>
    <row r="761" spans="3:19" ht="21" customHeight="1" x14ac:dyDescent="0.3">
      <c r="J761" s="517"/>
      <c r="K761" s="517"/>
      <c r="R761" s="525"/>
      <c r="S761" s="525"/>
    </row>
    <row r="762" spans="3:19" ht="15" customHeight="1" x14ac:dyDescent="0.3">
      <c r="J762" s="518"/>
      <c r="K762" s="518"/>
      <c r="R762" s="525"/>
      <c r="S762" s="525"/>
    </row>
    <row r="763" spans="3:19" ht="15" customHeight="1" x14ac:dyDescent="0.3">
      <c r="J763" s="517">
        <f>J499+J467+J344+J343+J342+J305+J275+J273+J271+J260+J250+J246+J240+J233+J228+J223+J155+J124</f>
        <v>5006436.49</v>
      </c>
      <c r="K763" s="517">
        <f>K462+K395+K394+K384+K346+K345++K281+K279+K277+K269+K258+K256+K216+K214++K193+K191+K189+K187+K185+K169+K112+K111+K110+K108+K107+K106</f>
        <v>10216015.389999999</v>
      </c>
      <c r="R763" s="525"/>
      <c r="S763" s="525"/>
    </row>
    <row r="764" spans="3:19" ht="15" customHeight="1" x14ac:dyDescent="0.3">
      <c r="J764" s="537"/>
      <c r="K764" s="537"/>
      <c r="R764" s="525"/>
      <c r="S764" s="525"/>
    </row>
    <row r="765" spans="3:19" ht="15" customHeight="1" x14ac:dyDescent="0.3">
      <c r="J765" s="599">
        <f>SUM(J716+J715+J714+J713+J712+J711+J678+J677+J676+J675+J674+J673+J672+J671+J642+J641+J638+J637+J630+J600+J578+J577+J576+J575+J574+J573)</f>
        <v>10216015.389999999</v>
      </c>
      <c r="K765" s="599">
        <f>K670+K669+K668+K667+K666+K665+K664+K663+K662+K661+K647+K636+K635+K634+K630+K627+K622+K556</f>
        <v>5006436.49</v>
      </c>
      <c r="R765" s="525"/>
      <c r="S765" s="525"/>
    </row>
    <row r="766" spans="3:19" ht="15" customHeight="1" x14ac:dyDescent="0.3">
      <c r="L766" s="585">
        <f>J763-K765</f>
        <v>0</v>
      </c>
      <c r="R766" s="525"/>
      <c r="S766" s="525"/>
    </row>
    <row r="767" spans="3:19" ht="15" customHeight="1" x14ac:dyDescent="0.3">
      <c r="J767" s="585"/>
      <c r="R767" s="525"/>
      <c r="S767" s="525"/>
    </row>
    <row r="768" spans="3:19" ht="15" customHeight="1" x14ac:dyDescent="0.3">
      <c r="J768" s="585">
        <f>J765-J763</f>
        <v>5209578.8999999985</v>
      </c>
      <c r="K768" s="585"/>
    </row>
    <row r="770" spans="10:10" ht="15" customHeight="1" x14ac:dyDescent="0.3">
      <c r="J770" s="521">
        <f>O6</f>
        <v>-5209578.8999999985</v>
      </c>
    </row>
    <row r="771" spans="10:10" ht="15" customHeight="1" x14ac:dyDescent="0.3">
      <c r="J771" s="592">
        <f>J768+J770</f>
        <v>0</v>
      </c>
    </row>
  </sheetData>
  <autoFilter ref="C11:P11" xr:uid="{CAEA14BF-BD66-4BDA-BD3F-0E9F6345904E}"/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A5492-DAA8-4C30-B43F-3AAEBED8FCDF}">
  <sheetPr>
    <tabColor rgb="FF00B050"/>
  </sheetPr>
  <dimension ref="C1:H693"/>
  <sheetViews>
    <sheetView topLeftCell="A154" workbookViewId="0">
      <selection activeCell="E170" sqref="E170:H170"/>
    </sheetView>
  </sheetViews>
  <sheetFormatPr defaultRowHeight="14.4" x14ac:dyDescent="0.3"/>
  <cols>
    <col min="1" max="2" width="4.44140625" customWidth="1"/>
    <col min="3" max="3" width="15.33203125" bestFit="1" customWidth="1"/>
    <col min="4" max="4" width="68" bestFit="1" customWidth="1"/>
    <col min="5" max="8" width="15.33203125" style="36" bestFit="1" customWidth="1"/>
  </cols>
  <sheetData>
    <row r="1" spans="3:8" x14ac:dyDescent="0.3">
      <c r="C1">
        <v>1</v>
      </c>
      <c r="D1" t="s">
        <v>3695</v>
      </c>
      <c r="E1" s="36">
        <v>58488220.68</v>
      </c>
      <c r="F1" s="36">
        <v>80119025.709999993</v>
      </c>
      <c r="G1" s="36">
        <v>82900129.840000004</v>
      </c>
      <c r="H1" s="36">
        <v>55707116.549999997</v>
      </c>
    </row>
    <row r="2" spans="3:8" x14ac:dyDescent="0.3">
      <c r="C2" t="s">
        <v>4312</v>
      </c>
      <c r="D2" t="s">
        <v>3696</v>
      </c>
      <c r="E2" s="36">
        <v>22601893.190000001</v>
      </c>
      <c r="F2" s="36">
        <v>67018128.939999998</v>
      </c>
      <c r="G2" s="36">
        <v>70381690.120000005</v>
      </c>
      <c r="H2" s="36">
        <v>19238332.010000002</v>
      </c>
    </row>
    <row r="3" spans="3:8" x14ac:dyDescent="0.3">
      <c r="C3" t="s">
        <v>4313</v>
      </c>
      <c r="D3" t="s">
        <v>3697</v>
      </c>
      <c r="E3" s="36">
        <v>2861198.37</v>
      </c>
      <c r="F3" s="36">
        <v>44813626.490000002</v>
      </c>
      <c r="G3" s="36">
        <v>44565557.509999998</v>
      </c>
      <c r="H3" s="36">
        <v>3109267.35</v>
      </c>
    </row>
    <row r="4" spans="3:8" x14ac:dyDescent="0.3">
      <c r="C4" t="s">
        <v>4314</v>
      </c>
      <c r="D4" t="s">
        <v>3698</v>
      </c>
      <c r="E4" s="36">
        <v>509731.36</v>
      </c>
      <c r="F4" s="36">
        <v>44684491.57</v>
      </c>
      <c r="G4" s="36">
        <v>42922129.609999999</v>
      </c>
      <c r="H4" s="36">
        <v>2272093.3199999998</v>
      </c>
    </row>
    <row r="5" spans="3:8" x14ac:dyDescent="0.3">
      <c r="C5" t="s">
        <v>4315</v>
      </c>
      <c r="D5" t="s">
        <v>3699</v>
      </c>
      <c r="E5" s="36">
        <v>13222.72</v>
      </c>
      <c r="F5" s="36">
        <v>866.21</v>
      </c>
      <c r="G5" s="36">
        <v>14088.93</v>
      </c>
      <c r="H5" s="36">
        <v>0</v>
      </c>
    </row>
    <row r="6" spans="3:8" x14ac:dyDescent="0.3">
      <c r="C6" t="s">
        <v>4316</v>
      </c>
      <c r="D6" t="s">
        <v>3700</v>
      </c>
      <c r="E6" s="36">
        <v>2.7</v>
      </c>
      <c r="F6" s="36">
        <v>118616.79</v>
      </c>
      <c r="G6" s="36">
        <v>118609.49</v>
      </c>
      <c r="H6" s="36">
        <v>10</v>
      </c>
    </row>
    <row r="7" spans="3:8" x14ac:dyDescent="0.3">
      <c r="C7" t="s">
        <v>4317</v>
      </c>
      <c r="D7" t="s">
        <v>3701</v>
      </c>
      <c r="E7" s="36">
        <v>0</v>
      </c>
      <c r="F7" s="36">
        <v>725.2</v>
      </c>
      <c r="G7" s="36">
        <v>725.2</v>
      </c>
      <c r="H7" s="36">
        <v>0</v>
      </c>
    </row>
    <row r="8" spans="3:8" x14ac:dyDescent="0.3">
      <c r="C8" t="s">
        <v>4318</v>
      </c>
      <c r="D8" t="s">
        <v>3702</v>
      </c>
      <c r="E8" s="36">
        <v>0</v>
      </c>
      <c r="F8" s="36">
        <v>1098520.01</v>
      </c>
      <c r="G8" s="36">
        <v>1098520.01</v>
      </c>
      <c r="H8" s="36">
        <v>0</v>
      </c>
    </row>
    <row r="9" spans="3:8" x14ac:dyDescent="0.3">
      <c r="C9" t="s">
        <v>4319</v>
      </c>
      <c r="D9" t="s">
        <v>3703</v>
      </c>
      <c r="E9" s="36">
        <v>0</v>
      </c>
      <c r="F9" s="36">
        <v>1582255.18</v>
      </c>
      <c r="G9" s="36">
        <v>1582255.18</v>
      </c>
      <c r="H9" s="36">
        <v>0</v>
      </c>
    </row>
    <row r="10" spans="3:8" x14ac:dyDescent="0.3">
      <c r="C10" t="s">
        <v>4320</v>
      </c>
      <c r="D10" t="s">
        <v>3704</v>
      </c>
      <c r="E10" s="36">
        <v>0</v>
      </c>
      <c r="F10" s="36">
        <v>1719812.23</v>
      </c>
      <c r="G10" s="36">
        <v>1719812.23</v>
      </c>
      <c r="H10" s="36">
        <v>0</v>
      </c>
    </row>
    <row r="11" spans="3:8" x14ac:dyDescent="0.3">
      <c r="C11" t="s">
        <v>4321</v>
      </c>
      <c r="D11" t="s">
        <v>3705</v>
      </c>
      <c r="E11" s="36">
        <v>20844</v>
      </c>
      <c r="F11" s="36">
        <v>1170.95</v>
      </c>
      <c r="G11" s="36">
        <v>22014.95</v>
      </c>
      <c r="H11" s="36">
        <v>0</v>
      </c>
    </row>
    <row r="12" spans="3:8" x14ac:dyDescent="0.3">
      <c r="C12" t="s">
        <v>4322</v>
      </c>
      <c r="D12" t="s">
        <v>3706</v>
      </c>
      <c r="E12" s="36">
        <v>0</v>
      </c>
      <c r="F12" s="36">
        <v>2014.37</v>
      </c>
      <c r="G12" s="36">
        <v>2014.37</v>
      </c>
      <c r="H12" s="36">
        <v>0</v>
      </c>
    </row>
    <row r="13" spans="3:8" x14ac:dyDescent="0.3">
      <c r="C13" t="s">
        <v>4323</v>
      </c>
      <c r="D13" t="s">
        <v>3707</v>
      </c>
      <c r="E13" s="36">
        <v>0</v>
      </c>
      <c r="F13" s="36">
        <v>33907.15</v>
      </c>
      <c r="G13" s="36">
        <v>33907.15</v>
      </c>
      <c r="H13" s="36">
        <v>0</v>
      </c>
    </row>
    <row r="14" spans="3:8" x14ac:dyDescent="0.3">
      <c r="C14" t="s">
        <v>4324</v>
      </c>
      <c r="D14" t="s">
        <v>3708</v>
      </c>
      <c r="E14" s="36">
        <v>218884.75</v>
      </c>
      <c r="F14" s="36">
        <v>8595874.4199999999</v>
      </c>
      <c r="G14" s="36">
        <v>8297739.9900000002</v>
      </c>
      <c r="H14" s="36">
        <v>517019.18</v>
      </c>
    </row>
    <row r="15" spans="3:8" x14ac:dyDescent="0.3">
      <c r="C15" t="s">
        <v>4325</v>
      </c>
      <c r="D15" t="s">
        <v>3709</v>
      </c>
      <c r="E15" s="36">
        <v>256777.19</v>
      </c>
      <c r="F15" s="36">
        <v>31530729.059999999</v>
      </c>
      <c r="G15" s="36">
        <v>30032442.109999999</v>
      </c>
      <c r="H15" s="36">
        <v>1755064.14</v>
      </c>
    </row>
    <row r="16" spans="3:8" x14ac:dyDescent="0.3">
      <c r="C16" t="s">
        <v>2124</v>
      </c>
      <c r="D16" t="s">
        <v>2124</v>
      </c>
    </row>
    <row r="17" spans="3:8" x14ac:dyDescent="0.3">
      <c r="C17" t="s">
        <v>4326</v>
      </c>
      <c r="D17" t="s">
        <v>3710</v>
      </c>
      <c r="E17" s="36">
        <v>5473.17</v>
      </c>
      <c r="F17" s="36">
        <v>1624.43</v>
      </c>
      <c r="G17" s="36">
        <v>876.57</v>
      </c>
      <c r="H17" s="36">
        <v>6221.03</v>
      </c>
    </row>
    <row r="18" spans="3:8" x14ac:dyDescent="0.3">
      <c r="C18" t="s">
        <v>4327</v>
      </c>
      <c r="D18" t="s">
        <v>3711</v>
      </c>
      <c r="E18" s="36">
        <v>0</v>
      </c>
      <c r="F18" s="36">
        <v>311.42</v>
      </c>
      <c r="G18" s="36">
        <v>216.05</v>
      </c>
      <c r="H18" s="36">
        <v>95.37</v>
      </c>
    </row>
    <row r="19" spans="3:8" x14ac:dyDescent="0.3">
      <c r="C19" t="s">
        <v>4328</v>
      </c>
      <c r="D19" t="s">
        <v>3712</v>
      </c>
      <c r="E19" s="36">
        <v>0</v>
      </c>
      <c r="F19" s="36">
        <v>740.71</v>
      </c>
      <c r="G19" s="36">
        <v>0</v>
      </c>
      <c r="H19" s="36">
        <v>740.71</v>
      </c>
    </row>
    <row r="20" spans="3:8" x14ac:dyDescent="0.3">
      <c r="C20" t="s">
        <v>4329</v>
      </c>
      <c r="D20" t="s">
        <v>3713</v>
      </c>
      <c r="E20" s="36">
        <v>5387.47</v>
      </c>
      <c r="F20" s="36">
        <v>569.07000000000005</v>
      </c>
      <c r="G20" s="36">
        <v>571.59</v>
      </c>
      <c r="H20" s="36">
        <v>5384.95</v>
      </c>
    </row>
    <row r="21" spans="3:8" x14ac:dyDescent="0.3">
      <c r="C21" t="s">
        <v>4330</v>
      </c>
      <c r="D21" t="s">
        <v>3714</v>
      </c>
      <c r="E21" s="36">
        <v>85.7</v>
      </c>
      <c r="F21" s="36">
        <v>3.23</v>
      </c>
      <c r="G21" s="36">
        <v>88.93</v>
      </c>
      <c r="H21" s="36">
        <v>0</v>
      </c>
    </row>
    <row r="22" spans="3:8" x14ac:dyDescent="0.3">
      <c r="C22" t="s">
        <v>2124</v>
      </c>
      <c r="D22" t="s">
        <v>2124</v>
      </c>
    </row>
    <row r="23" spans="3:8" x14ac:dyDescent="0.3">
      <c r="C23" t="s">
        <v>4331</v>
      </c>
      <c r="D23" t="s">
        <v>3715</v>
      </c>
      <c r="E23" s="36">
        <v>2345993.84</v>
      </c>
      <c r="F23" s="36">
        <v>127510.49</v>
      </c>
      <c r="G23" s="36">
        <v>1642551.33</v>
      </c>
      <c r="H23" s="36">
        <v>830953</v>
      </c>
    </row>
    <row r="24" spans="3:8" x14ac:dyDescent="0.3">
      <c r="C24" t="s">
        <v>4332</v>
      </c>
      <c r="D24" t="s">
        <v>3716</v>
      </c>
      <c r="E24" s="36">
        <v>2345993.84</v>
      </c>
      <c r="F24" s="36">
        <v>127510.49</v>
      </c>
      <c r="G24" s="36">
        <v>1642551.33</v>
      </c>
      <c r="H24" s="36">
        <v>830953</v>
      </c>
    </row>
    <row r="25" spans="3:8" x14ac:dyDescent="0.3">
      <c r="C25" t="s">
        <v>2124</v>
      </c>
      <c r="D25" t="s">
        <v>2124</v>
      </c>
    </row>
    <row r="26" spans="3:8" x14ac:dyDescent="0.3">
      <c r="C26" t="s">
        <v>4333</v>
      </c>
      <c r="D26" t="s">
        <v>3717</v>
      </c>
      <c r="E26" s="36">
        <v>1889386.78</v>
      </c>
      <c r="F26" s="36">
        <v>5971348.3200000003</v>
      </c>
      <c r="G26" s="36">
        <v>7821448.7000000002</v>
      </c>
      <c r="H26" s="36">
        <v>39286.400000000001</v>
      </c>
    </row>
    <row r="27" spans="3:8" x14ac:dyDescent="0.3">
      <c r="C27" t="s">
        <v>4334</v>
      </c>
      <c r="D27" t="s">
        <v>3718</v>
      </c>
      <c r="E27" s="36">
        <v>1613764.58</v>
      </c>
      <c r="F27" s="36">
        <v>5971348.3200000003</v>
      </c>
      <c r="G27" s="36">
        <v>7545826.5</v>
      </c>
      <c r="H27" s="36">
        <v>39286.400000000001</v>
      </c>
    </row>
    <row r="28" spans="3:8" x14ac:dyDescent="0.3">
      <c r="C28" t="s">
        <v>4335</v>
      </c>
      <c r="D28" t="s">
        <v>3719</v>
      </c>
      <c r="E28" s="36">
        <v>0</v>
      </c>
      <c r="F28" s="36">
        <v>0</v>
      </c>
      <c r="G28" s="36">
        <v>362277.03</v>
      </c>
      <c r="H28" s="36">
        <v>-362277.03</v>
      </c>
    </row>
    <row r="29" spans="3:8" x14ac:dyDescent="0.3">
      <c r="C29" t="s">
        <v>4336</v>
      </c>
      <c r="D29" t="s">
        <v>3720</v>
      </c>
      <c r="E29" s="36">
        <v>0</v>
      </c>
      <c r="F29" s="36">
        <v>19380</v>
      </c>
      <c r="G29" s="36">
        <v>19380</v>
      </c>
      <c r="H29" s="36">
        <v>0</v>
      </c>
    </row>
    <row r="30" spans="3:8" x14ac:dyDescent="0.3">
      <c r="C30" t="s">
        <v>4337</v>
      </c>
      <c r="D30" t="s">
        <v>3721</v>
      </c>
      <c r="E30" s="36">
        <v>0</v>
      </c>
      <c r="F30" s="36">
        <v>410900</v>
      </c>
      <c r="G30" s="36">
        <v>168000</v>
      </c>
      <c r="H30" s="36">
        <v>242900</v>
      </c>
    </row>
    <row r="31" spans="3:8" x14ac:dyDescent="0.3">
      <c r="C31" t="s">
        <v>4338</v>
      </c>
      <c r="D31" t="s">
        <v>3722</v>
      </c>
      <c r="E31" s="36">
        <v>0</v>
      </c>
      <c r="F31" s="36">
        <v>16193.65</v>
      </c>
      <c r="G31" s="36">
        <v>16193.65</v>
      </c>
      <c r="H31" s="36">
        <v>0</v>
      </c>
    </row>
    <row r="32" spans="3:8" x14ac:dyDescent="0.3">
      <c r="C32" t="s">
        <v>4339</v>
      </c>
      <c r="D32" t="s">
        <v>3723</v>
      </c>
      <c r="E32" s="36">
        <v>20584.03</v>
      </c>
      <c r="F32" s="36">
        <v>0</v>
      </c>
      <c r="G32" s="36">
        <v>0</v>
      </c>
      <c r="H32" s="36">
        <v>20584.03</v>
      </c>
    </row>
    <row r="33" spans="3:8" x14ac:dyDescent="0.3">
      <c r="C33" t="s">
        <v>4340</v>
      </c>
      <c r="D33" t="s">
        <v>3724</v>
      </c>
      <c r="E33" s="36">
        <v>0</v>
      </c>
      <c r="F33" s="36">
        <v>23520</v>
      </c>
      <c r="G33" s="36">
        <v>23520</v>
      </c>
      <c r="H33" s="36">
        <v>0</v>
      </c>
    </row>
    <row r="34" spans="3:8" x14ac:dyDescent="0.3">
      <c r="C34" t="s">
        <v>4341</v>
      </c>
      <c r="D34" t="s">
        <v>3725</v>
      </c>
      <c r="E34" s="36">
        <v>0</v>
      </c>
      <c r="F34" s="36">
        <v>3816</v>
      </c>
      <c r="G34" s="36">
        <v>3816</v>
      </c>
      <c r="H34" s="36">
        <v>0</v>
      </c>
    </row>
    <row r="35" spans="3:8" x14ac:dyDescent="0.3">
      <c r="C35" t="s">
        <v>4342</v>
      </c>
      <c r="D35" t="s">
        <v>3726</v>
      </c>
      <c r="E35" s="36">
        <v>0</v>
      </c>
      <c r="F35" s="36">
        <v>21000</v>
      </c>
      <c r="G35" s="36">
        <v>21000</v>
      </c>
      <c r="H35" s="36">
        <v>0</v>
      </c>
    </row>
    <row r="36" spans="3:8" x14ac:dyDescent="0.3">
      <c r="C36" t="s">
        <v>4343</v>
      </c>
      <c r="D36" t="s">
        <v>3727</v>
      </c>
      <c r="E36" s="36">
        <v>0</v>
      </c>
      <c r="F36" s="36">
        <v>33600</v>
      </c>
      <c r="G36" s="36">
        <v>33600</v>
      </c>
      <c r="H36" s="36">
        <v>0</v>
      </c>
    </row>
    <row r="37" spans="3:8" x14ac:dyDescent="0.3">
      <c r="C37" t="s">
        <v>4344</v>
      </c>
      <c r="D37" t="s">
        <v>3728</v>
      </c>
      <c r="E37" s="36">
        <v>0</v>
      </c>
      <c r="F37" s="36">
        <v>21300</v>
      </c>
      <c r="G37" s="36">
        <v>21300</v>
      </c>
      <c r="H37" s="36">
        <v>0</v>
      </c>
    </row>
    <row r="38" spans="3:8" x14ac:dyDescent="0.3">
      <c r="C38" t="s">
        <v>4345</v>
      </c>
      <c r="D38" t="s">
        <v>3729</v>
      </c>
      <c r="E38" s="36">
        <v>0</v>
      </c>
      <c r="F38" s="36">
        <v>7593</v>
      </c>
      <c r="G38" s="36">
        <v>7593</v>
      </c>
      <c r="H38" s="36">
        <v>0</v>
      </c>
    </row>
    <row r="39" spans="3:8" x14ac:dyDescent="0.3">
      <c r="C39" t="s">
        <v>4346</v>
      </c>
      <c r="D39" t="s">
        <v>3730</v>
      </c>
      <c r="E39" s="36">
        <v>0</v>
      </c>
      <c r="F39" s="36">
        <v>41370</v>
      </c>
      <c r="G39" s="36">
        <v>41370</v>
      </c>
      <c r="H39" s="36">
        <v>0</v>
      </c>
    </row>
    <row r="40" spans="3:8" x14ac:dyDescent="0.3">
      <c r="C40" t="s">
        <v>4347</v>
      </c>
      <c r="D40" t="s">
        <v>3731</v>
      </c>
      <c r="E40" s="36">
        <v>825</v>
      </c>
      <c r="F40" s="36">
        <v>36034.5</v>
      </c>
      <c r="G40" s="36">
        <v>36859.5</v>
      </c>
      <c r="H40" s="36">
        <v>0</v>
      </c>
    </row>
    <row r="41" spans="3:8" x14ac:dyDescent="0.3">
      <c r="C41" t="s">
        <v>4348</v>
      </c>
      <c r="D41" t="s">
        <v>3732</v>
      </c>
      <c r="E41" s="36">
        <v>0</v>
      </c>
      <c r="F41" s="36">
        <v>28800</v>
      </c>
      <c r="G41" s="36">
        <v>28800</v>
      </c>
      <c r="H41" s="36">
        <v>0</v>
      </c>
    </row>
    <row r="42" spans="3:8" x14ac:dyDescent="0.3">
      <c r="C42" t="s">
        <v>4349</v>
      </c>
      <c r="D42" t="s">
        <v>3733</v>
      </c>
      <c r="E42" s="36">
        <v>2100</v>
      </c>
      <c r="F42" s="36">
        <v>5250</v>
      </c>
      <c r="G42" s="36">
        <v>7350</v>
      </c>
      <c r="H42" s="36">
        <v>0</v>
      </c>
    </row>
    <row r="43" spans="3:8" x14ac:dyDescent="0.3">
      <c r="C43" t="s">
        <v>4350</v>
      </c>
      <c r="D43" t="s">
        <v>3734</v>
      </c>
      <c r="E43" s="36">
        <v>0</v>
      </c>
      <c r="F43" s="36">
        <v>6510</v>
      </c>
      <c r="G43" s="36">
        <v>6510</v>
      </c>
      <c r="H43" s="36">
        <v>0</v>
      </c>
    </row>
    <row r="44" spans="3:8" x14ac:dyDescent="0.3">
      <c r="C44" t="s">
        <v>4351</v>
      </c>
      <c r="D44" t="s">
        <v>3735</v>
      </c>
      <c r="E44" s="36">
        <v>0</v>
      </c>
      <c r="F44" s="36">
        <v>254006.2</v>
      </c>
      <c r="G44" s="36">
        <v>254006.2</v>
      </c>
      <c r="H44" s="36">
        <v>0</v>
      </c>
    </row>
    <row r="45" spans="3:8" x14ac:dyDescent="0.3">
      <c r="C45" t="s">
        <v>4352</v>
      </c>
      <c r="D45" t="s">
        <v>3736</v>
      </c>
      <c r="E45" s="36">
        <v>0</v>
      </c>
      <c r="F45" s="36">
        <v>5130</v>
      </c>
      <c r="G45" s="36">
        <v>5130</v>
      </c>
      <c r="H45" s="36">
        <v>0</v>
      </c>
    </row>
    <row r="46" spans="3:8" x14ac:dyDescent="0.3">
      <c r="C46" t="s">
        <v>4353</v>
      </c>
      <c r="D46" t="s">
        <v>3737</v>
      </c>
      <c r="E46" s="36">
        <v>315</v>
      </c>
      <c r="F46" s="36">
        <v>2415</v>
      </c>
      <c r="G46" s="36">
        <v>2730</v>
      </c>
      <c r="H46" s="36">
        <v>0</v>
      </c>
    </row>
    <row r="47" spans="3:8" x14ac:dyDescent="0.3">
      <c r="C47" t="s">
        <v>4354</v>
      </c>
      <c r="D47" t="s">
        <v>3738</v>
      </c>
      <c r="E47" s="36">
        <v>0</v>
      </c>
      <c r="F47" s="36">
        <v>4515</v>
      </c>
      <c r="G47" s="36">
        <v>4515</v>
      </c>
      <c r="H47" s="36">
        <v>0</v>
      </c>
    </row>
    <row r="48" spans="3:8" x14ac:dyDescent="0.3">
      <c r="C48" t="s">
        <v>4355</v>
      </c>
      <c r="D48" t="s">
        <v>3739</v>
      </c>
      <c r="E48" s="36">
        <v>2295</v>
      </c>
      <c r="F48" s="36">
        <v>16200</v>
      </c>
      <c r="G48" s="36">
        <v>18495</v>
      </c>
      <c r="H48" s="36">
        <v>0</v>
      </c>
    </row>
    <row r="49" spans="3:8" x14ac:dyDescent="0.3">
      <c r="C49" t="s">
        <v>4356</v>
      </c>
      <c r="D49" t="s">
        <v>3740</v>
      </c>
      <c r="E49" s="36">
        <v>4750</v>
      </c>
      <c r="F49" s="36">
        <v>0</v>
      </c>
      <c r="G49" s="36">
        <v>0</v>
      </c>
      <c r="H49" s="36">
        <v>4750</v>
      </c>
    </row>
    <row r="50" spans="3:8" x14ac:dyDescent="0.3">
      <c r="C50" t="s">
        <v>4357</v>
      </c>
      <c r="D50" t="s">
        <v>3741</v>
      </c>
      <c r="E50" s="36">
        <v>2100</v>
      </c>
      <c r="F50" s="36">
        <v>10140</v>
      </c>
      <c r="G50" s="36">
        <v>12240</v>
      </c>
      <c r="H50" s="36">
        <v>0</v>
      </c>
    </row>
    <row r="51" spans="3:8" x14ac:dyDescent="0.3">
      <c r="C51" t="s">
        <v>4358</v>
      </c>
      <c r="D51" t="s">
        <v>3742</v>
      </c>
      <c r="E51" s="36">
        <v>0</v>
      </c>
      <c r="F51" s="36">
        <v>39753</v>
      </c>
      <c r="G51" s="36">
        <v>39753</v>
      </c>
      <c r="H51" s="36">
        <v>0</v>
      </c>
    </row>
    <row r="52" spans="3:8" x14ac:dyDescent="0.3">
      <c r="C52" t="s">
        <v>4359</v>
      </c>
      <c r="D52" t="s">
        <v>3743</v>
      </c>
      <c r="E52" s="36">
        <v>11184</v>
      </c>
      <c r="F52" s="36">
        <v>19089</v>
      </c>
      <c r="G52" s="36">
        <v>30273</v>
      </c>
      <c r="H52" s="36">
        <v>0</v>
      </c>
    </row>
    <row r="53" spans="3:8" x14ac:dyDescent="0.3">
      <c r="C53" t="s">
        <v>4360</v>
      </c>
      <c r="D53" t="s">
        <v>3744</v>
      </c>
      <c r="E53" s="36">
        <v>10163</v>
      </c>
      <c r="F53" s="36">
        <v>0</v>
      </c>
      <c r="G53" s="36">
        <v>0</v>
      </c>
      <c r="H53" s="36">
        <v>10163</v>
      </c>
    </row>
    <row r="54" spans="3:8" x14ac:dyDescent="0.3">
      <c r="C54" t="s">
        <v>4361</v>
      </c>
      <c r="D54" t="s">
        <v>3745</v>
      </c>
      <c r="E54" s="36">
        <v>0</v>
      </c>
      <c r="F54" s="36">
        <v>20825</v>
      </c>
      <c r="G54" s="36">
        <v>20825</v>
      </c>
      <c r="H54" s="36">
        <v>0</v>
      </c>
    </row>
    <row r="55" spans="3:8" x14ac:dyDescent="0.3">
      <c r="C55" t="s">
        <v>4362</v>
      </c>
      <c r="D55" t="s">
        <v>3746</v>
      </c>
      <c r="E55" s="36">
        <v>12400</v>
      </c>
      <c r="F55" s="36">
        <v>18600</v>
      </c>
      <c r="G55" s="36">
        <v>31000</v>
      </c>
      <c r="H55" s="36">
        <v>0</v>
      </c>
    </row>
    <row r="56" spans="3:8" x14ac:dyDescent="0.3">
      <c r="C56" t="s">
        <v>4363</v>
      </c>
      <c r="D56" t="s">
        <v>3747</v>
      </c>
      <c r="E56" s="36">
        <v>0</v>
      </c>
      <c r="F56" s="36">
        <v>35400</v>
      </c>
      <c r="G56" s="36">
        <v>35400</v>
      </c>
      <c r="H56" s="36">
        <v>0</v>
      </c>
    </row>
    <row r="57" spans="3:8" x14ac:dyDescent="0.3">
      <c r="C57" t="s">
        <v>4364</v>
      </c>
      <c r="D57" t="s">
        <v>3748</v>
      </c>
      <c r="E57" s="36">
        <v>0</v>
      </c>
      <c r="F57" s="36">
        <v>43988.5</v>
      </c>
      <c r="G57" s="36">
        <v>27500</v>
      </c>
      <c r="H57" s="36">
        <v>16488.5</v>
      </c>
    </row>
    <row r="58" spans="3:8" x14ac:dyDescent="0.3">
      <c r="C58" t="s">
        <v>4365</v>
      </c>
      <c r="D58" t="s">
        <v>3749</v>
      </c>
      <c r="E58" s="36">
        <v>1350</v>
      </c>
      <c r="F58" s="36">
        <v>1350</v>
      </c>
      <c r="G58" s="36">
        <v>2700</v>
      </c>
      <c r="H58" s="36">
        <v>0</v>
      </c>
    </row>
    <row r="59" spans="3:8" x14ac:dyDescent="0.3">
      <c r="C59" t="s">
        <v>4366</v>
      </c>
      <c r="D59" t="s">
        <v>3750</v>
      </c>
      <c r="E59" s="36">
        <v>0</v>
      </c>
      <c r="F59" s="36">
        <v>54000</v>
      </c>
      <c r="G59" s="36">
        <v>54000</v>
      </c>
      <c r="H59" s="36">
        <v>0</v>
      </c>
    </row>
    <row r="60" spans="3:8" x14ac:dyDescent="0.3">
      <c r="C60" t="s">
        <v>4367</v>
      </c>
      <c r="D60" t="s">
        <v>3751</v>
      </c>
      <c r="E60" s="36">
        <v>0</v>
      </c>
      <c r="F60" s="36">
        <v>31920</v>
      </c>
      <c r="G60" s="36">
        <v>12840</v>
      </c>
      <c r="H60" s="36">
        <v>19080</v>
      </c>
    </row>
    <row r="61" spans="3:8" x14ac:dyDescent="0.3">
      <c r="C61" t="s">
        <v>4368</v>
      </c>
      <c r="D61" t="s">
        <v>3752</v>
      </c>
      <c r="E61" s="36">
        <v>0</v>
      </c>
      <c r="F61" s="36">
        <v>11403</v>
      </c>
      <c r="G61" s="36">
        <v>11403</v>
      </c>
      <c r="H61" s="36">
        <v>0</v>
      </c>
    </row>
    <row r="62" spans="3:8" x14ac:dyDescent="0.3">
      <c r="C62" t="s">
        <v>4369</v>
      </c>
      <c r="D62" t="s">
        <v>3753</v>
      </c>
      <c r="E62" s="36">
        <v>0</v>
      </c>
      <c r="F62" s="36">
        <v>15750</v>
      </c>
      <c r="G62" s="36">
        <v>15750</v>
      </c>
      <c r="H62" s="36">
        <v>0</v>
      </c>
    </row>
    <row r="63" spans="3:8" x14ac:dyDescent="0.3">
      <c r="C63" t="s">
        <v>4370</v>
      </c>
      <c r="D63" t="s">
        <v>3754</v>
      </c>
      <c r="E63" s="36">
        <v>14750</v>
      </c>
      <c r="F63" s="36">
        <v>147500</v>
      </c>
      <c r="G63" s="36">
        <v>162250</v>
      </c>
      <c r="H63" s="36">
        <v>0</v>
      </c>
    </row>
    <row r="64" spans="3:8" x14ac:dyDescent="0.3">
      <c r="C64" t="s">
        <v>4371</v>
      </c>
      <c r="D64" t="s">
        <v>3755</v>
      </c>
      <c r="E64" s="36">
        <v>0</v>
      </c>
      <c r="F64" s="36">
        <v>1760000</v>
      </c>
      <c r="G64" s="36">
        <v>1760000</v>
      </c>
      <c r="H64" s="36">
        <v>0</v>
      </c>
    </row>
    <row r="65" spans="3:8" x14ac:dyDescent="0.3">
      <c r="C65" t="s">
        <v>4372</v>
      </c>
      <c r="D65" t="s">
        <v>3756</v>
      </c>
      <c r="E65" s="36">
        <v>0</v>
      </c>
      <c r="F65" s="36">
        <v>30348.5</v>
      </c>
      <c r="G65" s="36">
        <v>30348.5</v>
      </c>
      <c r="H65" s="36">
        <v>0</v>
      </c>
    </row>
    <row r="66" spans="3:8" x14ac:dyDescent="0.3">
      <c r="C66" t="s">
        <v>4373</v>
      </c>
      <c r="D66" t="s">
        <v>3757</v>
      </c>
      <c r="E66" s="36">
        <v>0</v>
      </c>
      <c r="F66" s="36">
        <v>36343.42</v>
      </c>
      <c r="G66" s="36">
        <v>36343.42</v>
      </c>
      <c r="H66" s="36">
        <v>0</v>
      </c>
    </row>
    <row r="67" spans="3:8" x14ac:dyDescent="0.3">
      <c r="C67" t="s">
        <v>4374</v>
      </c>
      <c r="D67" t="s">
        <v>3758</v>
      </c>
      <c r="E67" s="36">
        <v>0</v>
      </c>
      <c r="F67" s="36">
        <v>64953</v>
      </c>
      <c r="G67" s="36">
        <v>64953</v>
      </c>
      <c r="H67" s="36">
        <v>0</v>
      </c>
    </row>
    <row r="68" spans="3:8" x14ac:dyDescent="0.3">
      <c r="C68" t="s">
        <v>4375</v>
      </c>
      <c r="D68" t="s">
        <v>3759</v>
      </c>
      <c r="E68" s="36">
        <v>65565</v>
      </c>
      <c r="F68" s="36">
        <v>256935</v>
      </c>
      <c r="G68" s="36">
        <v>322500</v>
      </c>
      <c r="H68" s="36">
        <v>0</v>
      </c>
    </row>
    <row r="69" spans="3:8" x14ac:dyDescent="0.3">
      <c r="C69" t="s">
        <v>4376</v>
      </c>
      <c r="D69" t="s">
        <v>3760</v>
      </c>
      <c r="E69" s="36">
        <v>17369.55</v>
      </c>
      <c r="F69" s="36">
        <v>0</v>
      </c>
      <c r="G69" s="36">
        <v>10989.55</v>
      </c>
      <c r="H69" s="36">
        <v>6380</v>
      </c>
    </row>
    <row r="70" spans="3:8" x14ac:dyDescent="0.3">
      <c r="C70" t="s">
        <v>4377</v>
      </c>
      <c r="D70" t="s">
        <v>3761</v>
      </c>
      <c r="E70" s="36">
        <v>1342062</v>
      </c>
      <c r="F70" s="36">
        <v>2069831.5</v>
      </c>
      <c r="G70" s="36">
        <v>3411893.5</v>
      </c>
      <c r="H70" s="36">
        <v>0</v>
      </c>
    </row>
    <row r="71" spans="3:8" x14ac:dyDescent="0.3">
      <c r="C71" t="s">
        <v>4378</v>
      </c>
      <c r="D71" t="s">
        <v>3762</v>
      </c>
      <c r="E71" s="36">
        <v>21472</v>
      </c>
      <c r="F71" s="36">
        <v>34897.82</v>
      </c>
      <c r="G71" s="36">
        <v>56369.82</v>
      </c>
      <c r="H71" s="36">
        <v>0</v>
      </c>
    </row>
    <row r="72" spans="3:8" x14ac:dyDescent="0.3">
      <c r="C72" t="s">
        <v>4379</v>
      </c>
      <c r="D72" t="s">
        <v>3763</v>
      </c>
      <c r="E72" s="36">
        <v>0</v>
      </c>
      <c r="F72" s="36">
        <v>7342.23</v>
      </c>
      <c r="G72" s="36">
        <v>7342.23</v>
      </c>
      <c r="H72" s="36">
        <v>0</v>
      </c>
    </row>
    <row r="73" spans="3:8" x14ac:dyDescent="0.3">
      <c r="C73" t="s">
        <v>4380</v>
      </c>
      <c r="D73" t="s">
        <v>3764</v>
      </c>
      <c r="E73" s="36">
        <v>0</v>
      </c>
      <c r="F73" s="36">
        <v>62500</v>
      </c>
      <c r="G73" s="36">
        <v>62500</v>
      </c>
      <c r="H73" s="36">
        <v>0</v>
      </c>
    </row>
    <row r="74" spans="3:8" x14ac:dyDescent="0.3">
      <c r="C74" t="s">
        <v>4381</v>
      </c>
      <c r="D74" t="s">
        <v>3765</v>
      </c>
      <c r="E74" s="36">
        <v>0</v>
      </c>
      <c r="F74" s="36">
        <v>71300</v>
      </c>
      <c r="G74" s="36">
        <v>71300</v>
      </c>
      <c r="H74" s="36">
        <v>0</v>
      </c>
    </row>
    <row r="75" spans="3:8" x14ac:dyDescent="0.3">
      <c r="C75" t="s">
        <v>4382</v>
      </c>
      <c r="D75" t="s">
        <v>3766</v>
      </c>
      <c r="E75" s="36">
        <v>77500</v>
      </c>
      <c r="F75" s="36">
        <v>0</v>
      </c>
      <c r="G75" s="36">
        <v>0</v>
      </c>
      <c r="H75" s="36">
        <v>77500</v>
      </c>
    </row>
    <row r="76" spans="3:8" x14ac:dyDescent="0.3">
      <c r="C76" t="s">
        <v>4383</v>
      </c>
      <c r="D76" t="s">
        <v>3767</v>
      </c>
      <c r="E76" s="36">
        <v>6980</v>
      </c>
      <c r="F76" s="36">
        <v>0</v>
      </c>
      <c r="G76" s="36">
        <v>6980</v>
      </c>
      <c r="H76" s="36">
        <v>0</v>
      </c>
    </row>
    <row r="77" spans="3:8" x14ac:dyDescent="0.3">
      <c r="C77" t="s">
        <v>4384</v>
      </c>
      <c r="D77" t="s">
        <v>3768</v>
      </c>
      <c r="E77" s="36">
        <v>0</v>
      </c>
      <c r="F77" s="36">
        <v>259.10000000000002</v>
      </c>
      <c r="G77" s="36">
        <v>259.10000000000002</v>
      </c>
      <c r="H77" s="36">
        <v>0</v>
      </c>
    </row>
    <row r="78" spans="3:8" x14ac:dyDescent="0.3">
      <c r="C78" t="s">
        <v>4385</v>
      </c>
      <c r="D78" t="s">
        <v>3769</v>
      </c>
      <c r="E78" s="36">
        <v>0</v>
      </c>
      <c r="F78" s="36">
        <v>59000</v>
      </c>
      <c r="G78" s="36">
        <v>59000</v>
      </c>
      <c r="H78" s="36">
        <v>0</v>
      </c>
    </row>
    <row r="79" spans="3:8" x14ac:dyDescent="0.3">
      <c r="C79" t="s">
        <v>4386</v>
      </c>
      <c r="D79" t="s">
        <v>3770</v>
      </c>
      <c r="E79" s="36">
        <v>0</v>
      </c>
      <c r="F79" s="36">
        <v>29400</v>
      </c>
      <c r="G79" s="36">
        <v>29400</v>
      </c>
      <c r="H79" s="36">
        <v>0</v>
      </c>
    </row>
    <row r="80" spans="3:8" x14ac:dyDescent="0.3">
      <c r="C80" t="s">
        <v>4387</v>
      </c>
      <c r="D80" t="s">
        <v>3771</v>
      </c>
      <c r="E80" s="36">
        <v>0</v>
      </c>
      <c r="F80" s="36">
        <v>2853</v>
      </c>
      <c r="G80" s="36">
        <v>2853</v>
      </c>
      <c r="H80" s="36">
        <v>0</v>
      </c>
    </row>
    <row r="81" spans="3:8" x14ac:dyDescent="0.3">
      <c r="C81" t="s">
        <v>4388</v>
      </c>
      <c r="D81" t="s">
        <v>3772</v>
      </c>
      <c r="E81" s="36">
        <v>0</v>
      </c>
      <c r="F81" s="36">
        <v>30000</v>
      </c>
      <c r="G81" s="36">
        <v>30000</v>
      </c>
      <c r="H81" s="36">
        <v>0</v>
      </c>
    </row>
    <row r="82" spans="3:8" x14ac:dyDescent="0.3">
      <c r="C82" t="s">
        <v>4389</v>
      </c>
      <c r="D82" t="s">
        <v>3773</v>
      </c>
      <c r="E82" s="36">
        <v>0</v>
      </c>
      <c r="F82" s="36">
        <v>10950</v>
      </c>
      <c r="G82" s="36">
        <v>10950</v>
      </c>
      <c r="H82" s="36">
        <v>0</v>
      </c>
    </row>
    <row r="83" spans="3:8" x14ac:dyDescent="0.3">
      <c r="C83" t="s">
        <v>4390</v>
      </c>
      <c r="D83" t="s">
        <v>3774</v>
      </c>
      <c r="E83" s="36">
        <v>0</v>
      </c>
      <c r="F83" s="36">
        <v>27600</v>
      </c>
      <c r="G83" s="36">
        <v>27600</v>
      </c>
      <c r="H83" s="36">
        <v>0</v>
      </c>
    </row>
    <row r="84" spans="3:8" x14ac:dyDescent="0.3">
      <c r="C84" t="s">
        <v>4391</v>
      </c>
      <c r="D84" t="s">
        <v>3775</v>
      </c>
      <c r="E84" s="36">
        <v>0</v>
      </c>
      <c r="F84" s="36">
        <v>2220</v>
      </c>
      <c r="G84" s="36">
        <v>2220</v>
      </c>
      <c r="H84" s="36">
        <v>0</v>
      </c>
    </row>
    <row r="85" spans="3:8" x14ac:dyDescent="0.3">
      <c r="C85" t="s">
        <v>4392</v>
      </c>
      <c r="D85" t="s">
        <v>3776</v>
      </c>
      <c r="E85" s="36">
        <v>0</v>
      </c>
      <c r="F85" s="36">
        <v>3645</v>
      </c>
      <c r="G85" s="36">
        <v>3645</v>
      </c>
      <c r="H85" s="36">
        <v>0</v>
      </c>
    </row>
    <row r="86" spans="3:8" x14ac:dyDescent="0.3">
      <c r="C86" t="s">
        <v>4393</v>
      </c>
      <c r="D86" t="s">
        <v>3777</v>
      </c>
      <c r="E86" s="36">
        <v>0</v>
      </c>
      <c r="F86" s="36">
        <v>3717.9</v>
      </c>
      <c r="G86" s="36">
        <v>0</v>
      </c>
      <c r="H86" s="36">
        <v>3717.9</v>
      </c>
    </row>
    <row r="87" spans="3:8" x14ac:dyDescent="0.3">
      <c r="C87" t="s">
        <v>2124</v>
      </c>
      <c r="D87" t="s">
        <v>2124</v>
      </c>
    </row>
    <row r="88" spans="3:8" x14ac:dyDescent="0.3">
      <c r="C88" t="s">
        <v>4394</v>
      </c>
      <c r="D88" t="s">
        <v>3778</v>
      </c>
      <c r="E88" s="36">
        <v>275622.2</v>
      </c>
      <c r="F88" s="36">
        <v>0</v>
      </c>
      <c r="G88" s="36">
        <v>275622.2</v>
      </c>
      <c r="H88" s="36">
        <v>0</v>
      </c>
    </row>
    <row r="89" spans="3:8" x14ac:dyDescent="0.3">
      <c r="C89" t="s">
        <v>4395</v>
      </c>
      <c r="D89" t="s">
        <v>3779</v>
      </c>
      <c r="E89" s="36">
        <v>275622.2</v>
      </c>
      <c r="F89" s="36">
        <v>0</v>
      </c>
      <c r="G89" s="36">
        <v>275622.2</v>
      </c>
      <c r="H89" s="36">
        <v>0</v>
      </c>
    </row>
    <row r="90" spans="3:8" x14ac:dyDescent="0.3">
      <c r="C90" t="s">
        <v>2124</v>
      </c>
      <c r="D90" t="s">
        <v>2124</v>
      </c>
    </row>
    <row r="91" spans="3:8" x14ac:dyDescent="0.3">
      <c r="C91" t="s">
        <v>4396</v>
      </c>
      <c r="D91" t="s">
        <v>3780</v>
      </c>
      <c r="E91" s="36">
        <v>2432944.75</v>
      </c>
      <c r="F91" s="36">
        <v>8624781.9399999995</v>
      </c>
      <c r="G91" s="36">
        <v>1420374.02</v>
      </c>
      <c r="H91" s="36">
        <v>9637352.6699999999</v>
      </c>
    </row>
    <row r="92" spans="3:8" x14ac:dyDescent="0.3">
      <c r="C92" t="s">
        <v>4397</v>
      </c>
      <c r="D92" t="s">
        <v>3781</v>
      </c>
      <c r="E92" s="36">
        <v>100920.1</v>
      </c>
      <c r="F92" s="36">
        <v>1206475.6100000001</v>
      </c>
      <c r="G92" s="36">
        <v>1021786.03</v>
      </c>
      <c r="H92" s="36">
        <v>285609.68</v>
      </c>
    </row>
    <row r="93" spans="3:8" x14ac:dyDescent="0.3">
      <c r="C93" t="s">
        <v>4398</v>
      </c>
      <c r="D93" t="s">
        <v>3782</v>
      </c>
      <c r="E93" s="36">
        <v>0</v>
      </c>
      <c r="F93" s="36">
        <v>377173.55</v>
      </c>
      <c r="G93" s="36">
        <v>377173.55</v>
      </c>
      <c r="H93" s="36">
        <v>0</v>
      </c>
    </row>
    <row r="94" spans="3:8" x14ac:dyDescent="0.3">
      <c r="C94" t="s">
        <v>4399</v>
      </c>
      <c r="D94" t="s">
        <v>3783</v>
      </c>
      <c r="E94" s="36">
        <v>100920.1</v>
      </c>
      <c r="F94" s="36">
        <v>829302.06</v>
      </c>
      <c r="G94" s="36">
        <v>644612.48</v>
      </c>
      <c r="H94" s="36">
        <v>285609.68</v>
      </c>
    </row>
    <row r="95" spans="3:8" x14ac:dyDescent="0.3">
      <c r="C95" t="s">
        <v>2124</v>
      </c>
      <c r="D95" t="s">
        <v>2124</v>
      </c>
    </row>
    <row r="96" spans="3:8" x14ac:dyDescent="0.3">
      <c r="C96" t="s">
        <v>4400</v>
      </c>
      <c r="D96" t="s">
        <v>3784</v>
      </c>
      <c r="E96" s="36">
        <v>2331952.69</v>
      </c>
      <c r="F96" s="36">
        <v>7418306.3300000001</v>
      </c>
      <c r="G96" s="36">
        <v>398587.99</v>
      </c>
      <c r="H96" s="36">
        <v>9351671.0299999993</v>
      </c>
    </row>
    <row r="97" spans="3:8" x14ac:dyDescent="0.3">
      <c r="C97" t="s">
        <v>4401</v>
      </c>
      <c r="D97" t="s">
        <v>3785</v>
      </c>
      <c r="E97" s="36">
        <v>185.6</v>
      </c>
      <c r="F97" s="36">
        <v>0</v>
      </c>
      <c r="G97" s="36">
        <v>0</v>
      </c>
      <c r="H97" s="36">
        <v>185.6</v>
      </c>
    </row>
    <row r="98" spans="3:8" x14ac:dyDescent="0.3">
      <c r="C98" t="s">
        <v>4402</v>
      </c>
      <c r="D98" t="s">
        <v>3786</v>
      </c>
      <c r="E98" s="36">
        <v>1796.65</v>
      </c>
      <c r="F98" s="36">
        <v>0</v>
      </c>
      <c r="G98" s="36">
        <v>0</v>
      </c>
      <c r="H98" s="36">
        <v>1796.65</v>
      </c>
    </row>
    <row r="99" spans="3:8" x14ac:dyDescent="0.3">
      <c r="C99" t="s">
        <v>4403</v>
      </c>
      <c r="D99" t="s">
        <v>3787</v>
      </c>
      <c r="E99" s="36">
        <v>397399.05</v>
      </c>
      <c r="F99" s="36">
        <v>1188.94</v>
      </c>
      <c r="G99" s="36">
        <v>398587.99</v>
      </c>
      <c r="H99" s="36">
        <v>0</v>
      </c>
    </row>
    <row r="100" spans="3:8" x14ac:dyDescent="0.3">
      <c r="C100" t="s">
        <v>4404</v>
      </c>
      <c r="D100" t="s">
        <v>3788</v>
      </c>
      <c r="E100" s="36">
        <v>1587940.03</v>
      </c>
      <c r="F100" s="36">
        <v>6099640.7699999996</v>
      </c>
      <c r="G100" s="36">
        <v>0</v>
      </c>
      <c r="H100" s="36">
        <v>7687580.7999999998</v>
      </c>
    </row>
    <row r="101" spans="3:8" x14ac:dyDescent="0.3">
      <c r="C101" t="s">
        <v>4405</v>
      </c>
      <c r="D101" t="s">
        <v>3789</v>
      </c>
      <c r="E101" s="36">
        <v>344566.26</v>
      </c>
      <c r="F101" s="36">
        <v>1317382.97</v>
      </c>
      <c r="G101" s="36">
        <v>0</v>
      </c>
      <c r="H101" s="36">
        <v>1661949.23</v>
      </c>
    </row>
    <row r="102" spans="3:8" x14ac:dyDescent="0.3">
      <c r="C102" t="s">
        <v>4406</v>
      </c>
      <c r="D102" t="s">
        <v>3790</v>
      </c>
      <c r="E102" s="36">
        <v>65.099999999999994</v>
      </c>
      <c r="F102" s="36">
        <v>0</v>
      </c>
      <c r="G102" s="36">
        <v>0</v>
      </c>
      <c r="H102" s="36">
        <v>65.099999999999994</v>
      </c>
    </row>
    <row r="103" spans="3:8" x14ac:dyDescent="0.3">
      <c r="C103" t="s">
        <v>4407</v>
      </c>
      <c r="D103" t="s">
        <v>3791</v>
      </c>
      <c r="E103" s="36">
        <v>0</v>
      </c>
      <c r="F103" s="36">
        <v>93.65</v>
      </c>
      <c r="G103" s="36">
        <v>0</v>
      </c>
      <c r="H103" s="36">
        <v>93.65</v>
      </c>
    </row>
    <row r="104" spans="3:8" x14ac:dyDescent="0.3">
      <c r="C104" t="s">
        <v>2124</v>
      </c>
      <c r="D104" t="s">
        <v>2124</v>
      </c>
    </row>
    <row r="105" spans="3:8" x14ac:dyDescent="0.3">
      <c r="C105" t="s">
        <v>4408</v>
      </c>
      <c r="D105" t="s">
        <v>3792</v>
      </c>
      <c r="E105" s="36">
        <v>71.959999999999994</v>
      </c>
      <c r="F105" s="36">
        <v>0</v>
      </c>
      <c r="G105" s="36">
        <v>0</v>
      </c>
      <c r="H105" s="36">
        <v>71.959999999999994</v>
      </c>
    </row>
    <row r="106" spans="3:8" x14ac:dyDescent="0.3">
      <c r="C106" t="s">
        <v>4409</v>
      </c>
      <c r="D106" t="s">
        <v>3793</v>
      </c>
      <c r="E106" s="36">
        <v>32.44</v>
      </c>
      <c r="F106" s="36">
        <v>0</v>
      </c>
      <c r="G106" s="36">
        <v>0</v>
      </c>
      <c r="H106" s="36">
        <v>32.44</v>
      </c>
    </row>
    <row r="107" spans="3:8" x14ac:dyDescent="0.3">
      <c r="C107" t="s">
        <v>4410</v>
      </c>
      <c r="D107" t="s">
        <v>3794</v>
      </c>
      <c r="E107" s="36">
        <v>30.14</v>
      </c>
      <c r="F107" s="36">
        <v>0</v>
      </c>
      <c r="G107" s="36">
        <v>0</v>
      </c>
      <c r="H107" s="36">
        <v>30.14</v>
      </c>
    </row>
    <row r="108" spans="3:8" x14ac:dyDescent="0.3">
      <c r="C108" t="s">
        <v>4411</v>
      </c>
      <c r="D108" t="s">
        <v>3795</v>
      </c>
      <c r="E108" s="36">
        <v>9.3800000000000008</v>
      </c>
      <c r="F108" s="36">
        <v>0</v>
      </c>
      <c r="G108" s="36">
        <v>0</v>
      </c>
      <c r="H108" s="36">
        <v>9.3800000000000008</v>
      </c>
    </row>
    <row r="109" spans="3:8" x14ac:dyDescent="0.3">
      <c r="C109" t="s">
        <v>2124</v>
      </c>
      <c r="D109" t="s">
        <v>2124</v>
      </c>
    </row>
    <row r="110" spans="3:8" x14ac:dyDescent="0.3">
      <c r="C110" t="s">
        <v>4950</v>
      </c>
      <c r="D110" t="s">
        <v>3796</v>
      </c>
      <c r="E110" s="36">
        <v>1.1641532182693482E-14</v>
      </c>
      <c r="F110" s="36">
        <v>0</v>
      </c>
      <c r="G110" s="36">
        <v>0</v>
      </c>
      <c r="H110" s="36">
        <v>0</v>
      </c>
    </row>
    <row r="111" spans="3:8" x14ac:dyDescent="0.3">
      <c r="C111" t="s">
        <v>2124</v>
      </c>
      <c r="D111" t="s">
        <v>2124</v>
      </c>
    </row>
    <row r="112" spans="3:8" x14ac:dyDescent="0.3">
      <c r="C112" t="s">
        <v>4412</v>
      </c>
      <c r="D112" t="s">
        <v>3797</v>
      </c>
      <c r="E112" s="36">
        <v>120930.33</v>
      </c>
      <c r="F112" s="36">
        <v>1740550.87</v>
      </c>
      <c r="G112" s="36">
        <v>1861481.2</v>
      </c>
      <c r="H112" s="36">
        <v>0</v>
      </c>
    </row>
    <row r="113" spans="3:8" x14ac:dyDescent="0.3">
      <c r="C113" t="s">
        <v>4413</v>
      </c>
      <c r="D113" t="s">
        <v>3798</v>
      </c>
      <c r="E113" s="36">
        <v>120930.33</v>
      </c>
      <c r="F113" s="36">
        <v>1740550.87</v>
      </c>
      <c r="G113" s="36">
        <v>1861481.2</v>
      </c>
      <c r="H113" s="36">
        <v>0</v>
      </c>
    </row>
    <row r="114" spans="3:8" x14ac:dyDescent="0.3">
      <c r="C114" t="s">
        <v>4414</v>
      </c>
      <c r="D114" t="s">
        <v>3799</v>
      </c>
      <c r="E114" s="36">
        <v>0</v>
      </c>
      <c r="F114" s="36">
        <v>33192.33</v>
      </c>
      <c r="G114" s="36">
        <v>159058.18</v>
      </c>
      <c r="H114" s="36">
        <v>-125865.85</v>
      </c>
    </row>
    <row r="115" spans="3:8" x14ac:dyDescent="0.3">
      <c r="C115" t="s">
        <v>4415</v>
      </c>
      <c r="D115" t="s">
        <v>3800</v>
      </c>
      <c r="E115" s="36">
        <v>-18391.52</v>
      </c>
      <c r="F115" s="36">
        <v>1701860.96</v>
      </c>
      <c r="G115" s="36">
        <v>1701860.96</v>
      </c>
      <c r="H115" s="36">
        <v>-18391.52</v>
      </c>
    </row>
    <row r="116" spans="3:8" x14ac:dyDescent="0.3">
      <c r="C116" t="s">
        <v>4416</v>
      </c>
      <c r="D116" t="s">
        <v>3801</v>
      </c>
      <c r="E116" s="36">
        <v>98288.81</v>
      </c>
      <c r="F116" s="36">
        <v>0</v>
      </c>
      <c r="G116" s="36">
        <v>230.01</v>
      </c>
      <c r="H116" s="36">
        <v>98058.8</v>
      </c>
    </row>
    <row r="117" spans="3:8" x14ac:dyDescent="0.3">
      <c r="C117" t="s">
        <v>4417</v>
      </c>
      <c r="D117" t="s">
        <v>3802</v>
      </c>
      <c r="E117" s="36">
        <v>37745.599999999999</v>
      </c>
      <c r="F117" s="36">
        <v>0</v>
      </c>
      <c r="G117" s="36">
        <v>119.04</v>
      </c>
      <c r="H117" s="36">
        <v>37626.559999999998</v>
      </c>
    </row>
    <row r="118" spans="3:8" x14ac:dyDescent="0.3">
      <c r="C118" t="s">
        <v>4418</v>
      </c>
      <c r="D118" t="s">
        <v>3803</v>
      </c>
      <c r="E118" s="36">
        <v>3138.45</v>
      </c>
      <c r="F118" s="36">
        <v>0</v>
      </c>
      <c r="G118" s="36">
        <v>0</v>
      </c>
      <c r="H118" s="36">
        <v>3138.45</v>
      </c>
    </row>
    <row r="119" spans="3:8" x14ac:dyDescent="0.3">
      <c r="C119" t="s">
        <v>4419</v>
      </c>
      <c r="D119" t="s">
        <v>3804</v>
      </c>
      <c r="E119" s="36">
        <v>148.99</v>
      </c>
      <c r="F119" s="36">
        <v>0</v>
      </c>
      <c r="G119" s="36">
        <v>0</v>
      </c>
      <c r="H119" s="36">
        <v>148.99</v>
      </c>
    </row>
    <row r="120" spans="3:8" x14ac:dyDescent="0.3">
      <c r="C120" t="s">
        <v>4420</v>
      </c>
      <c r="D120" t="s">
        <v>3805</v>
      </c>
      <c r="E120" s="36">
        <v>0</v>
      </c>
      <c r="F120" s="36">
        <v>5497.58</v>
      </c>
      <c r="G120" s="36">
        <v>213.01</v>
      </c>
      <c r="H120" s="36">
        <v>5284.57</v>
      </c>
    </row>
    <row r="121" spans="3:8" x14ac:dyDescent="0.3">
      <c r="C121" t="s">
        <v>2124</v>
      </c>
      <c r="D121" t="s">
        <v>2124</v>
      </c>
    </row>
    <row r="122" spans="3:8" x14ac:dyDescent="0.3">
      <c r="C122" t="s">
        <v>4421</v>
      </c>
      <c r="D122" t="s">
        <v>3806</v>
      </c>
      <c r="E122" s="36">
        <v>16372.58</v>
      </c>
      <c r="F122" s="36">
        <v>0</v>
      </c>
      <c r="G122" s="36">
        <v>7447.58</v>
      </c>
      <c r="H122" s="36">
        <v>8925</v>
      </c>
    </row>
    <row r="123" spans="3:8" x14ac:dyDescent="0.3">
      <c r="C123" t="s">
        <v>4422</v>
      </c>
      <c r="D123" t="s">
        <v>3807</v>
      </c>
      <c r="E123" s="36">
        <v>16372.58</v>
      </c>
      <c r="F123" s="36">
        <v>0</v>
      </c>
      <c r="G123" s="36">
        <v>7447.58</v>
      </c>
      <c r="H123" s="36">
        <v>8925</v>
      </c>
    </row>
    <row r="124" spans="3:8" x14ac:dyDescent="0.3">
      <c r="C124" t="s">
        <v>4423</v>
      </c>
      <c r="D124" t="s">
        <v>3808</v>
      </c>
      <c r="E124" s="36">
        <v>10875</v>
      </c>
      <c r="F124" s="36">
        <v>0</v>
      </c>
      <c r="G124" s="36">
        <v>1950</v>
      </c>
      <c r="H124" s="36">
        <v>8925</v>
      </c>
    </row>
    <row r="125" spans="3:8" x14ac:dyDescent="0.3">
      <c r="C125" t="s">
        <v>4424</v>
      </c>
      <c r="D125" t="s">
        <v>3809</v>
      </c>
      <c r="E125" s="36">
        <v>5497.58</v>
      </c>
      <c r="F125" s="36">
        <v>0</v>
      </c>
      <c r="G125" s="36">
        <v>5497.58</v>
      </c>
      <c r="H125" s="36">
        <v>0</v>
      </c>
    </row>
    <row r="126" spans="3:8" x14ac:dyDescent="0.3">
      <c r="C126" t="s">
        <v>2124</v>
      </c>
      <c r="D126" t="s">
        <v>2124</v>
      </c>
    </row>
    <row r="127" spans="3:8" x14ac:dyDescent="0.3">
      <c r="C127" t="s">
        <v>4425</v>
      </c>
      <c r="D127" t="s">
        <v>3810</v>
      </c>
      <c r="E127" s="36">
        <v>349578.28</v>
      </c>
      <c r="F127" s="36">
        <v>13619.48</v>
      </c>
      <c r="G127" s="36">
        <v>0</v>
      </c>
      <c r="H127" s="36">
        <v>363197.76</v>
      </c>
    </row>
    <row r="128" spans="3:8" x14ac:dyDescent="0.3">
      <c r="C128" t="s">
        <v>4426</v>
      </c>
      <c r="D128" t="s">
        <v>3811</v>
      </c>
      <c r="E128" s="36">
        <v>349578.28</v>
      </c>
      <c r="F128" s="36">
        <v>13619.48</v>
      </c>
      <c r="G128" s="36">
        <v>0</v>
      </c>
      <c r="H128" s="36">
        <v>363197.76</v>
      </c>
    </row>
    <row r="129" spans="3:8" x14ac:dyDescent="0.3">
      <c r="C129" t="s">
        <v>4427</v>
      </c>
      <c r="D129" t="s">
        <v>3812</v>
      </c>
      <c r="E129" s="36">
        <v>364995.54</v>
      </c>
      <c r="F129" s="36">
        <v>0</v>
      </c>
      <c r="G129" s="36">
        <v>0</v>
      </c>
      <c r="H129" s="36">
        <v>364995.54</v>
      </c>
    </row>
    <row r="130" spans="3:8" x14ac:dyDescent="0.3">
      <c r="C130" t="s">
        <v>4428</v>
      </c>
      <c r="D130" t="s">
        <v>3813</v>
      </c>
      <c r="E130" s="36">
        <v>-15417.26</v>
      </c>
      <c r="F130" s="36">
        <v>13619.48</v>
      </c>
      <c r="G130" s="36">
        <v>0</v>
      </c>
      <c r="H130" s="36">
        <v>-1797.78</v>
      </c>
    </row>
    <row r="131" spans="3:8" x14ac:dyDescent="0.3">
      <c r="C131" t="s">
        <v>2124</v>
      </c>
      <c r="D131" t="s">
        <v>2124</v>
      </c>
    </row>
    <row r="132" spans="3:8" x14ac:dyDescent="0.3">
      <c r="C132" t="s">
        <v>4429</v>
      </c>
      <c r="D132" t="s">
        <v>3814</v>
      </c>
      <c r="E132" s="36">
        <v>9891466.0500000007</v>
      </c>
      <c r="F132" s="36">
        <v>3190445.69</v>
      </c>
      <c r="G132" s="36">
        <v>8719777.2200000007</v>
      </c>
      <c r="H132" s="36">
        <v>4362134.5199999996</v>
      </c>
    </row>
    <row r="133" spans="3:8" x14ac:dyDescent="0.3">
      <c r="C133" t="s">
        <v>4430</v>
      </c>
      <c r="D133" t="s">
        <v>3815</v>
      </c>
      <c r="E133" s="36">
        <v>9891466.0500000007</v>
      </c>
      <c r="F133" s="36">
        <v>3190445.69</v>
      </c>
      <c r="G133" s="36">
        <v>8719777.2200000007</v>
      </c>
      <c r="H133" s="36">
        <v>4362134.5199999996</v>
      </c>
    </row>
    <row r="134" spans="3:8" x14ac:dyDescent="0.3">
      <c r="C134" t="s">
        <v>4431</v>
      </c>
      <c r="D134" t="s">
        <v>3816</v>
      </c>
      <c r="E134" s="36">
        <v>15037.61</v>
      </c>
      <c r="F134" s="36">
        <v>997.48</v>
      </c>
      <c r="G134" s="36">
        <v>1084.6400000000001</v>
      </c>
      <c r="H134" s="36">
        <v>14950.45</v>
      </c>
    </row>
    <row r="135" spans="3:8" x14ac:dyDescent="0.3">
      <c r="C135" t="s">
        <v>4432</v>
      </c>
      <c r="D135" t="s">
        <v>3817</v>
      </c>
      <c r="E135" s="36">
        <v>8083.82</v>
      </c>
      <c r="F135" s="36">
        <v>1315.08</v>
      </c>
      <c r="G135" s="36">
        <v>6745.04</v>
      </c>
      <c r="H135" s="36">
        <v>2653.86</v>
      </c>
    </row>
    <row r="136" spans="3:8" x14ac:dyDescent="0.3">
      <c r="C136" t="s">
        <v>4433</v>
      </c>
      <c r="D136" t="s">
        <v>3818</v>
      </c>
      <c r="E136" s="36">
        <v>329.84</v>
      </c>
      <c r="F136" s="36">
        <v>0</v>
      </c>
      <c r="G136" s="36">
        <v>1.68</v>
      </c>
      <c r="H136" s="36">
        <v>328.16</v>
      </c>
    </row>
    <row r="137" spans="3:8" x14ac:dyDescent="0.3">
      <c r="C137" t="s">
        <v>4434</v>
      </c>
      <c r="D137" t="s">
        <v>3819</v>
      </c>
      <c r="E137" s="36">
        <v>384752.36</v>
      </c>
      <c r="F137" s="36">
        <v>12431.05</v>
      </c>
      <c r="G137" s="36">
        <v>277112.55</v>
      </c>
      <c r="H137" s="36">
        <v>120070.86</v>
      </c>
    </row>
    <row r="138" spans="3:8" x14ac:dyDescent="0.3">
      <c r="C138" t="s">
        <v>4435</v>
      </c>
      <c r="D138" t="s">
        <v>3820</v>
      </c>
      <c r="E138" s="36">
        <v>3090189.11</v>
      </c>
      <c r="F138" s="36">
        <v>2819807.25</v>
      </c>
      <c r="G138" s="36">
        <v>3462638.72</v>
      </c>
      <c r="H138" s="36">
        <v>2447357.64</v>
      </c>
    </row>
    <row r="139" spans="3:8" x14ac:dyDescent="0.3">
      <c r="C139" t="s">
        <v>4436</v>
      </c>
      <c r="D139" t="s">
        <v>3821</v>
      </c>
      <c r="E139" s="36">
        <v>1870632</v>
      </c>
      <c r="F139" s="36">
        <v>147322.1</v>
      </c>
      <c r="G139" s="36">
        <v>205066.1</v>
      </c>
      <c r="H139" s="36">
        <v>1812888</v>
      </c>
    </row>
    <row r="140" spans="3:8" x14ac:dyDescent="0.3">
      <c r="C140" t="s">
        <v>4437</v>
      </c>
      <c r="D140" t="s">
        <v>3822</v>
      </c>
      <c r="E140" s="36">
        <v>4522441.3099999996</v>
      </c>
      <c r="F140" s="36">
        <v>208572.73</v>
      </c>
      <c r="G140" s="36">
        <v>3015252.25</v>
      </c>
      <c r="H140" s="36">
        <v>1715761.79</v>
      </c>
    </row>
    <row r="141" spans="3:8" x14ac:dyDescent="0.3">
      <c r="C141" t="s">
        <v>4438</v>
      </c>
      <c r="D141" t="s">
        <v>3823</v>
      </c>
      <c r="E141" s="36">
        <v>0</v>
      </c>
      <c r="F141" s="36">
        <v>0</v>
      </c>
      <c r="G141" s="36">
        <v>1751876.24</v>
      </c>
      <c r="H141" s="36">
        <v>-1751876.24</v>
      </c>
    </row>
    <row r="142" spans="3:8" x14ac:dyDescent="0.3">
      <c r="C142" t="s">
        <v>2124</v>
      </c>
      <c r="D142" t="s">
        <v>2124</v>
      </c>
    </row>
    <row r="143" spans="3:8" x14ac:dyDescent="0.3">
      <c r="C143" t="s">
        <v>4439</v>
      </c>
      <c r="D143" t="s">
        <v>3824</v>
      </c>
      <c r="E143" s="36">
        <v>0</v>
      </c>
      <c r="F143" s="36">
        <v>5550</v>
      </c>
      <c r="G143" s="36">
        <v>5550</v>
      </c>
      <c r="H143" s="36">
        <v>0</v>
      </c>
    </row>
    <row r="144" spans="3:8" x14ac:dyDescent="0.3">
      <c r="C144" t="s">
        <v>4440</v>
      </c>
      <c r="D144" t="s">
        <v>3825</v>
      </c>
      <c r="E144" s="36">
        <v>0</v>
      </c>
      <c r="F144" s="36">
        <v>5550</v>
      </c>
      <c r="G144" s="36">
        <v>5550</v>
      </c>
      <c r="H144" s="36">
        <v>0</v>
      </c>
    </row>
    <row r="145" spans="3:8" x14ac:dyDescent="0.3">
      <c r="C145" t="s">
        <v>4441</v>
      </c>
      <c r="D145" t="s">
        <v>3826</v>
      </c>
      <c r="E145" s="36">
        <v>0</v>
      </c>
      <c r="F145" s="36">
        <v>5550</v>
      </c>
      <c r="G145" s="36">
        <v>5550</v>
      </c>
      <c r="H145" s="36">
        <v>0</v>
      </c>
    </row>
    <row r="146" spans="3:8" x14ac:dyDescent="0.3">
      <c r="C146" t="s">
        <v>2124</v>
      </c>
      <c r="D146" t="s">
        <v>2124</v>
      </c>
    </row>
    <row r="147" spans="3:8" x14ac:dyDescent="0.3">
      <c r="C147" t="s">
        <v>4442</v>
      </c>
      <c r="D147" t="s">
        <v>3827</v>
      </c>
      <c r="E147" s="36">
        <v>1465155.6</v>
      </c>
      <c r="F147" s="36">
        <v>98265.79</v>
      </c>
      <c r="G147" s="36">
        <v>1457306.28</v>
      </c>
      <c r="H147" s="36">
        <v>106115.11</v>
      </c>
    </row>
    <row r="148" spans="3:8" x14ac:dyDescent="0.3">
      <c r="C148" t="s">
        <v>4443</v>
      </c>
      <c r="D148" t="s">
        <v>3828</v>
      </c>
      <c r="E148" s="36">
        <v>1465155.6</v>
      </c>
      <c r="F148" s="36">
        <v>98265.79</v>
      </c>
      <c r="G148" s="36">
        <v>1457306.28</v>
      </c>
      <c r="H148" s="36">
        <v>106115.11</v>
      </c>
    </row>
    <row r="149" spans="3:8" x14ac:dyDescent="0.3">
      <c r="C149" t="s">
        <v>4444</v>
      </c>
      <c r="D149" t="s">
        <v>3829</v>
      </c>
      <c r="E149" s="36">
        <v>97115.13</v>
      </c>
      <c r="F149" s="36">
        <v>98265.79</v>
      </c>
      <c r="G149" s="36">
        <v>89265.81</v>
      </c>
      <c r="H149" s="36">
        <v>106115.11</v>
      </c>
    </row>
    <row r="150" spans="3:8" x14ac:dyDescent="0.3">
      <c r="C150" t="s">
        <v>4445</v>
      </c>
      <c r="D150" t="s">
        <v>3830</v>
      </c>
      <c r="E150" s="36">
        <v>1368040.47</v>
      </c>
      <c r="F150" s="36">
        <v>0</v>
      </c>
      <c r="G150" s="36">
        <v>1368040.47</v>
      </c>
      <c r="H150" s="36">
        <v>0</v>
      </c>
    </row>
    <row r="151" spans="3:8" x14ac:dyDescent="0.3">
      <c r="C151" t="s">
        <v>2124</v>
      </c>
      <c r="D151" t="s">
        <v>2124</v>
      </c>
    </row>
    <row r="152" spans="3:8" x14ac:dyDescent="0.3">
      <c r="C152" t="s">
        <v>4446</v>
      </c>
      <c r="D152" t="s">
        <v>3831</v>
      </c>
      <c r="E152" s="36">
        <v>0</v>
      </c>
      <c r="F152" s="36">
        <v>1368040.47</v>
      </c>
      <c r="G152" s="36">
        <v>22.47</v>
      </c>
      <c r="H152" s="36">
        <v>1368018</v>
      </c>
    </row>
    <row r="153" spans="3:8" x14ac:dyDescent="0.3">
      <c r="C153" t="s">
        <v>4447</v>
      </c>
      <c r="D153" t="s">
        <v>3832</v>
      </c>
      <c r="E153" s="36">
        <v>0</v>
      </c>
      <c r="F153" s="36">
        <v>1368040.47</v>
      </c>
      <c r="G153" s="36">
        <v>22.47</v>
      </c>
      <c r="H153" s="36">
        <v>1368018</v>
      </c>
    </row>
    <row r="154" spans="3:8" x14ac:dyDescent="0.3">
      <c r="C154" t="s">
        <v>4448</v>
      </c>
      <c r="D154" t="s">
        <v>3833</v>
      </c>
      <c r="E154" s="36">
        <v>0</v>
      </c>
      <c r="F154" s="36">
        <v>1368040.47</v>
      </c>
      <c r="G154" s="36">
        <v>22.47</v>
      </c>
      <c r="H154" s="36">
        <v>1368018</v>
      </c>
    </row>
    <row r="155" spans="3:8" x14ac:dyDescent="0.3">
      <c r="C155" t="s">
        <v>2124</v>
      </c>
      <c r="D155" t="s">
        <v>2124</v>
      </c>
    </row>
    <row r="156" spans="3:8" x14ac:dyDescent="0.3">
      <c r="C156" t="s">
        <v>4449</v>
      </c>
      <c r="D156" t="s">
        <v>3834</v>
      </c>
      <c r="E156" s="36">
        <v>3574860.45</v>
      </c>
      <c r="F156" s="36">
        <v>1191899.8899999999</v>
      </c>
      <c r="G156" s="36">
        <v>4522725.1399999997</v>
      </c>
      <c r="H156" s="36">
        <v>244035.20000000001</v>
      </c>
    </row>
    <row r="157" spans="3:8" x14ac:dyDescent="0.3">
      <c r="C157" t="s">
        <v>4450</v>
      </c>
      <c r="D157" t="s">
        <v>3835</v>
      </c>
      <c r="E157" s="36">
        <v>3574860.45</v>
      </c>
      <c r="F157" s="36">
        <v>1191899.8899999999</v>
      </c>
      <c r="G157" s="36">
        <v>4522725.1399999997</v>
      </c>
      <c r="H157" s="36">
        <v>244035.20000000001</v>
      </c>
    </row>
    <row r="158" spans="3:8" x14ac:dyDescent="0.3">
      <c r="C158" t="s">
        <v>4451</v>
      </c>
      <c r="D158" t="s">
        <v>3836</v>
      </c>
      <c r="E158" s="36">
        <v>3573981.13</v>
      </c>
      <c r="F158" s="36">
        <v>1188428.44</v>
      </c>
      <c r="G158" s="36">
        <v>4518374.37</v>
      </c>
      <c r="H158" s="36">
        <v>244035.20000000001</v>
      </c>
    </row>
    <row r="159" spans="3:8" x14ac:dyDescent="0.3">
      <c r="C159" t="s">
        <v>4452</v>
      </c>
      <c r="D159" t="s">
        <v>3837</v>
      </c>
      <c r="E159" s="36">
        <v>879.32</v>
      </c>
      <c r="F159" s="36">
        <v>3471.45</v>
      </c>
      <c r="G159" s="36">
        <v>4350.7700000000004</v>
      </c>
      <c r="H159" s="36">
        <v>0</v>
      </c>
    </row>
    <row r="160" spans="3:8" x14ac:dyDescent="0.3">
      <c r="C160" t="s">
        <v>2124</v>
      </c>
      <c r="D160" t="s">
        <v>2124</v>
      </c>
    </row>
    <row r="161" spans="3:8" x14ac:dyDescent="0.3">
      <c r="C161" t="s">
        <v>4453</v>
      </c>
      <c r="D161" t="s">
        <v>3838</v>
      </c>
      <c r="E161" s="36">
        <v>35886327.490000002</v>
      </c>
      <c r="F161" s="36">
        <v>13100896.77</v>
      </c>
      <c r="G161" s="36">
        <v>12518439.720000001</v>
      </c>
      <c r="H161" s="36">
        <v>36468784.539999999</v>
      </c>
    </row>
    <row r="162" spans="3:8" x14ac:dyDescent="0.3">
      <c r="C162" t="s">
        <v>4454</v>
      </c>
      <c r="D162" t="s">
        <v>3839</v>
      </c>
      <c r="E162" s="36">
        <v>7496348.6299999999</v>
      </c>
      <c r="F162" s="36">
        <v>8822699.0500000007</v>
      </c>
      <c r="G162" s="36">
        <v>6522274.2199999997</v>
      </c>
      <c r="H162" s="36">
        <v>9796773.4600000009</v>
      </c>
    </row>
    <row r="163" spans="3:8" x14ac:dyDescent="0.3">
      <c r="C163" t="s">
        <v>4455</v>
      </c>
      <c r="D163" t="s">
        <v>3840</v>
      </c>
      <c r="E163" s="36">
        <v>8468.24</v>
      </c>
      <c r="F163" s="36">
        <v>583957.26</v>
      </c>
      <c r="G163" s="36">
        <v>0</v>
      </c>
      <c r="H163" s="36">
        <v>592425.5</v>
      </c>
    </row>
    <row r="164" spans="3:8" x14ac:dyDescent="0.3">
      <c r="C164" t="s">
        <v>4456</v>
      </c>
      <c r="D164" t="s">
        <v>3841</v>
      </c>
      <c r="E164" s="36">
        <v>530.16</v>
      </c>
      <c r="F164" s="36">
        <v>14744.64</v>
      </c>
      <c r="G164" s="36">
        <v>0</v>
      </c>
      <c r="H164" s="36">
        <v>15274.8</v>
      </c>
    </row>
    <row r="165" spans="3:8" x14ac:dyDescent="0.3">
      <c r="C165" t="s">
        <v>4457</v>
      </c>
      <c r="D165" t="s">
        <v>3842</v>
      </c>
      <c r="E165" s="36">
        <v>4088.75</v>
      </c>
      <c r="F165" s="36">
        <v>0</v>
      </c>
      <c r="G165" s="36">
        <v>0</v>
      </c>
      <c r="H165" s="36">
        <v>4088.75</v>
      </c>
    </row>
    <row r="166" spans="3:8" x14ac:dyDescent="0.3">
      <c r="C166" t="s">
        <v>4458</v>
      </c>
      <c r="D166" t="s">
        <v>3843</v>
      </c>
      <c r="E166" s="36">
        <v>0</v>
      </c>
      <c r="F166" s="36">
        <v>2725.44</v>
      </c>
      <c r="G166" s="36">
        <v>0</v>
      </c>
      <c r="H166" s="36">
        <v>2725.44</v>
      </c>
    </row>
    <row r="167" spans="3:8" x14ac:dyDescent="0.3">
      <c r="C167" t="s">
        <v>4459</v>
      </c>
      <c r="D167" t="s">
        <v>3844</v>
      </c>
      <c r="E167" s="36">
        <v>62.89</v>
      </c>
      <c r="F167" s="36">
        <v>5014.07</v>
      </c>
      <c r="G167" s="36">
        <v>0</v>
      </c>
      <c r="H167" s="36">
        <v>5076.96</v>
      </c>
    </row>
    <row r="168" spans="3:8" x14ac:dyDescent="0.3">
      <c r="C168" t="s">
        <v>4460</v>
      </c>
      <c r="D168" t="s">
        <v>3845</v>
      </c>
      <c r="E168" s="36">
        <v>0</v>
      </c>
      <c r="F168" s="36">
        <v>552024</v>
      </c>
      <c r="G168" s="36">
        <v>0</v>
      </c>
      <c r="H168" s="36">
        <v>552024</v>
      </c>
    </row>
    <row r="169" spans="3:8" x14ac:dyDescent="0.3">
      <c r="C169" t="s">
        <v>4461</v>
      </c>
      <c r="D169" t="s">
        <v>3846</v>
      </c>
      <c r="E169" s="36">
        <v>2720</v>
      </c>
      <c r="F169" s="36">
        <v>0</v>
      </c>
      <c r="G169" s="36">
        <v>0</v>
      </c>
      <c r="H169" s="36">
        <v>2720</v>
      </c>
    </row>
    <row r="170" spans="3:8" x14ac:dyDescent="0.3">
      <c r="C170" t="s">
        <v>4951</v>
      </c>
      <c r="D170" t="s">
        <v>3847</v>
      </c>
      <c r="E170" s="36">
        <v>0</v>
      </c>
      <c r="F170" s="36">
        <v>9449.11</v>
      </c>
      <c r="G170" s="36">
        <v>0</v>
      </c>
      <c r="H170" s="36">
        <v>9449.11</v>
      </c>
    </row>
    <row r="171" spans="3:8" x14ac:dyDescent="0.3">
      <c r="C171" t="s">
        <v>4462</v>
      </c>
      <c r="D171" t="s">
        <v>3848</v>
      </c>
      <c r="E171" s="36">
        <v>1066.44</v>
      </c>
      <c r="F171" s="36">
        <v>0</v>
      </c>
      <c r="G171" s="36">
        <v>0</v>
      </c>
      <c r="H171" s="36">
        <v>1066.44</v>
      </c>
    </row>
    <row r="172" spans="3:8" x14ac:dyDescent="0.3">
      <c r="C172" t="s">
        <v>2124</v>
      </c>
      <c r="D172" t="s">
        <v>2124</v>
      </c>
    </row>
    <row r="173" spans="3:8" x14ac:dyDescent="0.3">
      <c r="C173" t="s">
        <v>4463</v>
      </c>
      <c r="D173" t="s">
        <v>3849</v>
      </c>
      <c r="E173" s="36">
        <v>7487880.3899999997</v>
      </c>
      <c r="F173" s="36">
        <v>8238741.79</v>
      </c>
      <c r="G173" s="36">
        <v>6522274.2199999997</v>
      </c>
      <c r="H173" s="36">
        <v>9204347.9600000009</v>
      </c>
    </row>
    <row r="174" spans="3:8" x14ac:dyDescent="0.3">
      <c r="C174" t="s">
        <v>4464</v>
      </c>
      <c r="D174" t="s">
        <v>3850</v>
      </c>
      <c r="E174" s="36">
        <v>5436758.8700000001</v>
      </c>
      <c r="F174" s="36">
        <v>447.58</v>
      </c>
      <c r="G174" s="36">
        <v>5437206.4500000002</v>
      </c>
      <c r="H174" s="36">
        <v>0</v>
      </c>
    </row>
    <row r="175" spans="3:8" x14ac:dyDescent="0.3">
      <c r="C175" t="s">
        <v>4465</v>
      </c>
      <c r="D175" t="s">
        <v>3851</v>
      </c>
      <c r="E175" s="36">
        <v>2051121.52</v>
      </c>
      <c r="F175" s="36">
        <v>8238294.21</v>
      </c>
      <c r="G175" s="36">
        <v>1085067.77</v>
      </c>
      <c r="H175" s="36">
        <v>9204347.9600000009</v>
      </c>
    </row>
    <row r="176" spans="3:8" x14ac:dyDescent="0.3">
      <c r="C176" t="s">
        <v>2124</v>
      </c>
      <c r="D176" t="s">
        <v>2124</v>
      </c>
    </row>
    <row r="177" spans="3:8" x14ac:dyDescent="0.3">
      <c r="C177" t="s">
        <v>4466</v>
      </c>
      <c r="D177" t="s">
        <v>3852</v>
      </c>
      <c r="E177" s="36">
        <v>48785.07</v>
      </c>
      <c r="F177" s="36">
        <v>0</v>
      </c>
      <c r="G177" s="36">
        <v>450.01</v>
      </c>
      <c r="H177" s="36">
        <v>48335.06</v>
      </c>
    </row>
    <row r="178" spans="3:8" x14ac:dyDescent="0.3">
      <c r="C178" t="s">
        <v>4467</v>
      </c>
      <c r="D178" t="s">
        <v>3853</v>
      </c>
      <c r="E178" s="36">
        <v>450.01</v>
      </c>
      <c r="F178" s="36">
        <v>0</v>
      </c>
      <c r="G178" s="36">
        <v>450.01</v>
      </c>
      <c r="H178" s="36">
        <v>0</v>
      </c>
    </row>
    <row r="179" spans="3:8" x14ac:dyDescent="0.3">
      <c r="C179" t="s">
        <v>4468</v>
      </c>
      <c r="D179" t="s">
        <v>3854</v>
      </c>
      <c r="E179" s="36">
        <v>450.01</v>
      </c>
      <c r="F179" s="36">
        <v>0</v>
      </c>
      <c r="G179" s="36">
        <v>450.01</v>
      </c>
      <c r="H179" s="36">
        <v>0</v>
      </c>
    </row>
    <row r="180" spans="3:8" x14ac:dyDescent="0.3">
      <c r="C180" t="s">
        <v>2124</v>
      </c>
      <c r="D180" t="s">
        <v>2124</v>
      </c>
    </row>
    <row r="181" spans="3:8" x14ac:dyDescent="0.3">
      <c r="C181" t="s">
        <v>4469</v>
      </c>
      <c r="D181" t="s">
        <v>3855</v>
      </c>
      <c r="E181" s="36">
        <v>48335.06</v>
      </c>
      <c r="F181" s="36">
        <v>0</v>
      </c>
      <c r="G181" s="36">
        <v>0</v>
      </c>
      <c r="H181" s="36">
        <v>48335.06</v>
      </c>
    </row>
    <row r="182" spans="3:8" x14ac:dyDescent="0.3">
      <c r="C182" t="s">
        <v>4470</v>
      </c>
      <c r="D182" t="s">
        <v>3856</v>
      </c>
      <c r="E182" s="36">
        <v>3864.04</v>
      </c>
      <c r="F182" s="36">
        <v>0</v>
      </c>
      <c r="G182" s="36">
        <v>0</v>
      </c>
      <c r="H182" s="36">
        <v>3864.04</v>
      </c>
    </row>
    <row r="183" spans="3:8" x14ac:dyDescent="0.3">
      <c r="C183" t="s">
        <v>4471</v>
      </c>
      <c r="D183" t="s">
        <v>3857</v>
      </c>
      <c r="E183" s="36">
        <v>2355.9899999999998</v>
      </c>
      <c r="F183" s="36">
        <v>0</v>
      </c>
      <c r="G183" s="36">
        <v>0</v>
      </c>
      <c r="H183" s="36">
        <v>2355.9899999999998</v>
      </c>
    </row>
    <row r="184" spans="3:8" x14ac:dyDescent="0.3">
      <c r="C184" t="s">
        <v>4472</v>
      </c>
      <c r="D184" t="s">
        <v>3858</v>
      </c>
      <c r="E184" s="36">
        <v>4391.76</v>
      </c>
      <c r="F184" s="36">
        <v>0</v>
      </c>
      <c r="G184" s="36">
        <v>0</v>
      </c>
      <c r="H184" s="36">
        <v>4391.76</v>
      </c>
    </row>
    <row r="185" spans="3:8" x14ac:dyDescent="0.3">
      <c r="C185" t="s">
        <v>4473</v>
      </c>
      <c r="D185" t="s">
        <v>3859</v>
      </c>
      <c r="E185" s="36">
        <v>2725.64</v>
      </c>
      <c r="F185" s="36">
        <v>0</v>
      </c>
      <c r="G185" s="36">
        <v>0</v>
      </c>
      <c r="H185" s="36">
        <v>2725.64</v>
      </c>
    </row>
    <row r="186" spans="3:8" x14ac:dyDescent="0.3">
      <c r="C186" t="s">
        <v>4474</v>
      </c>
      <c r="D186" t="s">
        <v>3860</v>
      </c>
      <c r="E186" s="36">
        <v>34997.629999999997</v>
      </c>
      <c r="F186" s="36">
        <v>0</v>
      </c>
      <c r="G186" s="36">
        <v>0</v>
      </c>
      <c r="H186" s="36">
        <v>34997.629999999997</v>
      </c>
    </row>
    <row r="187" spans="3:8" x14ac:dyDescent="0.3">
      <c r="C187" t="s">
        <v>2124</v>
      </c>
      <c r="D187" t="s">
        <v>2124</v>
      </c>
    </row>
    <row r="188" spans="3:8" x14ac:dyDescent="0.3">
      <c r="C188" t="s">
        <v>4475</v>
      </c>
      <c r="D188" t="s">
        <v>3861</v>
      </c>
      <c r="E188" s="36">
        <v>0</v>
      </c>
      <c r="F188" s="36">
        <v>405828.62</v>
      </c>
      <c r="G188" s="36">
        <v>146758.44</v>
      </c>
      <c r="H188" s="36">
        <v>259070.18</v>
      </c>
    </row>
    <row r="189" spans="3:8" x14ac:dyDescent="0.3">
      <c r="C189" t="s">
        <v>4476</v>
      </c>
      <c r="D189" t="s">
        <v>3862</v>
      </c>
      <c r="E189" s="36">
        <v>0</v>
      </c>
      <c r="F189" s="36">
        <v>405828.62</v>
      </c>
      <c r="G189" s="36">
        <v>146758.44</v>
      </c>
      <c r="H189" s="36">
        <v>259070.18</v>
      </c>
    </row>
    <row r="190" spans="3:8" x14ac:dyDescent="0.3">
      <c r="C190" t="s">
        <v>4477</v>
      </c>
      <c r="D190" t="s">
        <v>3863</v>
      </c>
      <c r="E190" s="36">
        <v>0</v>
      </c>
      <c r="F190" s="36">
        <v>405828.62</v>
      </c>
      <c r="G190" s="36">
        <v>146758.44</v>
      </c>
      <c r="H190" s="36">
        <v>259070.18</v>
      </c>
    </row>
    <row r="191" spans="3:8" x14ac:dyDescent="0.3">
      <c r="C191" t="s">
        <v>2124</v>
      </c>
      <c r="D191" t="s">
        <v>2124</v>
      </c>
    </row>
    <row r="192" spans="3:8" x14ac:dyDescent="0.3">
      <c r="C192" t="s">
        <v>4478</v>
      </c>
      <c r="D192" t="s">
        <v>3864</v>
      </c>
      <c r="E192" s="36">
        <v>28341193.789999999</v>
      </c>
      <c r="F192" s="36">
        <v>3872369.1</v>
      </c>
      <c r="G192" s="36">
        <v>5848957.0499999998</v>
      </c>
      <c r="H192" s="36">
        <v>26364605.84</v>
      </c>
    </row>
    <row r="193" spans="3:8" x14ac:dyDescent="0.3">
      <c r="C193" t="s">
        <v>4479</v>
      </c>
      <c r="D193" t="s">
        <v>3865</v>
      </c>
      <c r="E193" s="36">
        <v>31320759.48</v>
      </c>
      <c r="F193" s="36">
        <v>1616777.63</v>
      </c>
      <c r="G193" s="36">
        <v>2013077.37</v>
      </c>
      <c r="H193" s="36">
        <v>30924459.739999998</v>
      </c>
    </row>
    <row r="194" spans="3:8" x14ac:dyDescent="0.3">
      <c r="C194" t="s">
        <v>4480</v>
      </c>
      <c r="D194" t="s">
        <v>3866</v>
      </c>
      <c r="E194" s="36">
        <v>12378857.800000001</v>
      </c>
      <c r="F194" s="36">
        <v>0</v>
      </c>
      <c r="G194" s="36">
        <v>0</v>
      </c>
      <c r="H194" s="36">
        <v>12378857.800000001</v>
      </c>
    </row>
    <row r="195" spans="3:8" x14ac:dyDescent="0.3">
      <c r="C195" t="s">
        <v>4481</v>
      </c>
      <c r="D195" t="s">
        <v>3867</v>
      </c>
      <c r="E195" s="36">
        <v>7392054.1699999999</v>
      </c>
      <c r="F195" s="36">
        <v>0</v>
      </c>
      <c r="G195" s="36">
        <v>0</v>
      </c>
      <c r="H195" s="36">
        <v>7392054.1699999999</v>
      </c>
    </row>
    <row r="196" spans="3:8" x14ac:dyDescent="0.3">
      <c r="C196" t="s">
        <v>4482</v>
      </c>
      <c r="D196" t="s">
        <v>3868</v>
      </c>
      <c r="E196" s="36">
        <v>928657.5</v>
      </c>
      <c r="F196" s="36">
        <v>0</v>
      </c>
      <c r="G196" s="36">
        <v>0</v>
      </c>
      <c r="H196" s="36">
        <v>928657.5</v>
      </c>
    </row>
    <row r="197" spans="3:8" x14ac:dyDescent="0.3">
      <c r="C197" t="s">
        <v>4483</v>
      </c>
      <c r="D197" t="s">
        <v>3869</v>
      </c>
      <c r="E197" s="36">
        <v>265176.57</v>
      </c>
      <c r="F197" s="36">
        <v>0</v>
      </c>
      <c r="G197" s="36">
        <v>0</v>
      </c>
      <c r="H197" s="36">
        <v>265176.57</v>
      </c>
    </row>
    <row r="198" spans="3:8" x14ac:dyDescent="0.3">
      <c r="C198" t="s">
        <v>4484</v>
      </c>
      <c r="D198" t="s">
        <v>3870</v>
      </c>
      <c r="E198" s="36">
        <v>275206.83</v>
      </c>
      <c r="F198" s="36">
        <v>0</v>
      </c>
      <c r="G198" s="36">
        <v>0</v>
      </c>
      <c r="H198" s="36">
        <v>275206.83</v>
      </c>
    </row>
    <row r="199" spans="3:8" x14ac:dyDescent="0.3">
      <c r="C199" t="s">
        <v>4485</v>
      </c>
      <c r="D199" t="s">
        <v>3871</v>
      </c>
      <c r="E199" s="36">
        <v>320071.48</v>
      </c>
      <c r="F199" s="36">
        <v>0</v>
      </c>
      <c r="G199" s="36">
        <v>0</v>
      </c>
      <c r="H199" s="36">
        <v>320071.48</v>
      </c>
    </row>
    <row r="200" spans="3:8" x14ac:dyDescent="0.3">
      <c r="C200" t="s">
        <v>4486</v>
      </c>
      <c r="D200" t="s">
        <v>3872</v>
      </c>
      <c r="E200" s="36">
        <v>12550576.34</v>
      </c>
      <c r="F200" s="36">
        <v>1616777.63</v>
      </c>
      <c r="G200" s="36">
        <v>0</v>
      </c>
      <c r="H200" s="36">
        <v>14167353.970000001</v>
      </c>
    </row>
    <row r="201" spans="3:8" x14ac:dyDescent="0.3">
      <c r="C201" t="s">
        <v>4487</v>
      </c>
      <c r="D201" t="s">
        <v>3873</v>
      </c>
      <c r="E201" s="36">
        <v>243582.4</v>
      </c>
      <c r="F201" s="36">
        <v>0</v>
      </c>
      <c r="G201" s="36">
        <v>0</v>
      </c>
      <c r="H201" s="36">
        <v>243582.4</v>
      </c>
    </row>
    <row r="202" spans="3:8" x14ac:dyDescent="0.3">
      <c r="C202" t="s">
        <v>4488</v>
      </c>
      <c r="D202" t="s">
        <v>3874</v>
      </c>
      <c r="E202" s="36">
        <v>1598750</v>
      </c>
      <c r="F202" s="36">
        <v>0</v>
      </c>
      <c r="G202" s="36">
        <v>0</v>
      </c>
      <c r="H202" s="36">
        <v>1598750</v>
      </c>
    </row>
    <row r="203" spans="3:8" x14ac:dyDescent="0.3">
      <c r="C203" t="s">
        <v>4489</v>
      </c>
      <c r="D203" t="s">
        <v>3875</v>
      </c>
      <c r="E203" s="36">
        <v>889821.57</v>
      </c>
      <c r="F203" s="36">
        <v>0</v>
      </c>
      <c r="G203" s="36">
        <v>0</v>
      </c>
      <c r="H203" s="36">
        <v>889821.57</v>
      </c>
    </row>
    <row r="204" spans="3:8" x14ac:dyDescent="0.3">
      <c r="C204" t="s">
        <v>4490</v>
      </c>
      <c r="D204" t="s">
        <v>3876</v>
      </c>
      <c r="E204" s="36">
        <v>494205</v>
      </c>
      <c r="F204" s="36">
        <v>0</v>
      </c>
      <c r="G204" s="36">
        <v>0</v>
      </c>
      <c r="H204" s="36">
        <v>494205</v>
      </c>
    </row>
    <row r="205" spans="3:8" x14ac:dyDescent="0.3">
      <c r="C205" t="s">
        <v>4491</v>
      </c>
      <c r="D205" t="s">
        <v>3877</v>
      </c>
      <c r="E205" s="36">
        <v>-6016200.1799999997</v>
      </c>
      <c r="F205" s="36">
        <v>0</v>
      </c>
      <c r="G205" s="36">
        <v>2013077.37</v>
      </c>
      <c r="H205" s="36">
        <v>-8029277.5499999998</v>
      </c>
    </row>
    <row r="206" spans="3:8" x14ac:dyDescent="0.3">
      <c r="C206" t="s">
        <v>2124</v>
      </c>
      <c r="D206" t="s">
        <v>2124</v>
      </c>
    </row>
    <row r="207" spans="3:8" x14ac:dyDescent="0.3">
      <c r="C207" t="s">
        <v>4492</v>
      </c>
      <c r="D207" t="s">
        <v>3878</v>
      </c>
      <c r="E207" s="36">
        <v>20901731.469999999</v>
      </c>
      <c r="F207" s="36">
        <v>359866.92</v>
      </c>
      <c r="G207" s="36">
        <v>1794726.01</v>
      </c>
      <c r="H207" s="36">
        <v>19466872.379999999</v>
      </c>
    </row>
    <row r="208" spans="3:8" x14ac:dyDescent="0.3">
      <c r="C208" t="s">
        <v>4493</v>
      </c>
      <c r="D208" t="s">
        <v>3879</v>
      </c>
      <c r="E208" s="36">
        <v>14084602.359999999</v>
      </c>
      <c r="F208" s="36">
        <v>344076.32</v>
      </c>
      <c r="G208" s="36">
        <v>688152.64</v>
      </c>
      <c r="H208" s="36">
        <v>13740526.039999999</v>
      </c>
    </row>
    <row r="209" spans="3:8" x14ac:dyDescent="0.3">
      <c r="C209" t="s">
        <v>4494</v>
      </c>
      <c r="D209" t="s">
        <v>3880</v>
      </c>
      <c r="E209" s="36">
        <v>5813175.4400000004</v>
      </c>
      <c r="F209" s="36">
        <v>0</v>
      </c>
      <c r="G209" s="36">
        <v>0</v>
      </c>
      <c r="H209" s="36">
        <v>5813175.4400000004</v>
      </c>
    </row>
    <row r="210" spans="3:8" x14ac:dyDescent="0.3">
      <c r="C210" t="s">
        <v>4495</v>
      </c>
      <c r="D210" t="s">
        <v>3881</v>
      </c>
      <c r="E210" s="36">
        <v>718728.13</v>
      </c>
      <c r="F210" s="36">
        <v>1810</v>
      </c>
      <c r="G210" s="36">
        <v>3620</v>
      </c>
      <c r="H210" s="36">
        <v>716918.13</v>
      </c>
    </row>
    <row r="211" spans="3:8" x14ac:dyDescent="0.3">
      <c r="C211" t="s">
        <v>4496</v>
      </c>
      <c r="D211" t="s">
        <v>3882</v>
      </c>
      <c r="E211" s="36">
        <v>8050</v>
      </c>
      <c r="F211" s="36">
        <v>200</v>
      </c>
      <c r="G211" s="36">
        <v>400</v>
      </c>
      <c r="H211" s="36">
        <v>7850</v>
      </c>
    </row>
    <row r="212" spans="3:8" x14ac:dyDescent="0.3">
      <c r="C212" t="s">
        <v>4497</v>
      </c>
      <c r="D212" t="s">
        <v>3883</v>
      </c>
      <c r="E212" s="36">
        <v>259784.67</v>
      </c>
      <c r="F212" s="36">
        <v>11630.6</v>
      </c>
      <c r="G212" s="36">
        <v>23261.200000000001</v>
      </c>
      <c r="H212" s="36">
        <v>248154.07</v>
      </c>
    </row>
    <row r="213" spans="3:8" x14ac:dyDescent="0.3">
      <c r="C213" t="s">
        <v>4498</v>
      </c>
      <c r="D213" t="s">
        <v>3884</v>
      </c>
      <c r="E213" s="36">
        <v>2282.4899999999998</v>
      </c>
      <c r="F213" s="36">
        <v>0</v>
      </c>
      <c r="G213" s="36">
        <v>0</v>
      </c>
      <c r="H213" s="36">
        <v>2282.4899999999998</v>
      </c>
    </row>
    <row r="214" spans="3:8" x14ac:dyDescent="0.3">
      <c r="C214" t="s">
        <v>4499</v>
      </c>
      <c r="D214" t="s">
        <v>3885</v>
      </c>
      <c r="E214" s="36">
        <v>15108.38</v>
      </c>
      <c r="F214" s="36">
        <v>0</v>
      </c>
      <c r="G214" s="36">
        <v>0</v>
      </c>
      <c r="H214" s="36">
        <v>15108.38</v>
      </c>
    </row>
    <row r="215" spans="3:8" x14ac:dyDescent="0.3">
      <c r="C215" t="s">
        <v>4500</v>
      </c>
      <c r="D215" t="s">
        <v>3886</v>
      </c>
      <c r="E215" s="36">
        <v>0</v>
      </c>
      <c r="F215" s="36">
        <v>2150</v>
      </c>
      <c r="G215" s="36">
        <v>0</v>
      </c>
      <c r="H215" s="36">
        <v>2150</v>
      </c>
    </row>
    <row r="216" spans="3:8" x14ac:dyDescent="0.3">
      <c r="C216" t="s">
        <v>4501</v>
      </c>
      <c r="D216" t="s">
        <v>3887</v>
      </c>
      <c r="E216" s="36">
        <v>0</v>
      </c>
      <c r="F216" s="36">
        <v>0</v>
      </c>
      <c r="G216" s="36">
        <v>1079292.17</v>
      </c>
      <c r="H216" s="36">
        <v>-1079292.17</v>
      </c>
    </row>
    <row r="217" spans="3:8" x14ac:dyDescent="0.3">
      <c r="C217" t="s">
        <v>2124</v>
      </c>
      <c r="D217" t="s">
        <v>2124</v>
      </c>
    </row>
    <row r="218" spans="3:8" x14ac:dyDescent="0.3">
      <c r="C218" t="s">
        <v>4502</v>
      </c>
      <c r="D218" t="s">
        <v>3888</v>
      </c>
      <c r="E218" s="36">
        <v>687191.35</v>
      </c>
      <c r="F218" s="36">
        <v>36300.239999999998</v>
      </c>
      <c r="G218" s="36">
        <v>491500.32</v>
      </c>
      <c r="H218" s="36">
        <v>231991.27</v>
      </c>
    </row>
    <row r="219" spans="3:8" x14ac:dyDescent="0.3">
      <c r="C219" t="s">
        <v>4503</v>
      </c>
      <c r="D219" t="s">
        <v>3889</v>
      </c>
      <c r="E219" s="36">
        <v>72032.53</v>
      </c>
      <c r="F219" s="36">
        <v>490</v>
      </c>
      <c r="G219" s="36">
        <v>980</v>
      </c>
      <c r="H219" s="36">
        <v>71542.53</v>
      </c>
    </row>
    <row r="220" spans="3:8" x14ac:dyDescent="0.3">
      <c r="C220" t="s">
        <v>4504</v>
      </c>
      <c r="D220" t="s">
        <v>3890</v>
      </c>
      <c r="E220" s="36">
        <v>25270</v>
      </c>
      <c r="F220" s="36">
        <v>0</v>
      </c>
      <c r="G220" s="36">
        <v>0</v>
      </c>
      <c r="H220" s="36">
        <v>25270</v>
      </c>
    </row>
    <row r="221" spans="3:8" x14ac:dyDescent="0.3">
      <c r="C221" t="s">
        <v>4505</v>
      </c>
      <c r="D221" t="s">
        <v>3891</v>
      </c>
      <c r="E221" s="36">
        <v>345503.5</v>
      </c>
      <c r="F221" s="36">
        <v>11183</v>
      </c>
      <c r="G221" s="36">
        <v>23666</v>
      </c>
      <c r="H221" s="36">
        <v>333020.5</v>
      </c>
    </row>
    <row r="222" spans="3:8" x14ac:dyDescent="0.3">
      <c r="C222" t="s">
        <v>4506</v>
      </c>
      <c r="D222" t="s">
        <v>3892</v>
      </c>
      <c r="E222" s="36">
        <v>243588.32</v>
      </c>
      <c r="F222" s="36">
        <v>17189.240000000002</v>
      </c>
      <c r="G222" s="36">
        <v>34378.480000000003</v>
      </c>
      <c r="H222" s="36">
        <v>226399.08</v>
      </c>
    </row>
    <row r="223" spans="3:8" x14ac:dyDescent="0.3">
      <c r="C223" t="s">
        <v>4507</v>
      </c>
      <c r="D223" t="s">
        <v>3893</v>
      </c>
      <c r="E223" s="36">
        <v>0</v>
      </c>
      <c r="F223" s="36">
        <v>7438</v>
      </c>
      <c r="G223" s="36">
        <v>0</v>
      </c>
      <c r="H223" s="36">
        <v>7438</v>
      </c>
    </row>
    <row r="224" spans="3:8" x14ac:dyDescent="0.3">
      <c r="C224" t="s">
        <v>4508</v>
      </c>
      <c r="D224" t="s">
        <v>3894</v>
      </c>
      <c r="E224" s="36">
        <v>797</v>
      </c>
      <c r="F224" s="36">
        <v>0</v>
      </c>
      <c r="G224" s="36">
        <v>0</v>
      </c>
      <c r="H224" s="36">
        <v>797</v>
      </c>
    </row>
    <row r="225" spans="3:8" x14ac:dyDescent="0.3">
      <c r="C225" t="s">
        <v>4509</v>
      </c>
      <c r="D225" t="s">
        <v>3895</v>
      </c>
      <c r="E225" s="36">
        <v>0</v>
      </c>
      <c r="F225" s="36">
        <v>0</v>
      </c>
      <c r="G225" s="36">
        <v>432475.84</v>
      </c>
      <c r="H225" s="36">
        <v>-432475.84</v>
      </c>
    </row>
    <row r="226" spans="3:8" x14ac:dyDescent="0.3">
      <c r="C226" t="s">
        <v>2124</v>
      </c>
      <c r="D226" t="s">
        <v>2124</v>
      </c>
    </row>
    <row r="227" spans="3:8" x14ac:dyDescent="0.3">
      <c r="C227" t="s">
        <v>4510</v>
      </c>
      <c r="D227" t="s">
        <v>3896</v>
      </c>
      <c r="E227" s="36">
        <v>3202809.3</v>
      </c>
      <c r="F227" s="36">
        <v>0</v>
      </c>
      <c r="G227" s="36">
        <v>0</v>
      </c>
      <c r="H227" s="36">
        <v>3202809.3</v>
      </c>
    </row>
    <row r="228" spans="3:8" x14ac:dyDescent="0.3">
      <c r="C228" t="s">
        <v>4511</v>
      </c>
      <c r="D228" t="s">
        <v>3897</v>
      </c>
      <c r="E228" s="36">
        <v>1537069.64</v>
      </c>
      <c r="F228" s="36">
        <v>0</v>
      </c>
      <c r="G228" s="36">
        <v>0</v>
      </c>
      <c r="H228" s="36">
        <v>1537069.64</v>
      </c>
    </row>
    <row r="229" spans="3:8" x14ac:dyDescent="0.3">
      <c r="C229" t="s">
        <v>4512</v>
      </c>
      <c r="D229" t="s">
        <v>3898</v>
      </c>
      <c r="E229" s="36">
        <v>264873.58</v>
      </c>
      <c r="F229" s="36">
        <v>0</v>
      </c>
      <c r="G229" s="36">
        <v>0</v>
      </c>
      <c r="H229" s="36">
        <v>264873.58</v>
      </c>
    </row>
    <row r="230" spans="3:8" x14ac:dyDescent="0.3">
      <c r="C230" t="s">
        <v>4513</v>
      </c>
      <c r="D230" t="s">
        <v>3899</v>
      </c>
      <c r="E230" s="36">
        <v>1130835.2</v>
      </c>
      <c r="F230" s="36">
        <v>0</v>
      </c>
      <c r="G230" s="36">
        <v>0</v>
      </c>
      <c r="H230" s="36">
        <v>1130835.2</v>
      </c>
    </row>
    <row r="231" spans="3:8" x14ac:dyDescent="0.3">
      <c r="C231" t="s">
        <v>4514</v>
      </c>
      <c r="D231" t="s">
        <v>3900</v>
      </c>
      <c r="E231" s="36">
        <v>900</v>
      </c>
      <c r="F231" s="36">
        <v>0</v>
      </c>
      <c r="G231" s="36">
        <v>0</v>
      </c>
      <c r="H231" s="36">
        <v>900</v>
      </c>
    </row>
    <row r="232" spans="3:8" x14ac:dyDescent="0.3">
      <c r="C232" t="s">
        <v>4515</v>
      </c>
      <c r="D232" t="s">
        <v>3901</v>
      </c>
      <c r="E232" s="36">
        <v>269130.88</v>
      </c>
      <c r="F232" s="36">
        <v>0</v>
      </c>
      <c r="G232" s="36">
        <v>0</v>
      </c>
      <c r="H232" s="36">
        <v>269130.88</v>
      </c>
    </row>
    <row r="233" spans="3:8" x14ac:dyDescent="0.3">
      <c r="C233" t="s">
        <v>2124</v>
      </c>
      <c r="D233" t="s">
        <v>2124</v>
      </c>
    </row>
    <row r="234" spans="3:8" x14ac:dyDescent="0.3">
      <c r="C234" t="s">
        <v>4516</v>
      </c>
      <c r="D234" t="s">
        <v>3902</v>
      </c>
      <c r="E234" s="36">
        <v>32880.080000000002</v>
      </c>
      <c r="F234" s="36">
        <v>0</v>
      </c>
      <c r="G234" s="36">
        <v>4979.88</v>
      </c>
      <c r="H234" s="36">
        <v>27900.2</v>
      </c>
    </row>
    <row r="235" spans="3:8" x14ac:dyDescent="0.3">
      <c r="C235" t="s">
        <v>4517</v>
      </c>
      <c r="D235" t="s">
        <v>3903</v>
      </c>
      <c r="E235" s="36">
        <v>8945.5</v>
      </c>
      <c r="F235" s="36">
        <v>0</v>
      </c>
      <c r="G235" s="36">
        <v>0</v>
      </c>
      <c r="H235" s="36">
        <v>8945.5</v>
      </c>
    </row>
    <row r="236" spans="3:8" x14ac:dyDescent="0.3">
      <c r="C236" t="s">
        <v>4518</v>
      </c>
      <c r="D236" t="s">
        <v>3904</v>
      </c>
      <c r="E236" s="36">
        <v>19674.09</v>
      </c>
      <c r="F236" s="36">
        <v>0</v>
      </c>
      <c r="G236" s="36">
        <v>0</v>
      </c>
      <c r="H236" s="36">
        <v>19674.09</v>
      </c>
    </row>
    <row r="237" spans="3:8" x14ac:dyDescent="0.3">
      <c r="C237" t="s">
        <v>4519</v>
      </c>
      <c r="D237" t="s">
        <v>3905</v>
      </c>
      <c r="E237" s="36">
        <v>4260.49</v>
      </c>
      <c r="F237" s="36">
        <v>0</v>
      </c>
      <c r="G237" s="36">
        <v>0</v>
      </c>
      <c r="H237" s="36">
        <v>4260.49</v>
      </c>
    </row>
    <row r="238" spans="3:8" x14ac:dyDescent="0.3">
      <c r="C238" t="s">
        <v>4520</v>
      </c>
      <c r="D238" t="s">
        <v>3906</v>
      </c>
      <c r="E238" s="36">
        <v>0</v>
      </c>
      <c r="F238" s="36">
        <v>0</v>
      </c>
      <c r="G238" s="36">
        <v>4979.88</v>
      </c>
      <c r="H238" s="36">
        <v>-4979.88</v>
      </c>
    </row>
    <row r="239" spans="3:8" x14ac:dyDescent="0.3">
      <c r="C239" t="s">
        <v>2124</v>
      </c>
      <c r="D239" t="s">
        <v>2124</v>
      </c>
    </row>
    <row r="240" spans="3:8" x14ac:dyDescent="0.3">
      <c r="C240" t="s">
        <v>4521</v>
      </c>
      <c r="D240" t="s">
        <v>3907</v>
      </c>
      <c r="E240" s="36">
        <v>846786.11</v>
      </c>
      <c r="F240" s="36">
        <v>67800</v>
      </c>
      <c r="G240" s="36">
        <v>290433.71999999997</v>
      </c>
      <c r="H240" s="36">
        <v>624152.39</v>
      </c>
    </row>
    <row r="241" spans="3:8" x14ac:dyDescent="0.3">
      <c r="C241" t="s">
        <v>4522</v>
      </c>
      <c r="D241" t="s">
        <v>3908</v>
      </c>
      <c r="E241" s="36">
        <v>846786.11</v>
      </c>
      <c r="F241" s="36">
        <v>67800</v>
      </c>
      <c r="G241" s="36">
        <v>135600</v>
      </c>
      <c r="H241" s="36">
        <v>778986.11</v>
      </c>
    </row>
    <row r="242" spans="3:8" x14ac:dyDescent="0.3">
      <c r="C242" t="s">
        <v>4523</v>
      </c>
      <c r="D242" t="s">
        <v>3909</v>
      </c>
      <c r="E242" s="36">
        <v>0</v>
      </c>
      <c r="F242" s="36">
        <v>0</v>
      </c>
      <c r="G242" s="36">
        <v>154833.72</v>
      </c>
      <c r="H242" s="36">
        <v>-154833.72</v>
      </c>
    </row>
    <row r="243" spans="3:8" x14ac:dyDescent="0.3">
      <c r="C243" t="s">
        <v>2124</v>
      </c>
      <c r="D243" t="s">
        <v>2124</v>
      </c>
    </row>
    <row r="244" spans="3:8" x14ac:dyDescent="0.3">
      <c r="C244" t="s">
        <v>4524</v>
      </c>
      <c r="D244" t="s">
        <v>3910</v>
      </c>
      <c r="E244" s="36">
        <v>449068.7</v>
      </c>
      <c r="F244" s="36">
        <v>209092.45</v>
      </c>
      <c r="G244" s="36">
        <v>168037.11</v>
      </c>
      <c r="H244" s="36">
        <v>490124.04</v>
      </c>
    </row>
    <row r="245" spans="3:8" x14ac:dyDescent="0.3">
      <c r="C245" t="s">
        <v>4525</v>
      </c>
      <c r="D245" t="s">
        <v>3911</v>
      </c>
      <c r="E245" s="36">
        <v>182065.14</v>
      </c>
      <c r="F245" s="36">
        <v>11747.33</v>
      </c>
      <c r="G245" s="36">
        <v>23494.66</v>
      </c>
      <c r="H245" s="36">
        <v>170317.81</v>
      </c>
    </row>
    <row r="246" spans="3:8" x14ac:dyDescent="0.3">
      <c r="C246" t="s">
        <v>4526</v>
      </c>
      <c r="D246" t="s">
        <v>3912</v>
      </c>
      <c r="E246" s="36">
        <v>69781.06</v>
      </c>
      <c r="F246" s="36">
        <v>2156.3200000000002</v>
      </c>
      <c r="G246" s="36">
        <v>4312.6400000000003</v>
      </c>
      <c r="H246" s="36">
        <v>67624.740000000005</v>
      </c>
    </row>
    <row r="247" spans="3:8" x14ac:dyDescent="0.3">
      <c r="C247" t="s">
        <v>4527</v>
      </c>
      <c r="D247" t="s">
        <v>3913</v>
      </c>
      <c r="E247" s="36">
        <v>9604.94</v>
      </c>
      <c r="F247" s="36">
        <v>0</v>
      </c>
      <c r="G247" s="36">
        <v>0</v>
      </c>
      <c r="H247" s="36">
        <v>9604.94</v>
      </c>
    </row>
    <row r="248" spans="3:8" x14ac:dyDescent="0.3">
      <c r="C248" t="s">
        <v>4528</v>
      </c>
      <c r="D248" t="s">
        <v>3914</v>
      </c>
      <c r="E248" s="36">
        <v>187617.56</v>
      </c>
      <c r="F248" s="36">
        <v>20808.8</v>
      </c>
      <c r="G248" s="36">
        <v>41617.599999999999</v>
      </c>
      <c r="H248" s="36">
        <v>166808.76</v>
      </c>
    </row>
    <row r="249" spans="3:8" x14ac:dyDescent="0.3">
      <c r="C249" t="s">
        <v>4529</v>
      </c>
      <c r="D249" t="s">
        <v>3915</v>
      </c>
      <c r="E249" s="36">
        <v>0</v>
      </c>
      <c r="F249" s="36">
        <v>174380</v>
      </c>
      <c r="G249" s="36">
        <v>0</v>
      </c>
      <c r="H249" s="36">
        <v>174380</v>
      </c>
    </row>
    <row r="250" spans="3:8" x14ac:dyDescent="0.3">
      <c r="C250" t="s">
        <v>4530</v>
      </c>
      <c r="D250" t="s">
        <v>3916</v>
      </c>
      <c r="E250" s="36">
        <v>0</v>
      </c>
      <c r="F250" s="36">
        <v>0</v>
      </c>
      <c r="G250" s="36">
        <v>98612.21</v>
      </c>
      <c r="H250" s="36">
        <v>-98612.21</v>
      </c>
    </row>
    <row r="251" spans="3:8" x14ac:dyDescent="0.3">
      <c r="C251" t="s">
        <v>2124</v>
      </c>
      <c r="D251" t="s">
        <v>2124</v>
      </c>
    </row>
    <row r="252" spans="3:8" x14ac:dyDescent="0.3">
      <c r="C252" t="s">
        <v>4531</v>
      </c>
      <c r="D252" t="s">
        <v>3917</v>
      </c>
      <c r="E252" s="36">
        <v>337165.95</v>
      </c>
      <c r="F252" s="36">
        <v>0</v>
      </c>
      <c r="G252" s="36">
        <v>0</v>
      </c>
      <c r="H252" s="36">
        <v>337165.95</v>
      </c>
    </row>
    <row r="253" spans="3:8" x14ac:dyDescent="0.3">
      <c r="C253" t="s">
        <v>4532</v>
      </c>
      <c r="D253" t="s">
        <v>3918</v>
      </c>
      <c r="E253" s="36">
        <v>5210.63</v>
      </c>
      <c r="F253" s="36">
        <v>0</v>
      </c>
      <c r="G253" s="36">
        <v>0</v>
      </c>
      <c r="H253" s="36">
        <v>5210.63</v>
      </c>
    </row>
    <row r="254" spans="3:8" x14ac:dyDescent="0.3">
      <c r="C254" t="s">
        <v>4533</v>
      </c>
      <c r="D254" t="s">
        <v>3919</v>
      </c>
      <c r="E254" s="36">
        <v>490</v>
      </c>
      <c r="F254" s="36">
        <v>0</v>
      </c>
      <c r="G254" s="36">
        <v>0</v>
      </c>
      <c r="H254" s="36">
        <v>490</v>
      </c>
    </row>
    <row r="255" spans="3:8" x14ac:dyDescent="0.3">
      <c r="C255" t="s">
        <v>4534</v>
      </c>
      <c r="D255" t="s">
        <v>3920</v>
      </c>
      <c r="E255" s="36">
        <v>331465.32</v>
      </c>
      <c r="F255" s="36">
        <v>0</v>
      </c>
      <c r="G255" s="36">
        <v>0</v>
      </c>
      <c r="H255" s="36">
        <v>331465.32</v>
      </c>
    </row>
    <row r="256" spans="3:8" x14ac:dyDescent="0.3">
      <c r="C256" t="s">
        <v>2124</v>
      </c>
      <c r="D256" t="s">
        <v>2124</v>
      </c>
    </row>
    <row r="257" spans="3:8" x14ac:dyDescent="0.3">
      <c r="C257" t="s">
        <v>4535</v>
      </c>
      <c r="D257" t="s">
        <v>3921</v>
      </c>
      <c r="E257" s="36">
        <v>4569.91</v>
      </c>
      <c r="F257" s="36">
        <v>0</v>
      </c>
      <c r="G257" s="36">
        <v>0</v>
      </c>
      <c r="H257" s="36">
        <v>4569.91</v>
      </c>
    </row>
    <row r="258" spans="3:8" x14ac:dyDescent="0.3">
      <c r="C258" t="s">
        <v>4536</v>
      </c>
      <c r="D258" t="s">
        <v>3922</v>
      </c>
      <c r="E258" s="36">
        <v>4569.91</v>
      </c>
      <c r="F258" s="36">
        <v>0</v>
      </c>
      <c r="G258" s="36">
        <v>0</v>
      </c>
      <c r="H258" s="36">
        <v>4569.91</v>
      </c>
    </row>
    <row r="259" spans="3:8" x14ac:dyDescent="0.3">
      <c r="C259" t="s">
        <v>2124</v>
      </c>
      <c r="D259" t="s">
        <v>2124</v>
      </c>
    </row>
    <row r="260" spans="3:8" x14ac:dyDescent="0.3">
      <c r="C260" t="s">
        <v>4537</v>
      </c>
      <c r="D260" t="s">
        <v>3923</v>
      </c>
      <c r="E260" s="36">
        <v>-29441768.559999999</v>
      </c>
      <c r="F260" s="36">
        <v>1582531.86</v>
      </c>
      <c r="G260" s="36">
        <v>1086202.6399999999</v>
      </c>
      <c r="H260" s="36">
        <v>-28945439.34</v>
      </c>
    </row>
    <row r="261" spans="3:8" x14ac:dyDescent="0.3">
      <c r="C261" t="s">
        <v>4538</v>
      </c>
      <c r="D261" t="s">
        <v>3924</v>
      </c>
      <c r="E261" s="36">
        <v>-6711170.5700000003</v>
      </c>
      <c r="F261" s="36">
        <v>0</v>
      </c>
      <c r="G261" s="36">
        <v>476532.82</v>
      </c>
      <c r="H261" s="36">
        <v>-7187703.3899999997</v>
      </c>
    </row>
    <row r="262" spans="3:8" x14ac:dyDescent="0.3">
      <c r="C262" t="s">
        <v>4539</v>
      </c>
      <c r="D262" t="s">
        <v>3925</v>
      </c>
      <c r="E262" s="36">
        <v>-17859322.640000001</v>
      </c>
      <c r="F262" s="36">
        <v>1096358</v>
      </c>
      <c r="G262" s="36">
        <v>376233.72</v>
      </c>
      <c r="H262" s="36">
        <v>-17139198.359999999</v>
      </c>
    </row>
    <row r="263" spans="3:8" x14ac:dyDescent="0.3">
      <c r="C263" t="s">
        <v>4540</v>
      </c>
      <c r="D263" t="s">
        <v>3926</v>
      </c>
      <c r="E263" s="36">
        <v>-145360.85</v>
      </c>
      <c r="F263" s="36">
        <v>58424.480000000003</v>
      </c>
      <c r="G263" s="36">
        <v>32241.27</v>
      </c>
      <c r="H263" s="36">
        <v>-119177.64</v>
      </c>
    </row>
    <row r="264" spans="3:8" x14ac:dyDescent="0.3">
      <c r="C264" t="s">
        <v>4541</v>
      </c>
      <c r="D264" t="s">
        <v>3927</v>
      </c>
      <c r="E264" s="36">
        <v>-3202809.3</v>
      </c>
      <c r="F264" s="36">
        <v>0</v>
      </c>
      <c r="G264" s="36">
        <v>0</v>
      </c>
      <c r="H264" s="36">
        <v>-3202809.3</v>
      </c>
    </row>
    <row r="265" spans="3:8" x14ac:dyDescent="0.3">
      <c r="C265" t="s">
        <v>4542</v>
      </c>
      <c r="D265" t="s">
        <v>3928</v>
      </c>
      <c r="E265" s="36">
        <v>-27900.2</v>
      </c>
      <c r="F265" s="36">
        <v>0</v>
      </c>
      <c r="G265" s="36">
        <v>0</v>
      </c>
      <c r="H265" s="36">
        <v>-27900.2</v>
      </c>
    </row>
    <row r="266" spans="3:8" x14ac:dyDescent="0.3">
      <c r="C266" t="s">
        <v>4543</v>
      </c>
      <c r="D266" t="s">
        <v>3929</v>
      </c>
      <c r="E266" s="36">
        <v>-789851.11</v>
      </c>
      <c r="F266" s="36">
        <v>279658.12</v>
      </c>
      <c r="G266" s="36">
        <v>67800</v>
      </c>
      <c r="H266" s="36">
        <v>-577992.99</v>
      </c>
    </row>
    <row r="267" spans="3:8" x14ac:dyDescent="0.3">
      <c r="C267" t="s">
        <v>4544</v>
      </c>
      <c r="D267" t="s">
        <v>3930</v>
      </c>
      <c r="E267" s="36">
        <v>-368187.94</v>
      </c>
      <c r="F267" s="36">
        <v>70848.100000000006</v>
      </c>
      <c r="G267" s="36">
        <v>56151.67</v>
      </c>
      <c r="H267" s="36">
        <v>-353491.51</v>
      </c>
    </row>
    <row r="268" spans="3:8" x14ac:dyDescent="0.3">
      <c r="C268" t="s">
        <v>4545</v>
      </c>
      <c r="D268" t="s">
        <v>3931</v>
      </c>
      <c r="E268" s="36">
        <v>-337165.95</v>
      </c>
      <c r="F268" s="36">
        <v>0</v>
      </c>
      <c r="G268" s="36">
        <v>0</v>
      </c>
      <c r="H268" s="36">
        <v>-337165.95</v>
      </c>
    </row>
    <row r="269" spans="3:8" x14ac:dyDescent="0.3">
      <c r="C269" t="s">
        <v>4546</v>
      </c>
      <c r="D269" t="s">
        <v>3932</v>
      </c>
      <c r="E269" s="36">
        <v>0</v>
      </c>
      <c r="F269" s="36">
        <v>77243.16</v>
      </c>
      <c r="G269" s="36">
        <v>77243.16</v>
      </c>
      <c r="H269" s="36">
        <v>0</v>
      </c>
    </row>
    <row r="270" spans="3:8" x14ac:dyDescent="0.3">
      <c r="C270">
        <v>2</v>
      </c>
      <c r="D270" t="s">
        <v>3933</v>
      </c>
      <c r="E270" s="36">
        <v>-58488220.68</v>
      </c>
      <c r="F270" s="36">
        <v>179972520.94999999</v>
      </c>
      <c r="G270" s="36">
        <v>187082863.00999999</v>
      </c>
      <c r="H270" s="36">
        <v>-65598562.740000002</v>
      </c>
    </row>
    <row r="271" spans="3:8" x14ac:dyDescent="0.3">
      <c r="C271" t="s">
        <v>4547</v>
      </c>
      <c r="D271" t="s">
        <v>3934</v>
      </c>
      <c r="E271" s="36">
        <v>-36773048.049999997</v>
      </c>
      <c r="F271" s="36">
        <v>102162126.09999999</v>
      </c>
      <c r="G271" s="36">
        <v>96427473.840000004</v>
      </c>
      <c r="H271" s="36">
        <v>-31038395.789999999</v>
      </c>
    </row>
    <row r="272" spans="3:8" x14ac:dyDescent="0.3">
      <c r="C272" t="s">
        <v>4548</v>
      </c>
      <c r="D272" t="s">
        <v>3935</v>
      </c>
      <c r="E272" s="36">
        <v>-22911739.98</v>
      </c>
      <c r="F272" s="36">
        <v>31083504.460000001</v>
      </c>
      <c r="G272" s="36">
        <v>12249196.16</v>
      </c>
      <c r="H272" s="36">
        <v>-4077431.68</v>
      </c>
    </row>
    <row r="273" spans="3:8" x14ac:dyDescent="0.3">
      <c r="C273" t="s">
        <v>4549</v>
      </c>
      <c r="D273" t="s">
        <v>3936</v>
      </c>
      <c r="E273" s="36">
        <v>-288491.62</v>
      </c>
      <c r="F273" s="36">
        <v>278948.86</v>
      </c>
      <c r="G273" s="36">
        <v>779761.04</v>
      </c>
      <c r="H273" s="36">
        <v>-789303.8</v>
      </c>
    </row>
    <row r="274" spans="3:8" x14ac:dyDescent="0.3">
      <c r="C274" t="s">
        <v>4550</v>
      </c>
      <c r="D274" t="s">
        <v>3937</v>
      </c>
      <c r="E274" s="36">
        <v>-2428</v>
      </c>
      <c r="F274" s="36">
        <v>2428</v>
      </c>
      <c r="G274" s="36">
        <v>0</v>
      </c>
      <c r="H274" s="36">
        <v>0</v>
      </c>
    </row>
    <row r="275" spans="3:8" x14ac:dyDescent="0.3">
      <c r="C275" t="s">
        <v>4551</v>
      </c>
      <c r="D275" t="s">
        <v>3938</v>
      </c>
      <c r="E275" s="36">
        <v>-118073.7</v>
      </c>
      <c r="F275" s="36">
        <v>118073.7</v>
      </c>
      <c r="G275" s="36">
        <v>0</v>
      </c>
      <c r="H275" s="36">
        <v>0</v>
      </c>
    </row>
    <row r="276" spans="3:8" x14ac:dyDescent="0.3">
      <c r="C276" t="s">
        <v>4552</v>
      </c>
      <c r="D276" t="s">
        <v>3939</v>
      </c>
      <c r="E276" s="36">
        <v>0</v>
      </c>
      <c r="F276" s="36">
        <v>0</v>
      </c>
      <c r="G276" s="36">
        <v>621313.88</v>
      </c>
      <c r="H276" s="36">
        <v>-621313.88</v>
      </c>
    </row>
    <row r="277" spans="3:8" x14ac:dyDescent="0.3">
      <c r="C277" t="s">
        <v>4553</v>
      </c>
      <c r="D277" t="s">
        <v>3940</v>
      </c>
      <c r="E277" s="36">
        <v>-7300.9</v>
      </c>
      <c r="F277" s="36">
        <v>0</v>
      </c>
      <c r="G277" s="36">
        <v>0</v>
      </c>
      <c r="H277" s="36">
        <v>-7300.9</v>
      </c>
    </row>
    <row r="278" spans="3:8" x14ac:dyDescent="0.3">
      <c r="C278" t="s">
        <v>4554</v>
      </c>
      <c r="D278" t="s">
        <v>3941</v>
      </c>
      <c r="E278" s="36">
        <v>-30000</v>
      </c>
      <c r="F278" s="36">
        <v>0</v>
      </c>
      <c r="G278" s="36">
        <v>0</v>
      </c>
      <c r="H278" s="36">
        <v>-30000</v>
      </c>
    </row>
    <row r="279" spans="3:8" x14ac:dyDescent="0.3">
      <c r="C279" t="s">
        <v>4555</v>
      </c>
      <c r="D279" t="s">
        <v>3942</v>
      </c>
      <c r="E279" s="36">
        <v>-130689.02</v>
      </c>
      <c r="F279" s="36">
        <v>0</v>
      </c>
      <c r="G279" s="36">
        <v>0</v>
      </c>
      <c r="H279" s="36">
        <v>-130689.02</v>
      </c>
    </row>
    <row r="280" spans="3:8" x14ac:dyDescent="0.3">
      <c r="C280" t="s">
        <v>4556</v>
      </c>
      <c r="D280" t="s">
        <v>3943</v>
      </c>
      <c r="E280" s="36">
        <v>0</v>
      </c>
      <c r="F280" s="36">
        <v>89309</v>
      </c>
      <c r="G280" s="36">
        <v>89309</v>
      </c>
      <c r="H280" s="36">
        <v>0</v>
      </c>
    </row>
    <row r="281" spans="3:8" x14ac:dyDescent="0.3">
      <c r="C281" t="s">
        <v>4557</v>
      </c>
      <c r="D281" t="s">
        <v>3944</v>
      </c>
      <c r="E281" s="36">
        <v>0</v>
      </c>
      <c r="F281" s="36">
        <v>69138.16</v>
      </c>
      <c r="G281" s="36">
        <v>69138.16</v>
      </c>
      <c r="H281" s="36">
        <v>0</v>
      </c>
    </row>
    <row r="282" spans="3:8" x14ac:dyDescent="0.3">
      <c r="C282" t="s">
        <v>2124</v>
      </c>
      <c r="D282" t="s">
        <v>2124</v>
      </c>
    </row>
    <row r="283" spans="3:8" x14ac:dyDescent="0.3">
      <c r="C283" t="s">
        <v>4558</v>
      </c>
      <c r="D283" t="s">
        <v>3945</v>
      </c>
      <c r="E283" s="36">
        <v>-29498.1</v>
      </c>
      <c r="F283" s="36">
        <v>0</v>
      </c>
      <c r="G283" s="36">
        <v>0</v>
      </c>
      <c r="H283" s="36">
        <v>-29498.1</v>
      </c>
    </row>
    <row r="284" spans="3:8" x14ac:dyDescent="0.3">
      <c r="C284" t="s">
        <v>4559</v>
      </c>
      <c r="D284" t="s">
        <v>3946</v>
      </c>
      <c r="E284" s="36">
        <v>-18626.23</v>
      </c>
      <c r="F284" s="36">
        <v>0</v>
      </c>
      <c r="G284" s="36">
        <v>0</v>
      </c>
      <c r="H284" s="36">
        <v>-18626.23</v>
      </c>
    </row>
    <row r="285" spans="3:8" x14ac:dyDescent="0.3">
      <c r="C285" t="s">
        <v>4560</v>
      </c>
      <c r="D285" t="s">
        <v>3947</v>
      </c>
      <c r="E285" s="36">
        <v>-10871.87</v>
      </c>
      <c r="F285" s="36">
        <v>0</v>
      </c>
      <c r="G285" s="36">
        <v>0</v>
      </c>
      <c r="H285" s="36">
        <v>-10871.87</v>
      </c>
    </row>
    <row r="286" spans="3:8" x14ac:dyDescent="0.3">
      <c r="C286" t="s">
        <v>2124</v>
      </c>
      <c r="D286" t="s">
        <v>2124</v>
      </c>
    </row>
    <row r="287" spans="3:8" x14ac:dyDescent="0.3">
      <c r="C287" t="s">
        <v>4561</v>
      </c>
      <c r="D287" t="s">
        <v>3948</v>
      </c>
      <c r="E287" s="36">
        <v>-20812607.010000002</v>
      </c>
      <c r="F287" s="36">
        <v>23550084.32</v>
      </c>
      <c r="G287" s="36">
        <v>4904447.17</v>
      </c>
      <c r="H287" s="36">
        <v>-2166969.86</v>
      </c>
    </row>
    <row r="288" spans="3:8" x14ac:dyDescent="0.3">
      <c r="C288" t="s">
        <v>4562</v>
      </c>
      <c r="D288" t="s">
        <v>3949</v>
      </c>
      <c r="E288" s="36">
        <v>0</v>
      </c>
      <c r="F288" s="36">
        <v>0</v>
      </c>
      <c r="G288" s="36">
        <v>58720.59</v>
      </c>
      <c r="H288" s="36">
        <v>-58720.59</v>
      </c>
    </row>
    <row r="289" spans="3:8" x14ac:dyDescent="0.3">
      <c r="C289" t="s">
        <v>4563</v>
      </c>
      <c r="D289" t="s">
        <v>3950</v>
      </c>
      <c r="E289" s="36">
        <v>-20812607.010000002</v>
      </c>
      <c r="F289" s="36">
        <v>23500022.469999999</v>
      </c>
      <c r="G289" s="36">
        <v>4790114.7300000004</v>
      </c>
      <c r="H289" s="36">
        <v>-2102699.27</v>
      </c>
    </row>
    <row r="290" spans="3:8" x14ac:dyDescent="0.3">
      <c r="C290" t="s">
        <v>4564</v>
      </c>
      <c r="D290" t="s">
        <v>3951</v>
      </c>
      <c r="E290" s="36">
        <v>0</v>
      </c>
      <c r="F290" s="36">
        <v>50061.85</v>
      </c>
      <c r="G290" s="36">
        <v>50061.85</v>
      </c>
      <c r="H290" s="36">
        <v>0</v>
      </c>
    </row>
    <row r="291" spans="3:8" x14ac:dyDescent="0.3">
      <c r="C291" t="s">
        <v>4565</v>
      </c>
      <c r="D291" t="s">
        <v>3952</v>
      </c>
      <c r="E291" s="36">
        <v>0</v>
      </c>
      <c r="F291" s="36">
        <v>0</v>
      </c>
      <c r="G291" s="36">
        <v>5550</v>
      </c>
      <c r="H291" s="36">
        <v>-5550</v>
      </c>
    </row>
    <row r="292" spans="3:8" x14ac:dyDescent="0.3">
      <c r="C292" t="s">
        <v>2124</v>
      </c>
      <c r="D292" t="s">
        <v>2124</v>
      </c>
    </row>
    <row r="293" spans="3:8" x14ac:dyDescent="0.3">
      <c r="C293" t="s">
        <v>4566</v>
      </c>
      <c r="D293" t="s">
        <v>3953</v>
      </c>
      <c r="E293" s="36">
        <v>-300841.14</v>
      </c>
      <c r="F293" s="36">
        <v>97070.77</v>
      </c>
      <c r="G293" s="36">
        <v>68167.259999999995</v>
      </c>
      <c r="H293" s="36">
        <v>-271937.63</v>
      </c>
    </row>
    <row r="294" spans="3:8" x14ac:dyDescent="0.3">
      <c r="C294" t="s">
        <v>4567</v>
      </c>
      <c r="D294" t="s">
        <v>3954</v>
      </c>
      <c r="E294" s="36">
        <v>-1076.93</v>
      </c>
      <c r="F294" s="36">
        <v>1076.93</v>
      </c>
      <c r="G294" s="36">
        <v>0</v>
      </c>
      <c r="H294" s="36">
        <v>0</v>
      </c>
    </row>
    <row r="295" spans="3:8" x14ac:dyDescent="0.3">
      <c r="C295" t="s">
        <v>4568</v>
      </c>
      <c r="D295" t="s">
        <v>3955</v>
      </c>
      <c r="E295" s="36">
        <v>-31783.88</v>
      </c>
      <c r="F295" s="36">
        <v>31783.88</v>
      </c>
      <c r="G295" s="36">
        <v>0</v>
      </c>
      <c r="H295" s="36">
        <v>0</v>
      </c>
    </row>
    <row r="296" spans="3:8" x14ac:dyDescent="0.3">
      <c r="C296" t="s">
        <v>4569</v>
      </c>
      <c r="D296" t="s">
        <v>3956</v>
      </c>
      <c r="E296" s="36">
        <v>-8698.98</v>
      </c>
      <c r="F296" s="36">
        <v>0</v>
      </c>
      <c r="G296" s="36">
        <v>0</v>
      </c>
      <c r="H296" s="36">
        <v>-8698.98</v>
      </c>
    </row>
    <row r="297" spans="3:8" x14ac:dyDescent="0.3">
      <c r="C297" t="s">
        <v>4570</v>
      </c>
      <c r="D297" t="s">
        <v>3957</v>
      </c>
      <c r="E297" s="36">
        <v>0</v>
      </c>
      <c r="F297" s="36">
        <v>0</v>
      </c>
      <c r="G297" s="36">
        <v>27561.3</v>
      </c>
      <c r="H297" s="36">
        <v>-27561.3</v>
      </c>
    </row>
    <row r="298" spans="3:8" x14ac:dyDescent="0.3">
      <c r="C298" t="s">
        <v>4571</v>
      </c>
      <c r="D298" t="s">
        <v>3958</v>
      </c>
      <c r="E298" s="36">
        <v>-2907.7</v>
      </c>
      <c r="F298" s="36">
        <v>0</v>
      </c>
      <c r="G298" s="36">
        <v>0</v>
      </c>
      <c r="H298" s="36">
        <v>-2907.7</v>
      </c>
    </row>
    <row r="299" spans="3:8" x14ac:dyDescent="0.3">
      <c r="C299" t="s">
        <v>4572</v>
      </c>
      <c r="D299" t="s">
        <v>3959</v>
      </c>
      <c r="E299" s="36">
        <v>-2145.7399999999998</v>
      </c>
      <c r="F299" s="36">
        <v>0</v>
      </c>
      <c r="G299" s="36">
        <v>0</v>
      </c>
      <c r="H299" s="36">
        <v>-2145.7399999999998</v>
      </c>
    </row>
    <row r="300" spans="3:8" x14ac:dyDescent="0.3">
      <c r="C300" t="s">
        <v>4573</v>
      </c>
      <c r="D300" t="s">
        <v>3960</v>
      </c>
      <c r="E300" s="36">
        <v>-9595.44</v>
      </c>
      <c r="F300" s="36">
        <v>2511.41</v>
      </c>
      <c r="G300" s="36">
        <v>0</v>
      </c>
      <c r="H300" s="36">
        <v>-7084.03</v>
      </c>
    </row>
    <row r="301" spans="3:8" x14ac:dyDescent="0.3">
      <c r="C301" t="s">
        <v>4574</v>
      </c>
      <c r="D301" t="s">
        <v>3961</v>
      </c>
      <c r="E301" s="36">
        <v>-13263.59</v>
      </c>
      <c r="F301" s="36">
        <v>19156.830000000002</v>
      </c>
      <c r="G301" s="36">
        <v>5893.24</v>
      </c>
      <c r="H301" s="36">
        <v>0</v>
      </c>
    </row>
    <row r="302" spans="3:8" x14ac:dyDescent="0.3">
      <c r="C302" t="s">
        <v>4575</v>
      </c>
      <c r="D302" t="s">
        <v>3962</v>
      </c>
      <c r="E302" s="36">
        <v>-6658.94</v>
      </c>
      <c r="F302" s="36">
        <v>0</v>
      </c>
      <c r="G302" s="36">
        <v>0</v>
      </c>
      <c r="H302" s="36">
        <v>-6658.94</v>
      </c>
    </row>
    <row r="303" spans="3:8" x14ac:dyDescent="0.3">
      <c r="C303" t="s">
        <v>4576</v>
      </c>
      <c r="D303" t="s">
        <v>3963</v>
      </c>
      <c r="E303" s="36">
        <v>-103676.82</v>
      </c>
      <c r="F303" s="36">
        <v>0</v>
      </c>
      <c r="G303" s="36">
        <v>0</v>
      </c>
      <c r="H303" s="36">
        <v>-103676.82</v>
      </c>
    </row>
    <row r="304" spans="3:8" x14ac:dyDescent="0.3">
      <c r="C304" t="s">
        <v>4577</v>
      </c>
      <c r="D304" t="s">
        <v>3964</v>
      </c>
      <c r="E304" s="36">
        <v>-2777.3</v>
      </c>
      <c r="F304" s="36">
        <v>0</v>
      </c>
      <c r="G304" s="36">
        <v>0</v>
      </c>
      <c r="H304" s="36">
        <v>-2777.3</v>
      </c>
    </row>
    <row r="305" spans="3:8" x14ac:dyDescent="0.3">
      <c r="C305" t="s">
        <v>4578</v>
      </c>
      <c r="D305" t="s">
        <v>3965</v>
      </c>
      <c r="E305" s="36">
        <v>-79099.899999999994</v>
      </c>
      <c r="F305" s="36">
        <v>0</v>
      </c>
      <c r="G305" s="36">
        <v>0</v>
      </c>
      <c r="H305" s="36">
        <v>-79099.899999999994</v>
      </c>
    </row>
    <row r="306" spans="3:8" x14ac:dyDescent="0.3">
      <c r="C306" t="s">
        <v>4579</v>
      </c>
      <c r="D306" t="s">
        <v>3966</v>
      </c>
      <c r="E306" s="36">
        <v>-7010.8</v>
      </c>
      <c r="F306" s="36">
        <v>0</v>
      </c>
      <c r="G306" s="36">
        <v>0</v>
      </c>
      <c r="H306" s="36">
        <v>-7010.8</v>
      </c>
    </row>
    <row r="307" spans="3:8" x14ac:dyDescent="0.3">
      <c r="C307" t="s">
        <v>4580</v>
      </c>
      <c r="D307" t="s">
        <v>3967</v>
      </c>
      <c r="E307" s="36">
        <v>-3580</v>
      </c>
      <c r="F307" s="36">
        <v>0</v>
      </c>
      <c r="G307" s="36">
        <v>0</v>
      </c>
      <c r="H307" s="36">
        <v>-3580</v>
      </c>
    </row>
    <row r="308" spans="3:8" x14ac:dyDescent="0.3">
      <c r="C308" t="s">
        <v>4581</v>
      </c>
      <c r="D308" t="s">
        <v>3968</v>
      </c>
      <c r="E308" s="36">
        <v>-2040</v>
      </c>
      <c r="F308" s="36">
        <v>0</v>
      </c>
      <c r="G308" s="36">
        <v>0</v>
      </c>
      <c r="H308" s="36">
        <v>-2040</v>
      </c>
    </row>
    <row r="309" spans="3:8" x14ac:dyDescent="0.3">
      <c r="C309" t="s">
        <v>4582</v>
      </c>
      <c r="D309" t="s">
        <v>3969</v>
      </c>
      <c r="E309" s="36">
        <v>-7829</v>
      </c>
      <c r="F309" s="36">
        <v>7829</v>
      </c>
      <c r="G309" s="36">
        <v>0</v>
      </c>
      <c r="H309" s="36">
        <v>0</v>
      </c>
    </row>
    <row r="310" spans="3:8" x14ac:dyDescent="0.3">
      <c r="C310" t="s">
        <v>4583</v>
      </c>
      <c r="D310" t="s">
        <v>3970</v>
      </c>
      <c r="E310" s="36">
        <v>-8906.14</v>
      </c>
      <c r="F310" s="36">
        <v>0</v>
      </c>
      <c r="G310" s="36">
        <v>0</v>
      </c>
      <c r="H310" s="36">
        <v>-8906.14</v>
      </c>
    </row>
    <row r="311" spans="3:8" x14ac:dyDescent="0.3">
      <c r="C311" t="s">
        <v>4584</v>
      </c>
      <c r="D311" t="s">
        <v>3971</v>
      </c>
      <c r="E311" s="36">
        <v>-9789.98</v>
      </c>
      <c r="F311" s="36">
        <v>0</v>
      </c>
      <c r="G311" s="36">
        <v>0</v>
      </c>
      <c r="H311" s="36">
        <v>-9789.98</v>
      </c>
    </row>
    <row r="312" spans="3:8" x14ac:dyDescent="0.3">
      <c r="C312" t="s">
        <v>4585</v>
      </c>
      <c r="D312" t="s">
        <v>3972</v>
      </c>
      <c r="E312" s="36">
        <v>0</v>
      </c>
      <c r="F312" s="36">
        <v>4988.58</v>
      </c>
      <c r="G312" s="36">
        <v>4988.58</v>
      </c>
      <c r="H312" s="36">
        <v>0</v>
      </c>
    </row>
    <row r="313" spans="3:8" x14ac:dyDescent="0.3">
      <c r="C313" t="s">
        <v>4586</v>
      </c>
      <c r="D313" t="s">
        <v>3973</v>
      </c>
      <c r="E313" s="36">
        <v>0</v>
      </c>
      <c r="F313" s="36">
        <v>22334.82</v>
      </c>
      <c r="G313" s="36">
        <v>22334.82</v>
      </c>
      <c r="H313" s="36">
        <v>0</v>
      </c>
    </row>
    <row r="314" spans="3:8" x14ac:dyDescent="0.3">
      <c r="C314" t="s">
        <v>4587</v>
      </c>
      <c r="D314" t="s">
        <v>3974</v>
      </c>
      <c r="E314" s="36">
        <v>0</v>
      </c>
      <c r="F314" s="36">
        <v>7288</v>
      </c>
      <c r="G314" s="36">
        <v>7288</v>
      </c>
      <c r="H314" s="36">
        <v>0</v>
      </c>
    </row>
    <row r="315" spans="3:8" x14ac:dyDescent="0.3">
      <c r="C315" t="s">
        <v>4588</v>
      </c>
      <c r="D315" t="s">
        <v>3975</v>
      </c>
      <c r="E315" s="36">
        <v>0</v>
      </c>
      <c r="F315" s="36">
        <v>101.32</v>
      </c>
      <c r="G315" s="36">
        <v>101.32</v>
      </c>
      <c r="H315" s="36">
        <v>0</v>
      </c>
    </row>
    <row r="316" spans="3:8" x14ac:dyDescent="0.3">
      <c r="C316" t="s">
        <v>2124</v>
      </c>
      <c r="D316" t="s">
        <v>2124</v>
      </c>
    </row>
    <row r="317" spans="3:8" x14ac:dyDescent="0.3">
      <c r="C317" t="s">
        <v>4589</v>
      </c>
      <c r="D317" t="s">
        <v>3976</v>
      </c>
      <c r="E317" s="36">
        <v>-1455350.16</v>
      </c>
      <c r="F317" s="36">
        <v>7036643.4100000001</v>
      </c>
      <c r="G317" s="36">
        <v>6378043.5899999999</v>
      </c>
      <c r="H317" s="36">
        <v>-796750.34</v>
      </c>
    </row>
    <row r="318" spans="3:8" x14ac:dyDescent="0.3">
      <c r="C318" t="s">
        <v>4590</v>
      </c>
      <c r="D318" t="s">
        <v>3977</v>
      </c>
      <c r="E318" s="36">
        <v>0</v>
      </c>
      <c r="F318" s="36">
        <v>122700.77</v>
      </c>
      <c r="G318" s="36">
        <v>122700.77</v>
      </c>
      <c r="H318" s="36">
        <v>0</v>
      </c>
    </row>
    <row r="319" spans="3:8" x14ac:dyDescent="0.3">
      <c r="C319" t="s">
        <v>4591</v>
      </c>
      <c r="D319" t="s">
        <v>3978</v>
      </c>
      <c r="E319" s="36">
        <v>0</v>
      </c>
      <c r="F319" s="36">
        <v>129607.58</v>
      </c>
      <c r="G319" s="36">
        <v>148530.17000000001</v>
      </c>
      <c r="H319" s="36">
        <v>-18922.59</v>
      </c>
    </row>
    <row r="320" spans="3:8" x14ac:dyDescent="0.3">
      <c r="C320" t="s">
        <v>4592</v>
      </c>
      <c r="D320" t="s">
        <v>3979</v>
      </c>
      <c r="E320" s="36">
        <v>0</v>
      </c>
      <c r="F320" s="36">
        <v>25995.360000000001</v>
      </c>
      <c r="G320" s="36">
        <v>25995.360000000001</v>
      </c>
      <c r="H320" s="36">
        <v>0</v>
      </c>
    </row>
    <row r="321" spans="3:8" x14ac:dyDescent="0.3">
      <c r="C321" t="s">
        <v>4593</v>
      </c>
      <c r="D321" t="s">
        <v>3980</v>
      </c>
      <c r="E321" s="36">
        <v>0</v>
      </c>
      <c r="F321" s="36">
        <v>7334.77</v>
      </c>
      <c r="G321" s="36">
        <v>7334.77</v>
      </c>
      <c r="H321" s="36">
        <v>0</v>
      </c>
    </row>
    <row r="322" spans="3:8" x14ac:dyDescent="0.3">
      <c r="C322" t="s">
        <v>4594</v>
      </c>
      <c r="D322" t="s">
        <v>3981</v>
      </c>
      <c r="E322" s="36">
        <v>-22666.7</v>
      </c>
      <c r="F322" s="36">
        <v>0</v>
      </c>
      <c r="G322" s="36">
        <v>0</v>
      </c>
      <c r="H322" s="36">
        <v>-22666.7</v>
      </c>
    </row>
    <row r="323" spans="3:8" x14ac:dyDescent="0.3">
      <c r="C323" t="s">
        <v>4595</v>
      </c>
      <c r="D323" t="s">
        <v>3982</v>
      </c>
      <c r="E323" s="36">
        <v>-29565.8</v>
      </c>
      <c r="F323" s="36">
        <v>700</v>
      </c>
      <c r="G323" s="36">
        <v>0</v>
      </c>
      <c r="H323" s="36">
        <v>-28865.8</v>
      </c>
    </row>
    <row r="324" spans="3:8" x14ac:dyDescent="0.3">
      <c r="C324" t="s">
        <v>4596</v>
      </c>
      <c r="D324" t="s">
        <v>3983</v>
      </c>
      <c r="E324" s="36">
        <v>-14261.4</v>
      </c>
      <c r="F324" s="36">
        <v>0</v>
      </c>
      <c r="G324" s="36">
        <v>0</v>
      </c>
      <c r="H324" s="36">
        <v>-14261.4</v>
      </c>
    </row>
    <row r="325" spans="3:8" x14ac:dyDescent="0.3">
      <c r="C325" t="s">
        <v>4597</v>
      </c>
      <c r="D325" t="s">
        <v>3984</v>
      </c>
      <c r="E325" s="36">
        <v>-12464</v>
      </c>
      <c r="F325" s="36">
        <v>16305.96</v>
      </c>
      <c r="G325" s="36">
        <v>3841.96</v>
      </c>
      <c r="H325" s="36">
        <v>0</v>
      </c>
    </row>
    <row r="326" spans="3:8" x14ac:dyDescent="0.3">
      <c r="C326" t="s">
        <v>4598</v>
      </c>
      <c r="D326" t="s">
        <v>3985</v>
      </c>
      <c r="E326" s="36">
        <v>-722.42</v>
      </c>
      <c r="F326" s="36">
        <v>880.02</v>
      </c>
      <c r="G326" s="36">
        <v>157.6</v>
      </c>
      <c r="H326" s="36">
        <v>0</v>
      </c>
    </row>
    <row r="327" spans="3:8" x14ac:dyDescent="0.3">
      <c r="C327" t="s">
        <v>4599</v>
      </c>
      <c r="D327" t="s">
        <v>3986</v>
      </c>
      <c r="E327" s="36">
        <v>-2201.83</v>
      </c>
      <c r="F327" s="36">
        <v>18141.63</v>
      </c>
      <c r="G327" s="36">
        <v>17801.29</v>
      </c>
      <c r="H327" s="36">
        <v>-1861.49</v>
      </c>
    </row>
    <row r="328" spans="3:8" x14ac:dyDescent="0.3">
      <c r="C328" t="s">
        <v>4600</v>
      </c>
      <c r="D328" t="s">
        <v>3987</v>
      </c>
      <c r="E328" s="36">
        <v>-492177.55</v>
      </c>
      <c r="F328" s="36">
        <v>717081.35</v>
      </c>
      <c r="G328" s="36">
        <v>224903.8</v>
      </c>
      <c r="H328" s="36">
        <v>0</v>
      </c>
    </row>
    <row r="329" spans="3:8" x14ac:dyDescent="0.3">
      <c r="C329" t="s">
        <v>4601</v>
      </c>
      <c r="D329" t="s">
        <v>3988</v>
      </c>
      <c r="E329" s="36">
        <v>0</v>
      </c>
      <c r="F329" s="36">
        <v>3349</v>
      </c>
      <c r="G329" s="36">
        <v>3349</v>
      </c>
      <c r="H329" s="36">
        <v>0</v>
      </c>
    </row>
    <row r="330" spans="3:8" x14ac:dyDescent="0.3">
      <c r="C330" t="s">
        <v>4602</v>
      </c>
      <c r="D330" t="s">
        <v>3989</v>
      </c>
      <c r="E330" s="36">
        <v>-25987.5</v>
      </c>
      <c r="F330" s="36">
        <v>0</v>
      </c>
      <c r="G330" s="36">
        <v>0</v>
      </c>
      <c r="H330" s="36">
        <v>-25987.5</v>
      </c>
    </row>
    <row r="331" spans="3:8" x14ac:dyDescent="0.3">
      <c r="C331" t="s">
        <v>4603</v>
      </c>
      <c r="D331" t="s">
        <v>3990</v>
      </c>
      <c r="E331" s="36">
        <v>-1400</v>
      </c>
      <c r="F331" s="36">
        <v>0</v>
      </c>
      <c r="G331" s="36">
        <v>0</v>
      </c>
      <c r="H331" s="36">
        <v>-1400</v>
      </c>
    </row>
    <row r="332" spans="3:8" x14ac:dyDescent="0.3">
      <c r="C332" t="s">
        <v>4604</v>
      </c>
      <c r="D332" t="s">
        <v>3991</v>
      </c>
      <c r="E332" s="36">
        <v>-62437.279999999999</v>
      </c>
      <c r="F332" s="36">
        <v>8860</v>
      </c>
      <c r="G332" s="36">
        <v>8860</v>
      </c>
      <c r="H332" s="36">
        <v>-62437.279999999999</v>
      </c>
    </row>
    <row r="333" spans="3:8" x14ac:dyDescent="0.3">
      <c r="C333" t="s">
        <v>4605</v>
      </c>
      <c r="D333" t="s">
        <v>3992</v>
      </c>
      <c r="E333" s="36">
        <v>0</v>
      </c>
      <c r="F333" s="36">
        <v>28051.279999999999</v>
      </c>
      <c r="G333" s="36">
        <v>28051.279999999999</v>
      </c>
      <c r="H333" s="36">
        <v>0</v>
      </c>
    </row>
    <row r="334" spans="3:8" x14ac:dyDescent="0.3">
      <c r="C334" t="s">
        <v>4606</v>
      </c>
      <c r="D334" t="s">
        <v>3993</v>
      </c>
      <c r="E334" s="36">
        <v>0</v>
      </c>
      <c r="F334" s="36">
        <v>22491.119999999999</v>
      </c>
      <c r="G334" s="36">
        <v>24365.38</v>
      </c>
      <c r="H334" s="36">
        <v>-1874.26</v>
      </c>
    </row>
    <row r="335" spans="3:8" x14ac:dyDescent="0.3">
      <c r="C335" t="s">
        <v>4607</v>
      </c>
      <c r="D335" t="s">
        <v>3994</v>
      </c>
      <c r="E335" s="36">
        <v>-4568.3999999999996</v>
      </c>
      <c r="F335" s="36">
        <v>0</v>
      </c>
      <c r="G335" s="36">
        <v>0</v>
      </c>
      <c r="H335" s="36">
        <v>-4568.3999999999996</v>
      </c>
    </row>
    <row r="336" spans="3:8" x14ac:dyDescent="0.3">
      <c r="C336" t="s">
        <v>4608</v>
      </c>
      <c r="D336" t="s">
        <v>3995</v>
      </c>
      <c r="E336" s="36">
        <v>0</v>
      </c>
      <c r="F336" s="36">
        <v>4725.5</v>
      </c>
      <c r="G336" s="36">
        <v>4725.5</v>
      </c>
      <c r="H336" s="36">
        <v>0</v>
      </c>
    </row>
    <row r="337" spans="3:8" x14ac:dyDescent="0.3">
      <c r="C337" t="s">
        <v>4609</v>
      </c>
      <c r="D337" t="s">
        <v>3996</v>
      </c>
      <c r="E337" s="36">
        <v>0</v>
      </c>
      <c r="F337" s="36">
        <v>8608.4699999999993</v>
      </c>
      <c r="G337" s="36">
        <v>8608.4699999999993</v>
      </c>
      <c r="H337" s="36">
        <v>0</v>
      </c>
    </row>
    <row r="338" spans="3:8" x14ac:dyDescent="0.3">
      <c r="C338" t="s">
        <v>4610</v>
      </c>
      <c r="D338" t="s">
        <v>3997</v>
      </c>
      <c r="E338" s="36">
        <v>-2162.7399999999998</v>
      </c>
      <c r="F338" s="36">
        <v>0</v>
      </c>
      <c r="G338" s="36">
        <v>0</v>
      </c>
      <c r="H338" s="36">
        <v>-2162.7399999999998</v>
      </c>
    </row>
    <row r="339" spans="3:8" x14ac:dyDescent="0.3">
      <c r="C339" t="s">
        <v>4611</v>
      </c>
      <c r="D339" t="s">
        <v>3998</v>
      </c>
      <c r="E339" s="36">
        <v>-137959.88</v>
      </c>
      <c r="F339" s="36">
        <v>0</v>
      </c>
      <c r="G339" s="36">
        <v>0</v>
      </c>
      <c r="H339" s="36">
        <v>-137959.88</v>
      </c>
    </row>
    <row r="340" spans="3:8" x14ac:dyDescent="0.3">
      <c r="C340" t="s">
        <v>4612</v>
      </c>
      <c r="D340" t="s">
        <v>3999</v>
      </c>
      <c r="E340" s="36">
        <v>-125789.68</v>
      </c>
      <c r="F340" s="36">
        <v>121493.04</v>
      </c>
      <c r="G340" s="36">
        <v>121493.05</v>
      </c>
      <c r="H340" s="36">
        <v>-125789.69</v>
      </c>
    </row>
    <row r="341" spans="3:8" x14ac:dyDescent="0.3">
      <c r="C341" t="s">
        <v>4613</v>
      </c>
      <c r="D341" t="s">
        <v>4000</v>
      </c>
      <c r="E341" s="36">
        <v>-13894.5</v>
      </c>
      <c r="F341" s="36">
        <v>0</v>
      </c>
      <c r="G341" s="36">
        <v>0</v>
      </c>
      <c r="H341" s="36">
        <v>-13894.5</v>
      </c>
    </row>
    <row r="342" spans="3:8" x14ac:dyDescent="0.3">
      <c r="C342" t="s">
        <v>4614</v>
      </c>
      <c r="D342" t="s">
        <v>4001</v>
      </c>
      <c r="E342" s="36">
        <v>-93503.8</v>
      </c>
      <c r="F342" s="36">
        <v>0</v>
      </c>
      <c r="G342" s="36">
        <v>0</v>
      </c>
      <c r="H342" s="36">
        <v>-93503.8</v>
      </c>
    </row>
    <row r="343" spans="3:8" x14ac:dyDescent="0.3">
      <c r="C343" t="s">
        <v>4615</v>
      </c>
      <c r="D343" t="s">
        <v>4002</v>
      </c>
      <c r="E343" s="36">
        <v>-41935.82</v>
      </c>
      <c r="F343" s="36">
        <v>0</v>
      </c>
      <c r="G343" s="36">
        <v>0</v>
      </c>
      <c r="H343" s="36">
        <v>-41935.82</v>
      </c>
    </row>
    <row r="344" spans="3:8" x14ac:dyDescent="0.3">
      <c r="C344" t="s">
        <v>4616</v>
      </c>
      <c r="D344" t="s">
        <v>4003</v>
      </c>
      <c r="E344" s="36">
        <v>-4377.46</v>
      </c>
      <c r="F344" s="36">
        <v>0</v>
      </c>
      <c r="G344" s="36">
        <v>0</v>
      </c>
      <c r="H344" s="36">
        <v>-4377.46</v>
      </c>
    </row>
    <row r="345" spans="3:8" x14ac:dyDescent="0.3">
      <c r="C345" t="s">
        <v>4617</v>
      </c>
      <c r="D345" t="s">
        <v>4004</v>
      </c>
      <c r="E345" s="36">
        <v>-7498.61</v>
      </c>
      <c r="F345" s="36">
        <v>0</v>
      </c>
      <c r="G345" s="36">
        <v>0</v>
      </c>
      <c r="H345" s="36">
        <v>-7498.61</v>
      </c>
    </row>
    <row r="346" spans="3:8" x14ac:dyDescent="0.3">
      <c r="C346" t="s">
        <v>4618</v>
      </c>
      <c r="D346" t="s">
        <v>4005</v>
      </c>
      <c r="E346" s="36">
        <v>-57733.22</v>
      </c>
      <c r="F346" s="36">
        <v>0</v>
      </c>
      <c r="G346" s="36">
        <v>0</v>
      </c>
      <c r="H346" s="36">
        <v>-57733.22</v>
      </c>
    </row>
    <row r="347" spans="3:8" x14ac:dyDescent="0.3">
      <c r="C347" t="s">
        <v>4619</v>
      </c>
      <c r="D347" t="s">
        <v>4006</v>
      </c>
      <c r="E347" s="36">
        <v>-3140</v>
      </c>
      <c r="F347" s="36">
        <v>0</v>
      </c>
      <c r="G347" s="36">
        <v>0</v>
      </c>
      <c r="H347" s="36">
        <v>-3140</v>
      </c>
    </row>
    <row r="348" spans="3:8" x14ac:dyDescent="0.3">
      <c r="C348" t="s">
        <v>4620</v>
      </c>
      <c r="D348" t="s">
        <v>4007</v>
      </c>
      <c r="E348" s="36">
        <v>-8101.4</v>
      </c>
      <c r="F348" s="36">
        <v>0</v>
      </c>
      <c r="G348" s="36">
        <v>0</v>
      </c>
      <c r="H348" s="36">
        <v>-8101.4</v>
      </c>
    </row>
    <row r="349" spans="3:8" x14ac:dyDescent="0.3">
      <c r="C349" t="s">
        <v>4621</v>
      </c>
      <c r="D349" t="s">
        <v>4008</v>
      </c>
      <c r="E349" s="36">
        <v>-51272.75</v>
      </c>
      <c r="F349" s="36">
        <v>51272.75</v>
      </c>
      <c r="G349" s="36">
        <v>0</v>
      </c>
      <c r="H349" s="36">
        <v>0</v>
      </c>
    </row>
    <row r="350" spans="3:8" x14ac:dyDescent="0.3">
      <c r="C350" t="s">
        <v>4622</v>
      </c>
      <c r="D350" t="s">
        <v>4009</v>
      </c>
      <c r="E350" s="36">
        <v>-2979.95</v>
      </c>
      <c r="F350" s="36">
        <v>4351.95</v>
      </c>
      <c r="G350" s="36">
        <v>1372</v>
      </c>
      <c r="H350" s="36">
        <v>0</v>
      </c>
    </row>
    <row r="351" spans="3:8" x14ac:dyDescent="0.3">
      <c r="C351" t="s">
        <v>4623</v>
      </c>
      <c r="D351" t="s">
        <v>4010</v>
      </c>
      <c r="E351" s="36">
        <v>-21663.5</v>
      </c>
      <c r="F351" s="36">
        <v>0</v>
      </c>
      <c r="G351" s="36">
        <v>0</v>
      </c>
      <c r="H351" s="36">
        <v>-21663.5</v>
      </c>
    </row>
    <row r="352" spans="3:8" x14ac:dyDescent="0.3">
      <c r="C352" t="s">
        <v>4624</v>
      </c>
      <c r="D352" t="s">
        <v>4011</v>
      </c>
      <c r="E352" s="36">
        <v>0</v>
      </c>
      <c r="F352" s="36">
        <v>8820</v>
      </c>
      <c r="G352" s="36">
        <v>8820</v>
      </c>
      <c r="H352" s="36">
        <v>0</v>
      </c>
    </row>
    <row r="353" spans="3:8" x14ac:dyDescent="0.3">
      <c r="C353" t="s">
        <v>4625</v>
      </c>
      <c r="D353" t="s">
        <v>4012</v>
      </c>
      <c r="E353" s="36">
        <v>0</v>
      </c>
      <c r="F353" s="36">
        <v>14714.39</v>
      </c>
      <c r="G353" s="36">
        <v>14714.39</v>
      </c>
      <c r="H353" s="36">
        <v>0</v>
      </c>
    </row>
    <row r="354" spans="3:8" x14ac:dyDescent="0.3">
      <c r="C354" t="s">
        <v>4626</v>
      </c>
      <c r="D354" t="s">
        <v>4013</v>
      </c>
      <c r="E354" s="36">
        <v>-6860</v>
      </c>
      <c r="F354" s="36">
        <v>0</v>
      </c>
      <c r="G354" s="36">
        <v>0</v>
      </c>
      <c r="H354" s="36">
        <v>-6860</v>
      </c>
    </row>
    <row r="355" spans="3:8" x14ac:dyDescent="0.3">
      <c r="C355" t="s">
        <v>4627</v>
      </c>
      <c r="D355" t="s">
        <v>4014</v>
      </c>
      <c r="E355" s="36">
        <v>-8126.96</v>
      </c>
      <c r="F355" s="36">
        <v>8126.96</v>
      </c>
      <c r="G355" s="36">
        <v>0</v>
      </c>
      <c r="H355" s="36">
        <v>0</v>
      </c>
    </row>
    <row r="356" spans="3:8" x14ac:dyDescent="0.3">
      <c r="C356" t="s">
        <v>4628</v>
      </c>
      <c r="D356" t="s">
        <v>4015</v>
      </c>
      <c r="E356" s="36">
        <v>-6400.35</v>
      </c>
      <c r="F356" s="36">
        <v>0</v>
      </c>
      <c r="G356" s="36">
        <v>0</v>
      </c>
      <c r="H356" s="36">
        <v>-6400.35</v>
      </c>
    </row>
    <row r="357" spans="3:8" x14ac:dyDescent="0.3">
      <c r="C357" t="s">
        <v>4629</v>
      </c>
      <c r="D357" t="s">
        <v>4016</v>
      </c>
      <c r="E357" s="36">
        <v>-5880</v>
      </c>
      <c r="F357" s="36">
        <v>0</v>
      </c>
      <c r="G357" s="36">
        <v>0</v>
      </c>
      <c r="H357" s="36">
        <v>-5880</v>
      </c>
    </row>
    <row r="358" spans="3:8" x14ac:dyDescent="0.3">
      <c r="C358" t="s">
        <v>4630</v>
      </c>
      <c r="D358" t="s">
        <v>4017</v>
      </c>
      <c r="E358" s="36">
        <v>-16000</v>
      </c>
      <c r="F358" s="36">
        <v>0</v>
      </c>
      <c r="G358" s="36">
        <v>0</v>
      </c>
      <c r="H358" s="36">
        <v>-16000</v>
      </c>
    </row>
    <row r="359" spans="3:8" x14ac:dyDescent="0.3">
      <c r="C359" t="s">
        <v>4631</v>
      </c>
      <c r="D359" t="s">
        <v>4018</v>
      </c>
      <c r="E359" s="36">
        <v>-20834.7</v>
      </c>
      <c r="F359" s="36">
        <v>0</v>
      </c>
      <c r="G359" s="36">
        <v>0</v>
      </c>
      <c r="H359" s="36">
        <v>-20834.7</v>
      </c>
    </row>
    <row r="360" spans="3:8" x14ac:dyDescent="0.3">
      <c r="C360" t="s">
        <v>4632</v>
      </c>
      <c r="D360" t="s">
        <v>4019</v>
      </c>
      <c r="E360" s="36">
        <v>-8108.32</v>
      </c>
      <c r="F360" s="36">
        <v>0</v>
      </c>
      <c r="G360" s="36">
        <v>0</v>
      </c>
      <c r="H360" s="36">
        <v>-8108.32</v>
      </c>
    </row>
    <row r="361" spans="3:8" x14ac:dyDescent="0.3">
      <c r="C361" t="s">
        <v>4633</v>
      </c>
      <c r="D361" t="s">
        <v>4020</v>
      </c>
      <c r="E361" s="36">
        <v>-4000</v>
      </c>
      <c r="F361" s="36">
        <v>0</v>
      </c>
      <c r="G361" s="36">
        <v>0</v>
      </c>
      <c r="H361" s="36">
        <v>-4000</v>
      </c>
    </row>
    <row r="362" spans="3:8" x14ac:dyDescent="0.3">
      <c r="C362" t="s">
        <v>4634</v>
      </c>
      <c r="D362" t="s">
        <v>4021</v>
      </c>
      <c r="E362" s="36">
        <v>-11074.28</v>
      </c>
      <c r="F362" s="36">
        <v>0</v>
      </c>
      <c r="G362" s="36">
        <v>0</v>
      </c>
      <c r="H362" s="36">
        <v>-11074.28</v>
      </c>
    </row>
    <row r="363" spans="3:8" x14ac:dyDescent="0.3">
      <c r="C363" t="s">
        <v>4635</v>
      </c>
      <c r="D363" t="s">
        <v>4022</v>
      </c>
      <c r="E363" s="36">
        <v>0</v>
      </c>
      <c r="F363" s="36">
        <v>2071</v>
      </c>
      <c r="G363" s="36">
        <v>2071</v>
      </c>
      <c r="H363" s="36">
        <v>0</v>
      </c>
    </row>
    <row r="364" spans="3:8" x14ac:dyDescent="0.3">
      <c r="C364" t="s">
        <v>4636</v>
      </c>
      <c r="D364" t="s">
        <v>4023</v>
      </c>
      <c r="E364" s="36">
        <v>0</v>
      </c>
      <c r="F364" s="36">
        <v>362189.34</v>
      </c>
      <c r="G364" s="36">
        <v>362189.34</v>
      </c>
      <c r="H364" s="36">
        <v>0</v>
      </c>
    </row>
    <row r="365" spans="3:8" x14ac:dyDescent="0.3">
      <c r="C365" t="s">
        <v>4637</v>
      </c>
      <c r="D365" t="s">
        <v>4024</v>
      </c>
      <c r="E365" s="36">
        <v>0</v>
      </c>
      <c r="F365" s="36">
        <v>2333.0700000000002</v>
      </c>
      <c r="G365" s="36">
        <v>2333.0700000000002</v>
      </c>
      <c r="H365" s="36">
        <v>0</v>
      </c>
    </row>
    <row r="366" spans="3:8" x14ac:dyDescent="0.3">
      <c r="C366" t="s">
        <v>4638</v>
      </c>
      <c r="D366" t="s">
        <v>4025</v>
      </c>
      <c r="E366" s="36">
        <v>0</v>
      </c>
      <c r="F366" s="36">
        <v>8006.57</v>
      </c>
      <c r="G366" s="36">
        <v>8006.57</v>
      </c>
      <c r="H366" s="36">
        <v>0</v>
      </c>
    </row>
    <row r="367" spans="3:8" x14ac:dyDescent="0.3">
      <c r="C367" t="s">
        <v>4639</v>
      </c>
      <c r="D367" t="s">
        <v>4026</v>
      </c>
      <c r="E367" s="36">
        <v>-3251.01</v>
      </c>
      <c r="F367" s="36">
        <v>3251.01</v>
      </c>
      <c r="G367" s="36">
        <v>0</v>
      </c>
      <c r="H367" s="36">
        <v>0</v>
      </c>
    </row>
    <row r="368" spans="3:8" x14ac:dyDescent="0.3">
      <c r="C368" t="s">
        <v>4640</v>
      </c>
      <c r="D368" t="s">
        <v>4027</v>
      </c>
      <c r="E368" s="36">
        <v>-1549.6</v>
      </c>
      <c r="F368" s="36">
        <v>0</v>
      </c>
      <c r="G368" s="36">
        <v>119</v>
      </c>
      <c r="H368" s="36">
        <v>-1668.6</v>
      </c>
    </row>
    <row r="369" spans="3:8" x14ac:dyDescent="0.3">
      <c r="C369" t="s">
        <v>4641</v>
      </c>
      <c r="D369" t="s">
        <v>4028</v>
      </c>
      <c r="E369" s="36">
        <v>-13500</v>
      </c>
      <c r="F369" s="36">
        <v>0</v>
      </c>
      <c r="G369" s="36">
        <v>0</v>
      </c>
      <c r="H369" s="36">
        <v>-13500</v>
      </c>
    </row>
    <row r="370" spans="3:8" x14ac:dyDescent="0.3">
      <c r="C370" t="s">
        <v>4642</v>
      </c>
      <c r="D370" t="s">
        <v>4029</v>
      </c>
      <c r="E370" s="36">
        <v>0</v>
      </c>
      <c r="F370" s="36">
        <v>362068.76</v>
      </c>
      <c r="G370" s="36">
        <v>362068.76</v>
      </c>
      <c r="H370" s="36">
        <v>0</v>
      </c>
    </row>
    <row r="371" spans="3:8" x14ac:dyDescent="0.3">
      <c r="C371" t="s">
        <v>4643</v>
      </c>
      <c r="D371" t="s">
        <v>4030</v>
      </c>
      <c r="E371" s="36">
        <v>0</v>
      </c>
      <c r="F371" s="36">
        <v>30015</v>
      </c>
      <c r="G371" s="36">
        <v>30015</v>
      </c>
      <c r="H371" s="36">
        <v>0</v>
      </c>
    </row>
    <row r="372" spans="3:8" x14ac:dyDescent="0.3">
      <c r="C372" t="s">
        <v>4644</v>
      </c>
      <c r="D372" t="s">
        <v>4031</v>
      </c>
      <c r="E372" s="36">
        <v>0</v>
      </c>
      <c r="F372" s="36">
        <v>22561.629999999997</v>
      </c>
      <c r="G372" s="36">
        <v>22561.63</v>
      </c>
      <c r="H372" s="36">
        <v>0</v>
      </c>
    </row>
    <row r="373" spans="3:8" x14ac:dyDescent="0.3">
      <c r="C373" t="s">
        <v>4645</v>
      </c>
      <c r="D373" t="s">
        <v>4032</v>
      </c>
      <c r="E373" s="36">
        <v>0</v>
      </c>
      <c r="F373" s="36">
        <v>24181.42</v>
      </c>
      <c r="G373" s="36">
        <v>24213.49</v>
      </c>
      <c r="H373" s="36">
        <v>-32.07</v>
      </c>
    </row>
    <row r="374" spans="3:8" x14ac:dyDescent="0.3">
      <c r="C374" t="s">
        <v>4646</v>
      </c>
      <c r="D374" t="s">
        <v>4033</v>
      </c>
      <c r="E374" s="36">
        <v>0</v>
      </c>
      <c r="F374" s="36">
        <v>51562.76</v>
      </c>
      <c r="G374" s="36">
        <v>51562.76</v>
      </c>
      <c r="H374" s="36">
        <v>0</v>
      </c>
    </row>
    <row r="375" spans="3:8" x14ac:dyDescent="0.3">
      <c r="C375" t="s">
        <v>4647</v>
      </c>
      <c r="D375" t="s">
        <v>4034</v>
      </c>
      <c r="E375" s="36">
        <v>0</v>
      </c>
      <c r="F375" s="36">
        <v>1040.8</v>
      </c>
      <c r="G375" s="36">
        <v>1040.8</v>
      </c>
      <c r="H375" s="36">
        <v>0</v>
      </c>
    </row>
    <row r="376" spans="3:8" x14ac:dyDescent="0.3">
      <c r="C376" t="s">
        <v>4648</v>
      </c>
      <c r="D376" t="s">
        <v>4035</v>
      </c>
      <c r="E376" s="36">
        <v>0</v>
      </c>
      <c r="F376" s="36">
        <v>1561963.37</v>
      </c>
      <c r="G376" s="36">
        <v>1561963.37</v>
      </c>
      <c r="H376" s="36">
        <v>0</v>
      </c>
    </row>
    <row r="377" spans="3:8" x14ac:dyDescent="0.3">
      <c r="C377" t="s">
        <v>4649</v>
      </c>
      <c r="D377" t="s">
        <v>4036</v>
      </c>
      <c r="E377" s="36">
        <v>-109298.75</v>
      </c>
      <c r="F377" s="36">
        <v>373731.23</v>
      </c>
      <c r="G377" s="36">
        <v>264432.48</v>
      </c>
      <c r="H377" s="36">
        <v>0</v>
      </c>
    </row>
    <row r="378" spans="3:8" x14ac:dyDescent="0.3">
      <c r="C378" t="s">
        <v>4650</v>
      </c>
      <c r="D378" t="s">
        <v>4037</v>
      </c>
      <c r="E378" s="36">
        <v>0</v>
      </c>
      <c r="F378" s="36">
        <v>12918.05</v>
      </c>
      <c r="G378" s="36">
        <v>12918.05</v>
      </c>
      <c r="H378" s="36">
        <v>0</v>
      </c>
    </row>
    <row r="379" spans="3:8" x14ac:dyDescent="0.3">
      <c r="C379" t="s">
        <v>4651</v>
      </c>
      <c r="D379" t="s">
        <v>4038</v>
      </c>
      <c r="E379" s="36">
        <v>0</v>
      </c>
      <c r="F379" s="36">
        <v>388878.54</v>
      </c>
      <c r="G379" s="36">
        <v>388878.54</v>
      </c>
      <c r="H379" s="36">
        <v>0</v>
      </c>
    </row>
    <row r="380" spans="3:8" x14ac:dyDescent="0.3">
      <c r="C380" t="s">
        <v>4652</v>
      </c>
      <c r="D380" t="s">
        <v>4039</v>
      </c>
      <c r="E380" s="36">
        <v>0</v>
      </c>
      <c r="F380" s="36">
        <v>134.72</v>
      </c>
      <c r="G380" s="36">
        <v>134.72</v>
      </c>
      <c r="H380" s="36">
        <v>0</v>
      </c>
    </row>
    <row r="381" spans="3:8" x14ac:dyDescent="0.3">
      <c r="C381" t="s">
        <v>4652</v>
      </c>
      <c r="D381" t="s">
        <v>4040</v>
      </c>
      <c r="E381" s="36">
        <v>0</v>
      </c>
      <c r="F381" s="36">
        <v>37317</v>
      </c>
      <c r="G381" s="36">
        <v>37317</v>
      </c>
      <c r="H381" s="36">
        <v>0</v>
      </c>
    </row>
    <row r="382" spans="3:8" x14ac:dyDescent="0.3">
      <c r="C382" t="s">
        <v>4652</v>
      </c>
      <c r="D382" t="s">
        <v>4041</v>
      </c>
      <c r="E382" s="36">
        <v>0</v>
      </c>
      <c r="F382" s="36">
        <v>10865</v>
      </c>
      <c r="G382" s="36">
        <v>10865</v>
      </c>
      <c r="H382" s="36">
        <v>0</v>
      </c>
    </row>
    <row r="383" spans="3:8" x14ac:dyDescent="0.3">
      <c r="C383" t="s">
        <v>4653</v>
      </c>
      <c r="D383" t="s">
        <v>4042</v>
      </c>
      <c r="E383" s="36">
        <v>0</v>
      </c>
      <c r="F383" s="36">
        <v>19778.97</v>
      </c>
      <c r="G383" s="36">
        <v>19778.97</v>
      </c>
      <c r="H383" s="36">
        <v>0</v>
      </c>
    </row>
    <row r="384" spans="3:8" x14ac:dyDescent="0.3">
      <c r="C384" t="s">
        <v>4654</v>
      </c>
      <c r="D384" t="s">
        <v>4043</v>
      </c>
      <c r="E384" s="36">
        <v>0</v>
      </c>
      <c r="F384" s="36">
        <v>2150</v>
      </c>
      <c r="G384" s="36">
        <v>2150</v>
      </c>
      <c r="H384" s="36">
        <v>0</v>
      </c>
    </row>
    <row r="385" spans="3:8" x14ac:dyDescent="0.3">
      <c r="C385" t="s">
        <v>4655</v>
      </c>
      <c r="D385" t="s">
        <v>4044</v>
      </c>
      <c r="E385" s="36">
        <v>0</v>
      </c>
      <c r="F385" s="36">
        <v>165520</v>
      </c>
      <c r="G385" s="36">
        <v>165520</v>
      </c>
      <c r="H385" s="36">
        <v>0</v>
      </c>
    </row>
    <row r="386" spans="3:8" x14ac:dyDescent="0.3">
      <c r="C386" t="s">
        <v>4656</v>
      </c>
      <c r="D386" t="s">
        <v>4045</v>
      </c>
      <c r="E386" s="36">
        <v>0</v>
      </c>
      <c r="F386" s="36">
        <v>20000</v>
      </c>
      <c r="G386" s="36">
        <v>20000</v>
      </c>
      <c r="H386" s="36">
        <v>0</v>
      </c>
    </row>
    <row r="387" spans="3:8" x14ac:dyDescent="0.3">
      <c r="C387" t="s">
        <v>4657</v>
      </c>
      <c r="D387" t="s">
        <v>4046</v>
      </c>
      <c r="E387" s="36">
        <v>0</v>
      </c>
      <c r="F387" s="36">
        <v>84242.25</v>
      </c>
      <c r="G387" s="36">
        <v>84242.25</v>
      </c>
      <c r="H387" s="36">
        <v>0</v>
      </c>
    </row>
    <row r="388" spans="3:8" x14ac:dyDescent="0.3">
      <c r="C388" t="s">
        <v>4658</v>
      </c>
      <c r="D388" t="s">
        <v>4047</v>
      </c>
      <c r="E388" s="36">
        <v>0</v>
      </c>
      <c r="F388" s="36">
        <v>20628.3</v>
      </c>
      <c r="G388" s="36">
        <v>20628.3</v>
      </c>
      <c r="H388" s="36">
        <v>0</v>
      </c>
    </row>
    <row r="389" spans="3:8" x14ac:dyDescent="0.3">
      <c r="C389" t="s">
        <v>4659</v>
      </c>
      <c r="D389" t="s">
        <v>4048</v>
      </c>
      <c r="E389" s="36">
        <v>0</v>
      </c>
      <c r="F389" s="36">
        <v>499.5</v>
      </c>
      <c r="G389" s="36">
        <v>499.5</v>
      </c>
      <c r="H389" s="36">
        <v>0</v>
      </c>
    </row>
    <row r="390" spans="3:8" x14ac:dyDescent="0.3">
      <c r="C390" t="s">
        <v>4660</v>
      </c>
      <c r="D390" t="s">
        <v>4049</v>
      </c>
      <c r="E390" s="36">
        <v>0</v>
      </c>
      <c r="F390" s="36">
        <v>4449.2</v>
      </c>
      <c r="G390" s="36">
        <v>4449.2</v>
      </c>
      <c r="H390" s="36">
        <v>0</v>
      </c>
    </row>
    <row r="391" spans="3:8" x14ac:dyDescent="0.3">
      <c r="C391" t="s">
        <v>4661</v>
      </c>
      <c r="D391" t="s">
        <v>4050</v>
      </c>
      <c r="E391" s="36">
        <v>0</v>
      </c>
      <c r="F391" s="36">
        <v>8562.75</v>
      </c>
      <c r="G391" s="36">
        <v>8562.75</v>
      </c>
      <c r="H391" s="36">
        <v>0</v>
      </c>
    </row>
    <row r="392" spans="3:8" x14ac:dyDescent="0.3">
      <c r="C392" t="s">
        <v>4662</v>
      </c>
      <c r="D392" t="s">
        <v>4051</v>
      </c>
      <c r="E392" s="36">
        <v>0</v>
      </c>
      <c r="F392" s="36">
        <v>50040</v>
      </c>
      <c r="G392" s="36">
        <v>50040</v>
      </c>
      <c r="H392" s="36">
        <v>0</v>
      </c>
    </row>
    <row r="393" spans="3:8" x14ac:dyDescent="0.3">
      <c r="C393" t="s">
        <v>4663</v>
      </c>
      <c r="D393" t="s">
        <v>4052</v>
      </c>
      <c r="E393" s="36">
        <v>0</v>
      </c>
      <c r="F393" s="36">
        <v>13369.93</v>
      </c>
      <c r="G393" s="36">
        <v>13369.93</v>
      </c>
      <c r="H393" s="36">
        <v>0</v>
      </c>
    </row>
    <row r="394" spans="3:8" x14ac:dyDescent="0.3">
      <c r="C394" t="s">
        <v>4664</v>
      </c>
      <c r="D394" t="s">
        <v>4053</v>
      </c>
      <c r="E394" s="36">
        <v>0</v>
      </c>
      <c r="F394" s="36">
        <v>8251.3700000000008</v>
      </c>
      <c r="G394" s="36">
        <v>8251.3700000000008</v>
      </c>
      <c r="H394" s="36">
        <v>0</v>
      </c>
    </row>
    <row r="395" spans="3:8" x14ac:dyDescent="0.3">
      <c r="C395" t="s">
        <v>4665</v>
      </c>
      <c r="D395" t="s">
        <v>4054</v>
      </c>
      <c r="E395" s="36">
        <v>0</v>
      </c>
      <c r="F395" s="36">
        <v>466829.41</v>
      </c>
      <c r="G395" s="36">
        <v>466829.41</v>
      </c>
      <c r="H395" s="36">
        <v>0</v>
      </c>
    </row>
    <row r="396" spans="3:8" x14ac:dyDescent="0.3">
      <c r="C396" t="s">
        <v>4666</v>
      </c>
      <c r="D396" t="s">
        <v>4055</v>
      </c>
      <c r="E396" s="36">
        <v>0</v>
      </c>
      <c r="F396" s="36">
        <v>10714.9</v>
      </c>
      <c r="G396" s="36">
        <v>12500.88</v>
      </c>
      <c r="H396" s="36">
        <v>-1785.98</v>
      </c>
    </row>
    <row r="397" spans="3:8" x14ac:dyDescent="0.3">
      <c r="C397" t="s">
        <v>4667</v>
      </c>
      <c r="D397" t="s">
        <v>4056</v>
      </c>
      <c r="E397" s="36">
        <v>0</v>
      </c>
      <c r="F397" s="36">
        <v>427.8</v>
      </c>
      <c r="G397" s="36">
        <v>427.8</v>
      </c>
      <c r="H397" s="36">
        <v>0</v>
      </c>
    </row>
    <row r="398" spans="3:8" x14ac:dyDescent="0.3">
      <c r="C398" t="s">
        <v>4668</v>
      </c>
      <c r="D398" t="s">
        <v>4057</v>
      </c>
      <c r="E398" s="36">
        <v>0</v>
      </c>
      <c r="F398" s="36">
        <v>5439.29</v>
      </c>
      <c r="G398" s="36">
        <v>5439.29</v>
      </c>
      <c r="H398" s="36">
        <v>0</v>
      </c>
    </row>
    <row r="399" spans="3:8" x14ac:dyDescent="0.3">
      <c r="C399" t="s">
        <v>4669</v>
      </c>
      <c r="D399" t="s">
        <v>4058</v>
      </c>
      <c r="E399" s="36">
        <v>0</v>
      </c>
      <c r="F399" s="36">
        <v>5559.5</v>
      </c>
      <c r="G399" s="36">
        <v>5559.5</v>
      </c>
      <c r="H399" s="36">
        <v>0</v>
      </c>
    </row>
    <row r="400" spans="3:8" x14ac:dyDescent="0.3">
      <c r="C400" t="s">
        <v>4670</v>
      </c>
      <c r="D400" t="s">
        <v>4059</v>
      </c>
      <c r="E400" s="36">
        <v>0</v>
      </c>
      <c r="F400" s="36">
        <v>1505797.17</v>
      </c>
      <c r="G400" s="36">
        <v>1505797.17</v>
      </c>
      <c r="H400" s="36">
        <v>0</v>
      </c>
    </row>
    <row r="401" spans="3:8" x14ac:dyDescent="0.3">
      <c r="C401" t="s">
        <v>4671</v>
      </c>
      <c r="D401" t="s">
        <v>4060</v>
      </c>
      <c r="E401" s="36">
        <v>0</v>
      </c>
      <c r="F401" s="36">
        <v>1741.5</v>
      </c>
      <c r="G401" s="36">
        <v>1741.5</v>
      </c>
      <c r="H401" s="36">
        <v>0</v>
      </c>
    </row>
    <row r="402" spans="3:8" x14ac:dyDescent="0.3">
      <c r="C402" t="s">
        <v>4672</v>
      </c>
      <c r="D402" t="s">
        <v>4061</v>
      </c>
      <c r="E402" s="36">
        <v>0</v>
      </c>
      <c r="F402" s="36">
        <v>16348.6</v>
      </c>
      <c r="G402" s="36">
        <v>16348.6</v>
      </c>
      <c r="H402" s="36">
        <v>0</v>
      </c>
    </row>
    <row r="403" spans="3:8" x14ac:dyDescent="0.3">
      <c r="C403" t="s">
        <v>4673</v>
      </c>
      <c r="D403" t="s">
        <v>4062</v>
      </c>
      <c r="E403" s="36">
        <v>0</v>
      </c>
      <c r="F403" s="36">
        <v>852.8</v>
      </c>
      <c r="G403" s="36">
        <v>852.8</v>
      </c>
      <c r="H403" s="36">
        <v>0</v>
      </c>
    </row>
    <row r="404" spans="3:8" x14ac:dyDescent="0.3">
      <c r="C404" t="s">
        <v>4674</v>
      </c>
      <c r="D404" t="s">
        <v>4063</v>
      </c>
      <c r="E404" s="36">
        <v>0</v>
      </c>
      <c r="F404" s="36">
        <v>41759</v>
      </c>
      <c r="G404" s="36">
        <v>41759</v>
      </c>
      <c r="H404" s="36">
        <v>0</v>
      </c>
    </row>
    <row r="405" spans="3:8" x14ac:dyDescent="0.3">
      <c r="C405" t="s">
        <v>4675</v>
      </c>
      <c r="D405" t="s">
        <v>4064</v>
      </c>
      <c r="E405" s="36">
        <v>0</v>
      </c>
      <c r="F405" s="36">
        <v>4980</v>
      </c>
      <c r="G405" s="36">
        <v>4980</v>
      </c>
      <c r="H405" s="36">
        <v>0</v>
      </c>
    </row>
    <row r="406" spans="3:8" x14ac:dyDescent="0.3">
      <c r="C406" t="s">
        <v>2124</v>
      </c>
      <c r="D406" t="s">
        <v>2124</v>
      </c>
    </row>
    <row r="407" spans="3:8" x14ac:dyDescent="0.3">
      <c r="C407" t="s">
        <v>4676</v>
      </c>
      <c r="D407" t="s">
        <v>4065</v>
      </c>
      <c r="E407" s="36">
        <v>0</v>
      </c>
      <c r="F407" s="36">
        <v>15443.9</v>
      </c>
      <c r="G407" s="36">
        <v>15443.9</v>
      </c>
      <c r="H407" s="36">
        <v>0</v>
      </c>
    </row>
    <row r="408" spans="3:8" x14ac:dyDescent="0.3">
      <c r="C408" t="s">
        <v>4677</v>
      </c>
      <c r="D408" t="s">
        <v>4066</v>
      </c>
      <c r="E408" s="36">
        <v>0</v>
      </c>
      <c r="F408" s="36">
        <v>15443.9</v>
      </c>
      <c r="G408" s="36">
        <v>15443.9</v>
      </c>
      <c r="H408" s="36">
        <v>0</v>
      </c>
    </row>
    <row r="409" spans="3:8" x14ac:dyDescent="0.3">
      <c r="C409" t="s">
        <v>2124</v>
      </c>
      <c r="D409" t="s">
        <v>2124</v>
      </c>
    </row>
    <row r="410" spans="3:8" x14ac:dyDescent="0.3">
      <c r="C410" t="s">
        <v>4678</v>
      </c>
      <c r="D410" t="s">
        <v>4067</v>
      </c>
      <c r="E410" s="36">
        <v>-24951.95</v>
      </c>
      <c r="F410" s="36">
        <v>105313.2</v>
      </c>
      <c r="G410" s="36">
        <v>103333.2</v>
      </c>
      <c r="H410" s="36">
        <v>-22971.95</v>
      </c>
    </row>
    <row r="411" spans="3:8" x14ac:dyDescent="0.3">
      <c r="C411" t="s">
        <v>4679</v>
      </c>
      <c r="D411" t="s">
        <v>4068</v>
      </c>
      <c r="E411" s="36">
        <v>-2206.9499999999998</v>
      </c>
      <c r="F411" s="36">
        <v>0</v>
      </c>
      <c r="G411" s="36">
        <v>0</v>
      </c>
      <c r="H411" s="36">
        <v>-2206.9499999999998</v>
      </c>
    </row>
    <row r="412" spans="3:8" x14ac:dyDescent="0.3">
      <c r="C412" t="s">
        <v>4680</v>
      </c>
      <c r="D412" t="s">
        <v>4069</v>
      </c>
      <c r="E412" s="36">
        <v>-20765</v>
      </c>
      <c r="F412" s="36">
        <v>0</v>
      </c>
      <c r="G412" s="36">
        <v>0</v>
      </c>
      <c r="H412" s="36">
        <v>-20765</v>
      </c>
    </row>
    <row r="413" spans="3:8" x14ac:dyDescent="0.3">
      <c r="C413" t="s">
        <v>4681</v>
      </c>
      <c r="D413" t="s">
        <v>4070</v>
      </c>
      <c r="E413" s="36">
        <v>-1980</v>
      </c>
      <c r="F413" s="36">
        <v>1980</v>
      </c>
      <c r="G413" s="36">
        <v>0</v>
      </c>
      <c r="H413" s="36">
        <v>0</v>
      </c>
    </row>
    <row r="414" spans="3:8" x14ac:dyDescent="0.3">
      <c r="C414" t="s">
        <v>4682</v>
      </c>
      <c r="D414" t="s">
        <v>4071</v>
      </c>
      <c r="E414" s="36">
        <v>0</v>
      </c>
      <c r="F414" s="36">
        <v>31931.77</v>
      </c>
      <c r="G414" s="36">
        <v>31931.77</v>
      </c>
      <c r="H414" s="36">
        <v>0</v>
      </c>
    </row>
    <row r="415" spans="3:8" x14ac:dyDescent="0.3">
      <c r="C415" t="s">
        <v>4683</v>
      </c>
      <c r="D415" t="s">
        <v>4072</v>
      </c>
      <c r="E415" s="36">
        <v>0</v>
      </c>
      <c r="F415" s="36">
        <v>61534.84</v>
      </c>
      <c r="G415" s="36">
        <v>61534.84</v>
      </c>
      <c r="H415" s="36">
        <v>0</v>
      </c>
    </row>
    <row r="416" spans="3:8" x14ac:dyDescent="0.3">
      <c r="C416" t="s">
        <v>4684</v>
      </c>
      <c r="D416" t="s">
        <v>4073</v>
      </c>
      <c r="E416" s="36">
        <v>0</v>
      </c>
      <c r="F416" s="36">
        <v>9866.59</v>
      </c>
      <c r="G416" s="36">
        <v>9866.59</v>
      </c>
      <c r="H416" s="36">
        <v>0</v>
      </c>
    </row>
    <row r="417" spans="3:8" x14ac:dyDescent="0.3">
      <c r="C417" t="s">
        <v>2124</v>
      </c>
      <c r="D417" t="s">
        <v>2124</v>
      </c>
    </row>
    <row r="418" spans="3:8" x14ac:dyDescent="0.3">
      <c r="C418" t="s">
        <v>4685</v>
      </c>
      <c r="D418" t="s">
        <v>4074</v>
      </c>
      <c r="E418" s="36">
        <v>-85063.1</v>
      </c>
      <c r="F418" s="36">
        <v>21825724.510000002</v>
      </c>
      <c r="G418" s="36">
        <v>25760148.43</v>
      </c>
      <c r="H418" s="36">
        <v>-4019487.02</v>
      </c>
    </row>
    <row r="419" spans="3:8" x14ac:dyDescent="0.3">
      <c r="C419" t="s">
        <v>4686</v>
      </c>
      <c r="D419" t="s">
        <v>4075</v>
      </c>
      <c r="E419" s="36">
        <v>-4705.8999999999996</v>
      </c>
      <c r="F419" s="36">
        <v>21687116.890000001</v>
      </c>
      <c r="G419" s="36">
        <v>25643963.699999999</v>
      </c>
      <c r="H419" s="36">
        <v>-3961552.71</v>
      </c>
    </row>
    <row r="420" spans="3:8" x14ac:dyDescent="0.3">
      <c r="C420" t="s">
        <v>4687</v>
      </c>
      <c r="D420" t="s">
        <v>4076</v>
      </c>
      <c r="E420" s="36">
        <v>0</v>
      </c>
      <c r="F420" s="36">
        <v>851373.5</v>
      </c>
      <c r="G420" s="36">
        <v>851373.5</v>
      </c>
      <c r="H420" s="36">
        <v>0</v>
      </c>
    </row>
    <row r="421" spans="3:8" x14ac:dyDescent="0.3">
      <c r="C421" t="s">
        <v>4688</v>
      </c>
      <c r="D421" t="s">
        <v>4077</v>
      </c>
      <c r="E421" s="36">
        <v>0</v>
      </c>
      <c r="F421" s="36">
        <v>8590913.7100000009</v>
      </c>
      <c r="G421" s="36">
        <v>8590913.7100000009</v>
      </c>
      <c r="H421" s="36">
        <v>0</v>
      </c>
    </row>
    <row r="422" spans="3:8" x14ac:dyDescent="0.3">
      <c r="C422" t="s">
        <v>4689</v>
      </c>
      <c r="D422" t="s">
        <v>4078</v>
      </c>
      <c r="E422" s="36">
        <v>0</v>
      </c>
      <c r="F422" s="36">
        <v>4025512.34</v>
      </c>
      <c r="G422" s="36">
        <v>4025512.34</v>
      </c>
      <c r="H422" s="36">
        <v>0</v>
      </c>
    </row>
    <row r="423" spans="3:8" x14ac:dyDescent="0.3">
      <c r="C423" t="s">
        <v>4690</v>
      </c>
      <c r="D423" t="s">
        <v>4079</v>
      </c>
      <c r="E423" s="36">
        <v>0</v>
      </c>
      <c r="F423" s="36">
        <v>368910.14</v>
      </c>
      <c r="G423" s="36">
        <v>368910.14</v>
      </c>
      <c r="H423" s="36">
        <v>0</v>
      </c>
    </row>
    <row r="424" spans="3:8" x14ac:dyDescent="0.3">
      <c r="C424" t="s">
        <v>4691</v>
      </c>
      <c r="D424" t="s">
        <v>4080</v>
      </c>
      <c r="E424" s="36">
        <v>-4700.8999999999996</v>
      </c>
      <c r="F424" s="36">
        <v>99319.48</v>
      </c>
      <c r="G424" s="36">
        <v>109737.23</v>
      </c>
      <c r="H424" s="36">
        <v>-15118.65</v>
      </c>
    </row>
    <row r="425" spans="3:8" x14ac:dyDescent="0.3">
      <c r="C425" t="s">
        <v>4692</v>
      </c>
      <c r="D425" t="s">
        <v>4081</v>
      </c>
      <c r="E425" s="36">
        <v>0</v>
      </c>
      <c r="F425" s="36">
        <v>141927.87</v>
      </c>
      <c r="G425" s="36">
        <v>164605.85999999999</v>
      </c>
      <c r="H425" s="36">
        <v>-22677.99</v>
      </c>
    </row>
    <row r="426" spans="3:8" x14ac:dyDescent="0.3">
      <c r="C426" t="s">
        <v>4693</v>
      </c>
      <c r="D426" t="s">
        <v>4082</v>
      </c>
      <c r="E426" s="36">
        <v>0</v>
      </c>
      <c r="F426" s="36">
        <v>525966.53</v>
      </c>
      <c r="G426" s="36">
        <v>525966.53</v>
      </c>
      <c r="H426" s="36">
        <v>0</v>
      </c>
    </row>
    <row r="427" spans="3:8" x14ac:dyDescent="0.3">
      <c r="C427" t="s">
        <v>4694</v>
      </c>
      <c r="D427" t="s">
        <v>4083</v>
      </c>
      <c r="E427" s="36">
        <v>-5</v>
      </c>
      <c r="F427" s="36">
        <v>2009294.09</v>
      </c>
      <c r="G427" s="36">
        <v>2009289.09</v>
      </c>
      <c r="H427" s="36">
        <v>0</v>
      </c>
    </row>
    <row r="428" spans="3:8" x14ac:dyDescent="0.3">
      <c r="C428" t="s">
        <v>4695</v>
      </c>
      <c r="D428" t="s">
        <v>4084</v>
      </c>
      <c r="E428" s="36">
        <v>0</v>
      </c>
      <c r="F428" s="36">
        <v>4890234.09</v>
      </c>
      <c r="G428" s="36">
        <v>8813990.1600000001</v>
      </c>
      <c r="H428" s="36">
        <v>-3923756.07</v>
      </c>
    </row>
    <row r="429" spans="3:8" x14ac:dyDescent="0.3">
      <c r="C429" t="s">
        <v>4696</v>
      </c>
      <c r="D429" t="s">
        <v>4085</v>
      </c>
      <c r="E429" s="36">
        <v>0</v>
      </c>
      <c r="F429" s="36">
        <v>183665.14</v>
      </c>
      <c r="G429" s="36">
        <v>183665.14</v>
      </c>
      <c r="H429" s="36">
        <v>0</v>
      </c>
    </row>
    <row r="430" spans="3:8" x14ac:dyDescent="0.3">
      <c r="C430" t="s">
        <v>2124</v>
      </c>
      <c r="D430" t="s">
        <v>2124</v>
      </c>
    </row>
    <row r="431" spans="3:8" x14ac:dyDescent="0.3">
      <c r="C431" t="s">
        <v>4697</v>
      </c>
      <c r="D431" t="s">
        <v>4086</v>
      </c>
      <c r="E431" s="36">
        <v>-29676.94</v>
      </c>
      <c r="F431" s="36">
        <v>90096.97</v>
      </c>
      <c r="G431" s="36">
        <v>60689.120000000003</v>
      </c>
      <c r="H431" s="36">
        <v>-269.08999999999997</v>
      </c>
    </row>
    <row r="432" spans="3:8" x14ac:dyDescent="0.3">
      <c r="C432" t="s">
        <v>4698</v>
      </c>
      <c r="D432" t="s">
        <v>4087</v>
      </c>
      <c r="E432" s="36">
        <v>-2894.66</v>
      </c>
      <c r="F432" s="36">
        <v>4852.1899999999996</v>
      </c>
      <c r="G432" s="36">
        <v>1957.53</v>
      </c>
      <c r="H432" s="36">
        <v>0</v>
      </c>
    </row>
    <row r="433" spans="3:8" x14ac:dyDescent="0.3">
      <c r="C433" t="s">
        <v>4699</v>
      </c>
      <c r="D433" t="s">
        <v>4088</v>
      </c>
      <c r="E433" s="36">
        <v>-6982.89</v>
      </c>
      <c r="F433" s="36">
        <v>7447.25</v>
      </c>
      <c r="G433" s="36">
        <v>464.36</v>
      </c>
      <c r="H433" s="36">
        <v>0</v>
      </c>
    </row>
    <row r="434" spans="3:8" x14ac:dyDescent="0.3">
      <c r="C434" t="s">
        <v>4700</v>
      </c>
      <c r="D434" t="s">
        <v>4089</v>
      </c>
      <c r="E434" s="36">
        <v>-18920.07</v>
      </c>
      <c r="F434" s="36">
        <v>53622.73</v>
      </c>
      <c r="G434" s="36">
        <v>34702.660000000003</v>
      </c>
      <c r="H434" s="36">
        <v>0</v>
      </c>
    </row>
    <row r="435" spans="3:8" x14ac:dyDescent="0.3">
      <c r="C435" t="s">
        <v>4701</v>
      </c>
      <c r="D435" t="s">
        <v>4090</v>
      </c>
      <c r="E435" s="36">
        <v>-879.32</v>
      </c>
      <c r="F435" s="36">
        <v>4075.83</v>
      </c>
      <c r="G435" s="36">
        <v>3465.6</v>
      </c>
      <c r="H435" s="36">
        <v>-269.08999999999997</v>
      </c>
    </row>
    <row r="436" spans="3:8" x14ac:dyDescent="0.3">
      <c r="C436" t="s">
        <v>4702</v>
      </c>
      <c r="D436" t="s">
        <v>4091</v>
      </c>
      <c r="E436" s="36">
        <v>0</v>
      </c>
      <c r="F436" s="36">
        <v>20098.97</v>
      </c>
      <c r="G436" s="36">
        <v>20098.97</v>
      </c>
      <c r="H436" s="36">
        <v>0</v>
      </c>
    </row>
    <row r="437" spans="3:8" x14ac:dyDescent="0.3">
      <c r="C437" t="s">
        <v>2124</v>
      </c>
      <c r="D437" t="s">
        <v>2124</v>
      </c>
    </row>
    <row r="438" spans="3:8" x14ac:dyDescent="0.3">
      <c r="C438" t="s">
        <v>4703</v>
      </c>
      <c r="D438" t="s">
        <v>4092</v>
      </c>
      <c r="E438" s="36">
        <v>-50680.26</v>
      </c>
      <c r="F438" s="36">
        <v>48510.65</v>
      </c>
      <c r="G438" s="36">
        <v>55495.61</v>
      </c>
      <c r="H438" s="36">
        <v>-57665.22</v>
      </c>
    </row>
    <row r="439" spans="3:8" x14ac:dyDescent="0.3">
      <c r="C439" t="s">
        <v>4704</v>
      </c>
      <c r="D439" t="s">
        <v>4093</v>
      </c>
      <c r="E439" s="36">
        <v>-50680.26</v>
      </c>
      <c r="F439" s="36">
        <v>48510.65</v>
      </c>
      <c r="G439" s="36">
        <v>55495.61</v>
      </c>
      <c r="H439" s="36">
        <v>-57665.22</v>
      </c>
    </row>
    <row r="440" spans="3:8" x14ac:dyDescent="0.3">
      <c r="C440" t="s">
        <v>2124</v>
      </c>
      <c r="D440" t="s">
        <v>2124</v>
      </c>
    </row>
    <row r="441" spans="3:8" x14ac:dyDescent="0.3">
      <c r="C441" t="s">
        <v>4705</v>
      </c>
      <c r="D441" t="s">
        <v>4094</v>
      </c>
      <c r="E441" s="36">
        <v>-1157924.8500000001</v>
      </c>
      <c r="F441" s="36">
        <v>1777880.93</v>
      </c>
      <c r="G441" s="36">
        <v>1640229.8</v>
      </c>
      <c r="H441" s="36">
        <v>-1020273.72</v>
      </c>
    </row>
    <row r="442" spans="3:8" x14ac:dyDescent="0.3">
      <c r="C442" t="s">
        <v>4706</v>
      </c>
      <c r="D442" t="s">
        <v>4095</v>
      </c>
      <c r="E442" s="36">
        <v>-50928.32</v>
      </c>
      <c r="F442" s="36">
        <v>614178.23</v>
      </c>
      <c r="G442" s="36">
        <v>597607.36</v>
      </c>
      <c r="H442" s="36">
        <v>-34357.449999999997</v>
      </c>
    </row>
    <row r="443" spans="3:8" x14ac:dyDescent="0.3">
      <c r="C443" t="s">
        <v>4707</v>
      </c>
      <c r="D443" t="s">
        <v>4096</v>
      </c>
      <c r="E443" s="36">
        <v>-20964.53</v>
      </c>
      <c r="F443" s="36">
        <v>20964.53</v>
      </c>
      <c r="G443" s="36">
        <v>0</v>
      </c>
      <c r="H443" s="36">
        <v>0</v>
      </c>
    </row>
    <row r="444" spans="3:8" x14ac:dyDescent="0.3">
      <c r="C444" t="s">
        <v>4708</v>
      </c>
      <c r="D444" t="s">
        <v>4097</v>
      </c>
      <c r="E444" s="36">
        <v>-4035.88</v>
      </c>
      <c r="F444" s="36">
        <v>59989.18</v>
      </c>
      <c r="G444" s="36">
        <v>73653.600000000006</v>
      </c>
      <c r="H444" s="36">
        <v>-17700.3</v>
      </c>
    </row>
    <row r="445" spans="3:8" x14ac:dyDescent="0.3">
      <c r="C445" t="s">
        <v>4709</v>
      </c>
      <c r="D445" t="s">
        <v>4098</v>
      </c>
      <c r="E445" s="36">
        <v>-39</v>
      </c>
      <c r="F445" s="36">
        <v>100830.06</v>
      </c>
      <c r="G445" s="36">
        <v>104671.09</v>
      </c>
      <c r="H445" s="36">
        <v>-3880.03</v>
      </c>
    </row>
    <row r="446" spans="3:8" x14ac:dyDescent="0.3">
      <c r="C446" t="s">
        <v>4710</v>
      </c>
      <c r="D446" t="s">
        <v>4099</v>
      </c>
      <c r="E446" s="36">
        <v>-13137.42</v>
      </c>
      <c r="F446" s="36">
        <v>89181.38</v>
      </c>
      <c r="G446" s="36">
        <v>82611.350000000006</v>
      </c>
      <c r="H446" s="36">
        <v>-6567.39</v>
      </c>
    </row>
    <row r="447" spans="3:8" x14ac:dyDescent="0.3">
      <c r="C447" t="s">
        <v>4711</v>
      </c>
      <c r="D447" t="s">
        <v>4100</v>
      </c>
      <c r="E447" s="36">
        <v>0</v>
      </c>
      <c r="F447" s="36">
        <v>305774.40999999997</v>
      </c>
      <c r="G447" s="36">
        <v>305774.40999999997</v>
      </c>
      <c r="H447" s="36">
        <v>0</v>
      </c>
    </row>
    <row r="448" spans="3:8" x14ac:dyDescent="0.3">
      <c r="C448" t="s">
        <v>4712</v>
      </c>
      <c r="D448" t="s">
        <v>4101</v>
      </c>
      <c r="E448" s="36">
        <v>-12751.49</v>
      </c>
      <c r="F448" s="36">
        <v>37438.67</v>
      </c>
      <c r="G448" s="36">
        <v>30896.91</v>
      </c>
      <c r="H448" s="36">
        <v>-6209.73</v>
      </c>
    </row>
    <row r="449" spans="3:8" x14ac:dyDescent="0.3">
      <c r="C449" t="s">
        <v>2124</v>
      </c>
      <c r="D449" t="s">
        <v>2124</v>
      </c>
    </row>
    <row r="450" spans="3:8" x14ac:dyDescent="0.3">
      <c r="C450" t="s">
        <v>4713</v>
      </c>
      <c r="D450" t="s">
        <v>4102</v>
      </c>
      <c r="E450" s="36">
        <v>-1106996.53</v>
      </c>
      <c r="F450" s="36">
        <v>1163702.7</v>
      </c>
      <c r="G450" s="36">
        <v>1042622.44</v>
      </c>
      <c r="H450" s="36">
        <v>-985916.27</v>
      </c>
    </row>
    <row r="451" spans="3:8" x14ac:dyDescent="0.3">
      <c r="C451" t="s">
        <v>4714</v>
      </c>
      <c r="D451" t="s">
        <v>4103</v>
      </c>
      <c r="E451" s="36">
        <v>-169107.74</v>
      </c>
      <c r="F451" s="36">
        <v>176173.35</v>
      </c>
      <c r="G451" s="36">
        <v>7065.61</v>
      </c>
      <c r="H451" s="36">
        <v>0</v>
      </c>
    </row>
    <row r="452" spans="3:8" x14ac:dyDescent="0.3">
      <c r="C452" t="s">
        <v>4715</v>
      </c>
      <c r="D452" t="s">
        <v>4104</v>
      </c>
      <c r="E452" s="36">
        <v>-74874.75</v>
      </c>
      <c r="F452" s="36">
        <v>78003.48</v>
      </c>
      <c r="G452" s="36">
        <v>3128.73</v>
      </c>
      <c r="H452" s="36">
        <v>0</v>
      </c>
    </row>
    <row r="453" spans="3:8" x14ac:dyDescent="0.3">
      <c r="C453" t="s">
        <v>4716</v>
      </c>
      <c r="D453" t="s">
        <v>4105</v>
      </c>
      <c r="E453" s="36">
        <v>-123981.29</v>
      </c>
      <c r="F453" s="36">
        <v>129160.29</v>
      </c>
      <c r="G453" s="36">
        <v>5179</v>
      </c>
      <c r="H453" s="36">
        <v>0</v>
      </c>
    </row>
    <row r="454" spans="3:8" x14ac:dyDescent="0.3">
      <c r="C454" t="s">
        <v>4717</v>
      </c>
      <c r="D454" t="s">
        <v>4106</v>
      </c>
      <c r="E454" s="36">
        <v>-68307.31</v>
      </c>
      <c r="F454" s="36">
        <v>84881.79</v>
      </c>
      <c r="G454" s="36">
        <v>92228.24</v>
      </c>
      <c r="H454" s="36">
        <v>-75653.759999999995</v>
      </c>
    </row>
    <row r="455" spans="3:8" x14ac:dyDescent="0.3">
      <c r="C455" t="s">
        <v>4718</v>
      </c>
      <c r="D455" t="s">
        <v>4107</v>
      </c>
      <c r="E455" s="36">
        <v>-357607</v>
      </c>
      <c r="F455" s="36">
        <v>409457.04</v>
      </c>
      <c r="G455" s="36">
        <v>558753.76</v>
      </c>
      <c r="H455" s="36">
        <v>-506903.72</v>
      </c>
    </row>
    <row r="456" spans="3:8" x14ac:dyDescent="0.3">
      <c r="C456" t="s">
        <v>4719</v>
      </c>
      <c r="D456" t="s">
        <v>4108</v>
      </c>
      <c r="E456" s="36">
        <v>-31813.439999999999</v>
      </c>
      <c r="F456" s="36">
        <v>35147.06</v>
      </c>
      <c r="G456" s="36">
        <v>38481.49</v>
      </c>
      <c r="H456" s="36">
        <v>-35147.870000000003</v>
      </c>
    </row>
    <row r="457" spans="3:8" x14ac:dyDescent="0.3">
      <c r="C457" t="s">
        <v>4720</v>
      </c>
      <c r="D457" t="s">
        <v>4109</v>
      </c>
      <c r="E457" s="36">
        <v>-281305</v>
      </c>
      <c r="F457" s="36">
        <v>250879.69</v>
      </c>
      <c r="G457" s="36">
        <v>337785.61</v>
      </c>
      <c r="H457" s="36">
        <v>-368210.92</v>
      </c>
    </row>
    <row r="458" spans="3:8" x14ac:dyDescent="0.3">
      <c r="C458" t="s">
        <v>2124</v>
      </c>
      <c r="D458" t="s">
        <v>2124</v>
      </c>
    </row>
    <row r="459" spans="3:8" x14ac:dyDescent="0.3">
      <c r="C459" t="s">
        <v>4721</v>
      </c>
      <c r="D459" t="s">
        <v>4110</v>
      </c>
      <c r="E459" s="36">
        <v>-8829501.7599999998</v>
      </c>
      <c r="F459" s="36">
        <v>2774115.52</v>
      </c>
      <c r="G459" s="36">
        <v>0</v>
      </c>
      <c r="H459" s="36">
        <v>-6055386.2400000002</v>
      </c>
    </row>
    <row r="460" spans="3:8" x14ac:dyDescent="0.3">
      <c r="C460" t="s">
        <v>4722</v>
      </c>
      <c r="D460" t="s">
        <v>4111</v>
      </c>
      <c r="E460" s="36">
        <v>-8816074.5700000003</v>
      </c>
      <c r="F460" s="36">
        <v>2774115.52</v>
      </c>
      <c r="G460" s="36">
        <v>0</v>
      </c>
      <c r="H460" s="36">
        <v>-6041959.0499999998</v>
      </c>
    </row>
    <row r="461" spans="3:8" x14ac:dyDescent="0.3">
      <c r="C461" t="s">
        <v>4723</v>
      </c>
      <c r="D461" t="s">
        <v>4112</v>
      </c>
      <c r="E461" s="36">
        <v>-5896347.0700000003</v>
      </c>
      <c r="F461" s="36">
        <v>2763899.37</v>
      </c>
      <c r="G461" s="36">
        <v>0</v>
      </c>
      <c r="H461" s="36">
        <v>-3132447.7</v>
      </c>
    </row>
    <row r="462" spans="3:8" x14ac:dyDescent="0.3">
      <c r="C462" t="s">
        <v>4724</v>
      </c>
      <c r="D462" t="s">
        <v>4113</v>
      </c>
      <c r="E462" s="36">
        <v>-2808928.22</v>
      </c>
      <c r="F462" s="36">
        <v>0</v>
      </c>
      <c r="G462" s="36">
        <v>0</v>
      </c>
      <c r="H462" s="36">
        <v>-2808928.22</v>
      </c>
    </row>
    <row r="463" spans="3:8" x14ac:dyDescent="0.3">
      <c r="C463" t="s">
        <v>4725</v>
      </c>
      <c r="D463" t="s">
        <v>4114</v>
      </c>
      <c r="E463" s="36">
        <v>-110799.28</v>
      </c>
      <c r="F463" s="36">
        <v>10216.15</v>
      </c>
      <c r="G463" s="36">
        <v>0</v>
      </c>
      <c r="H463" s="36">
        <v>-100583.13</v>
      </c>
    </row>
    <row r="464" spans="3:8" x14ac:dyDescent="0.3">
      <c r="C464" t="s">
        <v>2124</v>
      </c>
      <c r="D464" t="s">
        <v>2124</v>
      </c>
    </row>
    <row r="465" spans="3:8" x14ac:dyDescent="0.3">
      <c r="C465" t="s">
        <v>4726</v>
      </c>
      <c r="D465" t="s">
        <v>4115</v>
      </c>
      <c r="E465" s="36">
        <v>-13427.19</v>
      </c>
      <c r="F465" s="36">
        <v>0</v>
      </c>
      <c r="G465" s="36">
        <v>0</v>
      </c>
      <c r="H465" s="36">
        <v>-13427.19</v>
      </c>
    </row>
    <row r="466" spans="3:8" x14ac:dyDescent="0.3">
      <c r="C466" t="s">
        <v>4727</v>
      </c>
      <c r="D466" t="s">
        <v>4116</v>
      </c>
      <c r="E466" s="36">
        <v>-13427.19</v>
      </c>
      <c r="F466" s="36">
        <v>0</v>
      </c>
      <c r="G466" s="36">
        <v>0</v>
      </c>
      <c r="H466" s="36">
        <v>-13427.19</v>
      </c>
    </row>
    <row r="467" spans="3:8" x14ac:dyDescent="0.3">
      <c r="C467" t="s">
        <v>2124</v>
      </c>
      <c r="D467" t="s">
        <v>2124</v>
      </c>
    </row>
    <row r="468" spans="3:8" x14ac:dyDescent="0.3">
      <c r="C468" t="s">
        <v>4728</v>
      </c>
      <c r="D468" t="s">
        <v>4117</v>
      </c>
      <c r="E468" s="36">
        <v>-188783.22</v>
      </c>
      <c r="F468" s="36">
        <v>197754.26</v>
      </c>
      <c r="G468" s="36">
        <v>209914.64</v>
      </c>
      <c r="H468" s="36">
        <v>-200943.6</v>
      </c>
    </row>
    <row r="469" spans="3:8" x14ac:dyDescent="0.3">
      <c r="C469" t="s">
        <v>4729</v>
      </c>
      <c r="D469" t="s">
        <v>4118</v>
      </c>
      <c r="E469" s="36">
        <v>-188783.22</v>
      </c>
      <c r="F469" s="36">
        <v>197754.26</v>
      </c>
      <c r="G469" s="36">
        <v>209914.64</v>
      </c>
      <c r="H469" s="36">
        <v>-200943.6</v>
      </c>
    </row>
    <row r="470" spans="3:8" x14ac:dyDescent="0.3">
      <c r="C470" t="s">
        <v>4730</v>
      </c>
      <c r="D470" t="s">
        <v>4119</v>
      </c>
      <c r="E470" s="36">
        <v>-797.56</v>
      </c>
      <c r="F470" s="36">
        <v>797.56</v>
      </c>
      <c r="G470" s="36">
        <v>0</v>
      </c>
      <c r="H470" s="36">
        <v>0</v>
      </c>
    </row>
    <row r="471" spans="3:8" x14ac:dyDescent="0.3">
      <c r="C471" t="s">
        <v>4731</v>
      </c>
      <c r="D471" t="s">
        <v>4120</v>
      </c>
      <c r="E471" s="36">
        <v>-187985.66</v>
      </c>
      <c r="F471" s="36">
        <v>196956.7</v>
      </c>
      <c r="G471" s="36">
        <v>209914.64</v>
      </c>
      <c r="H471" s="36">
        <v>-200943.6</v>
      </c>
    </row>
    <row r="472" spans="3:8" x14ac:dyDescent="0.3">
      <c r="C472" t="s">
        <v>2124</v>
      </c>
      <c r="D472" t="s">
        <v>2124</v>
      </c>
    </row>
    <row r="473" spans="3:8" x14ac:dyDescent="0.3">
      <c r="C473" t="s">
        <v>4732</v>
      </c>
      <c r="D473" t="s">
        <v>4121</v>
      </c>
      <c r="E473" s="36">
        <v>-1003895.78</v>
      </c>
      <c r="F473" s="36">
        <v>5164877.58</v>
      </c>
      <c r="G473" s="36">
        <v>7133418.71</v>
      </c>
      <c r="H473" s="36">
        <v>-2972436.91</v>
      </c>
    </row>
    <row r="474" spans="3:8" x14ac:dyDescent="0.3">
      <c r="C474" t="s">
        <v>4733</v>
      </c>
      <c r="D474" t="s">
        <v>4122</v>
      </c>
      <c r="E474" s="36">
        <v>-1003895.78</v>
      </c>
      <c r="F474" s="36">
        <v>5164877.58</v>
      </c>
      <c r="G474" s="36">
        <v>7133418.71</v>
      </c>
      <c r="H474" s="36">
        <v>-2972436.91</v>
      </c>
    </row>
    <row r="475" spans="3:8" x14ac:dyDescent="0.3">
      <c r="C475" t="s">
        <v>4734</v>
      </c>
      <c r="D475" t="s">
        <v>4123</v>
      </c>
      <c r="E475" s="36">
        <v>-774582.94</v>
      </c>
      <c r="F475" s="36">
        <v>1344714.22</v>
      </c>
      <c r="G475" s="36">
        <v>2772054.13</v>
      </c>
      <c r="H475" s="36">
        <v>-2201922.85</v>
      </c>
    </row>
    <row r="476" spans="3:8" x14ac:dyDescent="0.3">
      <c r="C476" t="s">
        <v>4735</v>
      </c>
      <c r="D476" t="s">
        <v>4124</v>
      </c>
      <c r="E476" s="36">
        <v>-229312.84</v>
      </c>
      <c r="F476" s="36">
        <v>1103384.8400000001</v>
      </c>
      <c r="G476" s="36">
        <v>1644586.06</v>
      </c>
      <c r="H476" s="36">
        <v>-770514.06</v>
      </c>
    </row>
    <row r="477" spans="3:8" x14ac:dyDescent="0.3">
      <c r="C477" t="s">
        <v>4736</v>
      </c>
      <c r="D477" t="s">
        <v>4125</v>
      </c>
      <c r="E477" s="36">
        <v>0</v>
      </c>
      <c r="F477" s="36">
        <v>2716778.52</v>
      </c>
      <c r="G477" s="36">
        <v>2716778.52</v>
      </c>
      <c r="H477" s="36">
        <v>0</v>
      </c>
    </row>
    <row r="478" spans="3:8" x14ac:dyDescent="0.3">
      <c r="C478" t="s">
        <v>2124</v>
      </c>
      <c r="D478" t="s">
        <v>2124</v>
      </c>
    </row>
    <row r="479" spans="3:8" x14ac:dyDescent="0.3">
      <c r="C479" t="s">
        <v>4737</v>
      </c>
      <c r="D479" t="s">
        <v>4126</v>
      </c>
      <c r="E479" s="36">
        <v>-2596139.36</v>
      </c>
      <c r="F479" s="36">
        <v>39338268.840000004</v>
      </c>
      <c r="G479" s="36">
        <v>49434566.100000001</v>
      </c>
      <c r="H479" s="36">
        <v>-12692436.619999999</v>
      </c>
    </row>
    <row r="480" spans="3:8" x14ac:dyDescent="0.3">
      <c r="C480" t="s">
        <v>4738</v>
      </c>
      <c r="D480" t="s">
        <v>4127</v>
      </c>
      <c r="E480" s="36">
        <v>-2596139.36</v>
      </c>
      <c r="F480" s="36">
        <v>39338268.840000004</v>
      </c>
      <c r="G480" s="36">
        <v>49434566.100000001</v>
      </c>
      <c r="H480" s="36">
        <v>-12692436.619999999</v>
      </c>
    </row>
    <row r="481" spans="3:8" x14ac:dyDescent="0.3">
      <c r="C481" t="s">
        <v>4739</v>
      </c>
      <c r="D481" t="s">
        <v>4128</v>
      </c>
      <c r="E481" s="36">
        <v>-13247.77</v>
      </c>
      <c r="F481" s="36">
        <v>13247.77</v>
      </c>
      <c r="G481" s="36">
        <v>0</v>
      </c>
      <c r="H481" s="36">
        <v>0</v>
      </c>
    </row>
    <row r="482" spans="3:8" x14ac:dyDescent="0.3">
      <c r="C482" t="s">
        <v>4740</v>
      </c>
      <c r="D482" t="s">
        <v>4129</v>
      </c>
      <c r="E482" s="36">
        <v>-2582891.59</v>
      </c>
      <c r="F482" s="36">
        <v>2698104.05</v>
      </c>
      <c r="G482" s="36">
        <v>239949.47</v>
      </c>
      <c r="H482" s="36">
        <v>-124737.01</v>
      </c>
    </row>
    <row r="483" spans="3:8" x14ac:dyDescent="0.3">
      <c r="C483" t="s">
        <v>4741</v>
      </c>
      <c r="D483" t="s">
        <v>4130</v>
      </c>
      <c r="E483" s="36">
        <v>0</v>
      </c>
      <c r="F483" s="36">
        <v>36626917.019999996</v>
      </c>
      <c r="G483" s="36">
        <v>48702439.079999998</v>
      </c>
      <c r="H483" s="36">
        <v>-12075522.060000001</v>
      </c>
    </row>
    <row r="484" spans="3:8" x14ac:dyDescent="0.3">
      <c r="C484" t="s">
        <v>4742</v>
      </c>
      <c r="D484" t="s">
        <v>4131</v>
      </c>
      <c r="E484" s="36">
        <v>0</v>
      </c>
      <c r="F484" s="36">
        <v>0</v>
      </c>
      <c r="G484" s="36">
        <v>492177.55</v>
      </c>
      <c r="H484" s="36">
        <v>-492177.55</v>
      </c>
    </row>
    <row r="485" spans="3:8" x14ac:dyDescent="0.3">
      <c r="C485" t="s">
        <v>2124</v>
      </c>
      <c r="D485" t="s">
        <v>2124</v>
      </c>
    </row>
    <row r="486" spans="3:8" x14ac:dyDescent="0.3">
      <c r="C486" t="s">
        <v>4743</v>
      </c>
      <c r="D486" t="s">
        <v>4132</v>
      </c>
      <c r="E486" s="36">
        <v>-48715220.960000001</v>
      </c>
      <c r="F486" s="36">
        <v>31278900.09</v>
      </c>
      <c r="G486" s="36">
        <v>49222298.859999999</v>
      </c>
      <c r="H486" s="36">
        <v>-66658619.729999997</v>
      </c>
    </row>
    <row r="487" spans="3:8" x14ac:dyDescent="0.3">
      <c r="C487" t="s">
        <v>4744</v>
      </c>
      <c r="D487" t="s">
        <v>4133</v>
      </c>
      <c r="E487" s="36">
        <v>-3901355.39</v>
      </c>
      <c r="F487" s="36">
        <v>998428.19</v>
      </c>
      <c r="G487" s="36">
        <v>33344532.93</v>
      </c>
      <c r="H487" s="36">
        <v>-36247460.130000003</v>
      </c>
    </row>
    <row r="488" spans="3:8" x14ac:dyDescent="0.3">
      <c r="C488" t="s">
        <v>4745</v>
      </c>
      <c r="D488" t="s">
        <v>4134</v>
      </c>
      <c r="E488" s="36">
        <v>-439113.51</v>
      </c>
      <c r="F488" s="36">
        <v>163418.76</v>
      </c>
      <c r="G488" s="36">
        <v>33317541.27</v>
      </c>
      <c r="H488" s="36">
        <v>-33593236.020000003</v>
      </c>
    </row>
    <row r="489" spans="3:8" x14ac:dyDescent="0.3">
      <c r="C489" t="s">
        <v>4746</v>
      </c>
      <c r="D489" t="s">
        <v>4135</v>
      </c>
      <c r="E489" s="36">
        <v>-439113.51</v>
      </c>
      <c r="F489" s="36">
        <v>163418.76</v>
      </c>
      <c r="G489" s="36">
        <v>0</v>
      </c>
      <c r="H489" s="36">
        <v>-275694.75</v>
      </c>
    </row>
    <row r="490" spans="3:8" x14ac:dyDescent="0.3">
      <c r="C490" t="s">
        <v>4747</v>
      </c>
      <c r="D490" t="s">
        <v>4136</v>
      </c>
      <c r="E490" s="36">
        <v>0</v>
      </c>
      <c r="F490" s="36">
        <v>0</v>
      </c>
      <c r="G490" s="36">
        <v>32515268.66</v>
      </c>
      <c r="H490" s="36">
        <v>-32515268.66</v>
      </c>
    </row>
    <row r="491" spans="3:8" x14ac:dyDescent="0.3">
      <c r="C491" t="s">
        <v>4748</v>
      </c>
      <c r="D491" t="s">
        <v>4137</v>
      </c>
      <c r="E491" s="36">
        <v>0</v>
      </c>
      <c r="F491" s="36">
        <v>0</v>
      </c>
      <c r="G491" s="36">
        <v>802272.61</v>
      </c>
      <c r="H491" s="36">
        <v>-802272.61</v>
      </c>
    </row>
    <row r="492" spans="3:8" x14ac:dyDescent="0.3">
      <c r="C492" t="s">
        <v>2124</v>
      </c>
      <c r="D492" t="s">
        <v>2124</v>
      </c>
    </row>
    <row r="493" spans="3:8" x14ac:dyDescent="0.3">
      <c r="C493" t="s">
        <v>4749</v>
      </c>
      <c r="D493" t="s">
        <v>4138</v>
      </c>
      <c r="E493" s="36">
        <v>-2094201.41</v>
      </c>
      <c r="F493" s="36">
        <v>835009.43</v>
      </c>
      <c r="G493" s="36">
        <v>26991.66</v>
      </c>
      <c r="H493" s="36">
        <v>-1286183.6399999999</v>
      </c>
    </row>
    <row r="494" spans="3:8" x14ac:dyDescent="0.3">
      <c r="C494" t="s">
        <v>4750</v>
      </c>
      <c r="D494" t="s">
        <v>4139</v>
      </c>
      <c r="E494" s="36">
        <v>-138252.07</v>
      </c>
      <c r="F494" s="36">
        <v>48511</v>
      </c>
      <c r="G494" s="36">
        <v>0</v>
      </c>
      <c r="H494" s="36">
        <v>-89741.07</v>
      </c>
    </row>
    <row r="495" spans="3:8" x14ac:dyDescent="0.3">
      <c r="C495" t="s">
        <v>4751</v>
      </c>
      <c r="D495" t="s">
        <v>4140</v>
      </c>
      <c r="E495" s="36">
        <v>-108152.13</v>
      </c>
      <c r="F495" s="36">
        <v>91012.43</v>
      </c>
      <c r="G495" s="36">
        <v>26991.66</v>
      </c>
      <c r="H495" s="36">
        <v>-44131.360000000001</v>
      </c>
    </row>
    <row r="496" spans="3:8" x14ac:dyDescent="0.3">
      <c r="C496" t="s">
        <v>4752</v>
      </c>
      <c r="D496" t="s">
        <v>4141</v>
      </c>
      <c r="E496" s="36">
        <v>-834415</v>
      </c>
      <c r="F496" s="36">
        <v>409458</v>
      </c>
      <c r="G496" s="36">
        <v>0</v>
      </c>
      <c r="H496" s="36">
        <v>-424957</v>
      </c>
    </row>
    <row r="497" spans="3:8" x14ac:dyDescent="0.3">
      <c r="C497" t="s">
        <v>4753</v>
      </c>
      <c r="D497" t="s">
        <v>4142</v>
      </c>
      <c r="E497" s="36">
        <v>-75701.490000000005</v>
      </c>
      <c r="F497" s="36">
        <v>35148</v>
      </c>
      <c r="G497" s="36">
        <v>0</v>
      </c>
      <c r="H497" s="36">
        <v>-40553.49</v>
      </c>
    </row>
    <row r="498" spans="3:8" x14ac:dyDescent="0.3">
      <c r="C498" t="s">
        <v>4754</v>
      </c>
      <c r="D498" t="s">
        <v>4143</v>
      </c>
      <c r="E498" s="36">
        <v>-937680.72</v>
      </c>
      <c r="F498" s="36">
        <v>250880</v>
      </c>
      <c r="G498" s="36">
        <v>0</v>
      </c>
      <c r="H498" s="36">
        <v>-686800.72</v>
      </c>
    </row>
    <row r="499" spans="3:8" x14ac:dyDescent="0.3">
      <c r="C499" t="s">
        <v>2124</v>
      </c>
      <c r="D499" t="s">
        <v>2124</v>
      </c>
    </row>
    <row r="500" spans="3:8" x14ac:dyDescent="0.3">
      <c r="C500" t="s">
        <v>4755</v>
      </c>
      <c r="D500" t="s">
        <v>4144</v>
      </c>
      <c r="E500" s="36">
        <v>-1368040.47</v>
      </c>
      <c r="F500" s="36">
        <v>0</v>
      </c>
      <c r="G500" s="36">
        <v>0</v>
      </c>
      <c r="H500" s="36">
        <v>-1368040.47</v>
      </c>
    </row>
    <row r="501" spans="3:8" x14ac:dyDescent="0.3">
      <c r="C501" t="s">
        <v>4756</v>
      </c>
      <c r="D501" t="s">
        <v>4145</v>
      </c>
      <c r="E501" s="36">
        <v>-1368040.47</v>
      </c>
      <c r="F501" s="36">
        <v>0</v>
      </c>
      <c r="G501" s="36">
        <v>0</v>
      </c>
      <c r="H501" s="36">
        <v>-1368040.47</v>
      </c>
    </row>
    <row r="502" spans="3:8" x14ac:dyDescent="0.3">
      <c r="C502" t="s">
        <v>2124</v>
      </c>
      <c r="D502" t="s">
        <v>2124</v>
      </c>
    </row>
    <row r="503" spans="3:8" x14ac:dyDescent="0.3">
      <c r="C503" t="s">
        <v>4757</v>
      </c>
      <c r="D503" t="s">
        <v>4146</v>
      </c>
      <c r="E503" s="36">
        <v>-44813865.57</v>
      </c>
      <c r="F503" s="36">
        <v>30280471.899999999</v>
      </c>
      <c r="G503" s="36">
        <v>15877765.93</v>
      </c>
      <c r="H503" s="36">
        <v>-30411159.600000001</v>
      </c>
    </row>
    <row r="504" spans="3:8" x14ac:dyDescent="0.3">
      <c r="C504" t="s">
        <v>4758</v>
      </c>
      <c r="D504" t="s">
        <v>4147</v>
      </c>
      <c r="E504" s="36">
        <v>-44813865.57</v>
      </c>
      <c r="F504" s="36">
        <v>30280471.899999999</v>
      </c>
      <c r="G504" s="36">
        <v>15877765.93</v>
      </c>
      <c r="H504" s="36">
        <v>-30411159.600000001</v>
      </c>
    </row>
    <row r="505" spans="3:8" x14ac:dyDescent="0.3">
      <c r="C505" t="s">
        <v>4759</v>
      </c>
      <c r="D505" t="s">
        <v>4148</v>
      </c>
      <c r="E505" s="36">
        <v>-10752358.65</v>
      </c>
      <c r="F505" s="36">
        <v>11783229.75</v>
      </c>
      <c r="G505" s="36">
        <v>2571698.0299999998</v>
      </c>
      <c r="H505" s="36">
        <v>-1540826.93</v>
      </c>
    </row>
    <row r="506" spans="3:8" x14ac:dyDescent="0.3">
      <c r="C506" t="s">
        <v>4760</v>
      </c>
      <c r="D506" t="s">
        <v>4149</v>
      </c>
      <c r="E506" s="36">
        <v>-32139419.390000001</v>
      </c>
      <c r="F506" s="36">
        <v>16575154.619999999</v>
      </c>
      <c r="G506" s="36">
        <v>13306067.9</v>
      </c>
      <c r="H506" s="36">
        <v>-28870332.670000002</v>
      </c>
    </row>
    <row r="507" spans="3:8" x14ac:dyDescent="0.3">
      <c r="C507" t="s">
        <v>4761</v>
      </c>
      <c r="D507" t="s">
        <v>4150</v>
      </c>
      <c r="E507" s="36">
        <v>-1922087.53</v>
      </c>
      <c r="F507" s="36">
        <v>1922087.53</v>
      </c>
      <c r="G507" s="36">
        <v>0</v>
      </c>
      <c r="H507" s="36">
        <v>0</v>
      </c>
    </row>
    <row r="508" spans="3:8" x14ac:dyDescent="0.3">
      <c r="C508" t="s">
        <v>2124</v>
      </c>
      <c r="D508" t="s">
        <v>2124</v>
      </c>
    </row>
    <row r="509" spans="3:8" x14ac:dyDescent="0.3">
      <c r="C509" t="s">
        <v>4762</v>
      </c>
      <c r="D509" t="s">
        <v>4151</v>
      </c>
      <c r="E509" s="36">
        <v>27000048.329999998</v>
      </c>
      <c r="F509" s="36">
        <v>46531494.759999998</v>
      </c>
      <c r="G509" s="36">
        <v>41433090.310000002</v>
      </c>
      <c r="H509" s="36">
        <v>32098452.780000001</v>
      </c>
    </row>
    <row r="510" spans="3:8" x14ac:dyDescent="0.3">
      <c r="C510" t="s">
        <v>4763</v>
      </c>
      <c r="D510" t="s">
        <v>4152</v>
      </c>
      <c r="E510" s="36">
        <v>-240000000</v>
      </c>
      <c r="F510" s="36">
        <v>1855</v>
      </c>
      <c r="G510" s="36">
        <v>1855</v>
      </c>
      <c r="H510" s="36">
        <v>-240000000</v>
      </c>
    </row>
    <row r="511" spans="3:8" x14ac:dyDescent="0.3">
      <c r="C511" t="s">
        <v>4764</v>
      </c>
      <c r="D511" t="s">
        <v>4153</v>
      </c>
      <c r="E511" s="36">
        <v>-240000000</v>
      </c>
      <c r="F511" s="36">
        <v>1855</v>
      </c>
      <c r="G511" s="36">
        <v>1855</v>
      </c>
      <c r="H511" s="36">
        <v>-240000000</v>
      </c>
    </row>
    <row r="512" spans="3:8" x14ac:dyDescent="0.3">
      <c r="C512" t="s">
        <v>4765</v>
      </c>
      <c r="D512" t="s">
        <v>4154</v>
      </c>
      <c r="E512" s="36">
        <v>-5518</v>
      </c>
      <c r="F512" s="36">
        <v>1843</v>
      </c>
      <c r="G512" s="36">
        <v>0</v>
      </c>
      <c r="H512" s="36">
        <v>-3675</v>
      </c>
    </row>
    <row r="513" spans="3:8" x14ac:dyDescent="0.3">
      <c r="C513" t="s">
        <v>4766</v>
      </c>
      <c r="D513" t="s">
        <v>4155</v>
      </c>
      <c r="E513" s="36">
        <v>-73</v>
      </c>
      <c r="F513" s="36">
        <v>12</v>
      </c>
      <c r="G513" s="36">
        <v>0</v>
      </c>
      <c r="H513" s="36">
        <v>-61</v>
      </c>
    </row>
    <row r="514" spans="3:8" x14ac:dyDescent="0.3">
      <c r="C514" t="s">
        <v>4767</v>
      </c>
      <c r="D514" t="s">
        <v>4156</v>
      </c>
      <c r="E514" s="36">
        <v>-239994409</v>
      </c>
      <c r="F514" s="36">
        <v>0</v>
      </c>
      <c r="G514" s="36">
        <v>1855</v>
      </c>
      <c r="H514" s="36">
        <v>-239996264</v>
      </c>
    </row>
    <row r="515" spans="3:8" x14ac:dyDescent="0.3">
      <c r="C515" t="s">
        <v>2124</v>
      </c>
      <c r="D515" t="s">
        <v>2124</v>
      </c>
    </row>
    <row r="516" spans="3:8" x14ac:dyDescent="0.3">
      <c r="C516" t="s">
        <v>4768</v>
      </c>
      <c r="D516" t="s">
        <v>4157</v>
      </c>
      <c r="E516" s="36">
        <v>250483795.00999999</v>
      </c>
      <c r="F516" s="36">
        <v>46529639.759999998</v>
      </c>
      <c r="G516" s="36">
        <v>41431235.310000002</v>
      </c>
      <c r="H516" s="36">
        <v>255582199.46000001</v>
      </c>
    </row>
    <row r="517" spans="3:8" x14ac:dyDescent="0.3">
      <c r="C517" t="s">
        <v>4769</v>
      </c>
      <c r="D517" t="s">
        <v>4158</v>
      </c>
      <c r="E517" s="36">
        <v>1540240.83</v>
      </c>
      <c r="F517" s="36">
        <v>19830797.77</v>
      </c>
      <c r="G517" s="36">
        <v>16272634.15</v>
      </c>
      <c r="H517" s="36">
        <v>5098404.45</v>
      </c>
    </row>
    <row r="518" spans="3:8" x14ac:dyDescent="0.3">
      <c r="C518" t="s">
        <v>4770</v>
      </c>
      <c r="D518" t="s">
        <v>4159</v>
      </c>
      <c r="E518" s="36">
        <v>-2098384.59</v>
      </c>
      <c r="F518" s="36">
        <v>2098384.59</v>
      </c>
      <c r="G518" s="36">
        <v>0</v>
      </c>
      <c r="H518" s="36">
        <v>0</v>
      </c>
    </row>
    <row r="519" spans="3:8" x14ac:dyDescent="0.3">
      <c r="C519" t="s">
        <v>4771</v>
      </c>
      <c r="D519" t="s">
        <v>4160</v>
      </c>
      <c r="E519" s="36">
        <v>3638625.42</v>
      </c>
      <c r="F519" s="36">
        <v>17732413.18</v>
      </c>
      <c r="G519" s="36">
        <v>16272634.15</v>
      </c>
      <c r="H519" s="36">
        <v>5098404.45</v>
      </c>
    </row>
    <row r="520" spans="3:8" x14ac:dyDescent="0.3">
      <c r="C520" t="s">
        <v>2124</v>
      </c>
      <c r="D520" t="s">
        <v>2124</v>
      </c>
    </row>
    <row r="521" spans="3:8" x14ac:dyDescent="0.3">
      <c r="C521" t="s">
        <v>4772</v>
      </c>
      <c r="D521" t="s">
        <v>4161</v>
      </c>
      <c r="E521" s="36">
        <v>248943554.18000001</v>
      </c>
      <c r="F521" s="36">
        <v>26698841.989999998</v>
      </c>
      <c r="G521" s="36">
        <v>25158601.16</v>
      </c>
      <c r="H521" s="36">
        <v>250483795.00999999</v>
      </c>
    </row>
    <row r="522" spans="3:8" x14ac:dyDescent="0.3">
      <c r="C522" t="s">
        <v>4773</v>
      </c>
      <c r="D522" t="s">
        <v>4162</v>
      </c>
      <c r="E522" s="36">
        <v>229521963.03</v>
      </c>
      <c r="F522" s="36">
        <v>26698841.989999998</v>
      </c>
      <c r="G522" s="36">
        <v>5737010.0099999998</v>
      </c>
      <c r="H522" s="36">
        <v>250483795.00999999</v>
      </c>
    </row>
    <row r="523" spans="3:8" x14ac:dyDescent="0.3">
      <c r="C523" t="s">
        <v>4774</v>
      </c>
      <c r="D523" t="s">
        <v>4163</v>
      </c>
      <c r="E523" s="36">
        <v>19421591.149999999</v>
      </c>
      <c r="F523" s="36">
        <v>0</v>
      </c>
      <c r="G523" s="36">
        <v>19421591.149999999</v>
      </c>
      <c r="H523" s="36">
        <v>0</v>
      </c>
    </row>
    <row r="524" spans="3:8" x14ac:dyDescent="0.3">
      <c r="C524" t="s">
        <v>2124</v>
      </c>
      <c r="D524" t="s">
        <v>2124</v>
      </c>
    </row>
    <row r="525" spans="3:8" x14ac:dyDescent="0.3">
      <c r="C525" t="s">
        <v>4775</v>
      </c>
      <c r="D525" t="s">
        <v>4164</v>
      </c>
      <c r="E525" s="36">
        <v>16516253.32</v>
      </c>
      <c r="F525" s="36">
        <v>0</v>
      </c>
      <c r="G525" s="36">
        <v>0</v>
      </c>
      <c r="H525" s="36">
        <v>16516253.32</v>
      </c>
    </row>
    <row r="526" spans="3:8" x14ac:dyDescent="0.3">
      <c r="C526" t="s">
        <v>4776</v>
      </c>
      <c r="D526" t="s">
        <v>4165</v>
      </c>
      <c r="E526" s="36">
        <v>16516253.32</v>
      </c>
      <c r="F526" s="36">
        <v>0</v>
      </c>
      <c r="G526" s="36">
        <v>0</v>
      </c>
      <c r="H526" s="36">
        <v>16516253.32</v>
      </c>
    </row>
    <row r="527" spans="3:8" x14ac:dyDescent="0.3">
      <c r="C527" t="s">
        <v>4777</v>
      </c>
      <c r="D527" t="s">
        <v>4166</v>
      </c>
      <c r="E527" s="36">
        <v>16516253.32</v>
      </c>
      <c r="F527" s="36">
        <v>0</v>
      </c>
      <c r="G527" s="36">
        <v>0</v>
      </c>
      <c r="H527" s="36">
        <v>16516253.32</v>
      </c>
    </row>
    <row r="528" spans="3:8" x14ac:dyDescent="0.3">
      <c r="C528">
        <v>3</v>
      </c>
      <c r="D528" t="s">
        <v>4167</v>
      </c>
      <c r="E528" s="36">
        <v>0</v>
      </c>
      <c r="F528" s="36">
        <v>59359605.420000002</v>
      </c>
      <c r="G528" s="36">
        <v>13282410.75</v>
      </c>
      <c r="H528" s="36">
        <v>46077194.670000002</v>
      </c>
    </row>
    <row r="529" spans="3:8" x14ac:dyDescent="0.3">
      <c r="C529" t="s">
        <v>4778</v>
      </c>
      <c r="D529" t="s">
        <v>4168</v>
      </c>
      <c r="E529" s="36">
        <v>0</v>
      </c>
      <c r="F529" s="36">
        <v>8994819.3100000005</v>
      </c>
      <c r="G529" s="36">
        <v>2061780.41</v>
      </c>
      <c r="H529" s="36">
        <v>6933038.9000000004</v>
      </c>
    </row>
    <row r="530" spans="3:8" x14ac:dyDescent="0.3">
      <c r="C530" t="s">
        <v>4779</v>
      </c>
      <c r="D530" t="s">
        <v>4169</v>
      </c>
      <c r="E530" s="36">
        <v>0</v>
      </c>
      <c r="F530" s="36">
        <v>4135338.34</v>
      </c>
      <c r="G530" s="36">
        <v>52773.91</v>
      </c>
      <c r="H530" s="36">
        <v>4082564.43</v>
      </c>
    </row>
    <row r="531" spans="3:8" x14ac:dyDescent="0.3">
      <c r="C531" t="s">
        <v>4780</v>
      </c>
      <c r="D531" t="s">
        <v>4170</v>
      </c>
      <c r="E531" s="36">
        <v>0</v>
      </c>
      <c r="F531" s="36">
        <v>4135338.34</v>
      </c>
      <c r="G531" s="36">
        <v>52773.91</v>
      </c>
      <c r="H531" s="36">
        <v>4082564.43</v>
      </c>
    </row>
    <row r="532" spans="3:8" x14ac:dyDescent="0.3">
      <c r="C532" t="s">
        <v>4781</v>
      </c>
      <c r="D532" t="s">
        <v>4171</v>
      </c>
      <c r="E532" s="36">
        <v>0</v>
      </c>
      <c r="F532" s="36">
        <v>4130588.51</v>
      </c>
      <c r="G532" s="36">
        <v>13832</v>
      </c>
      <c r="H532" s="36">
        <v>4116756.51</v>
      </c>
    </row>
    <row r="533" spans="3:8" x14ac:dyDescent="0.3">
      <c r="C533" t="s">
        <v>4782</v>
      </c>
      <c r="D533" t="s">
        <v>4172</v>
      </c>
      <c r="E533" s="36">
        <v>0</v>
      </c>
      <c r="F533" s="36">
        <v>4749.83</v>
      </c>
      <c r="G533" s="36">
        <v>38941.910000000003</v>
      </c>
      <c r="H533" s="36">
        <v>-34192.080000000002</v>
      </c>
    </row>
    <row r="534" spans="3:8" x14ac:dyDescent="0.3">
      <c r="C534" t="s">
        <v>2124</v>
      </c>
      <c r="D534" t="s">
        <v>2124</v>
      </c>
    </row>
    <row r="535" spans="3:8" x14ac:dyDescent="0.3">
      <c r="C535" t="s">
        <v>4783</v>
      </c>
      <c r="D535" t="s">
        <v>4173</v>
      </c>
      <c r="E535" s="36">
        <v>0</v>
      </c>
      <c r="F535" s="36">
        <v>2866476.67</v>
      </c>
      <c r="G535" s="36">
        <v>307145.53999999998</v>
      </c>
      <c r="H535" s="36">
        <v>2559331.13</v>
      </c>
    </row>
    <row r="536" spans="3:8" x14ac:dyDescent="0.3">
      <c r="C536" t="s">
        <v>4784</v>
      </c>
      <c r="D536" t="s">
        <v>4174</v>
      </c>
      <c r="E536" s="36">
        <v>0</v>
      </c>
      <c r="F536" s="36">
        <v>357347.9</v>
      </c>
      <c r="G536" s="36">
        <v>0.95</v>
      </c>
      <c r="H536" s="36">
        <v>357346.95</v>
      </c>
    </row>
    <row r="537" spans="3:8" x14ac:dyDescent="0.3">
      <c r="C537" t="s">
        <v>4785</v>
      </c>
      <c r="D537" t="s">
        <v>4175</v>
      </c>
      <c r="E537" s="36">
        <v>0</v>
      </c>
      <c r="F537" s="36">
        <v>550.4</v>
      </c>
      <c r="G537" s="36">
        <v>0</v>
      </c>
      <c r="H537" s="36">
        <v>550.4</v>
      </c>
    </row>
    <row r="538" spans="3:8" x14ac:dyDescent="0.3">
      <c r="C538" t="s">
        <v>4786</v>
      </c>
      <c r="D538" t="s">
        <v>4176</v>
      </c>
      <c r="E538" s="36">
        <v>0</v>
      </c>
      <c r="F538" s="36">
        <v>260980.64</v>
      </c>
      <c r="G538" s="36">
        <v>0.95</v>
      </c>
      <c r="H538" s="36">
        <v>260979.69</v>
      </c>
    </row>
    <row r="539" spans="3:8" x14ac:dyDescent="0.3">
      <c r="C539" t="s">
        <v>4787</v>
      </c>
      <c r="D539" t="s">
        <v>4177</v>
      </c>
      <c r="E539" s="36">
        <v>0</v>
      </c>
      <c r="F539" s="36">
        <v>95816.86</v>
      </c>
      <c r="G539" s="36">
        <v>0</v>
      </c>
      <c r="H539" s="36">
        <v>95816.86</v>
      </c>
    </row>
    <row r="540" spans="3:8" x14ac:dyDescent="0.3">
      <c r="C540" t="s">
        <v>2124</v>
      </c>
      <c r="D540" t="s">
        <v>2124</v>
      </c>
    </row>
    <row r="541" spans="3:8" x14ac:dyDescent="0.3">
      <c r="C541" t="s">
        <v>4788</v>
      </c>
      <c r="D541" t="s">
        <v>4178</v>
      </c>
      <c r="E541" s="36">
        <v>0</v>
      </c>
      <c r="F541" s="36">
        <v>2509128.77</v>
      </c>
      <c r="G541" s="36">
        <v>307144.59000000003</v>
      </c>
      <c r="H541" s="36">
        <v>2201984.1800000002</v>
      </c>
    </row>
    <row r="542" spans="3:8" x14ac:dyDescent="0.3">
      <c r="C542" t="s">
        <v>4789</v>
      </c>
      <c r="D542" t="s">
        <v>4179</v>
      </c>
      <c r="E542" s="36">
        <v>0</v>
      </c>
      <c r="F542" s="36">
        <v>1800</v>
      </c>
      <c r="G542" s="36">
        <v>0</v>
      </c>
      <c r="H542" s="36">
        <v>1800</v>
      </c>
    </row>
    <row r="543" spans="3:8" x14ac:dyDescent="0.3">
      <c r="C543" t="s">
        <v>4790</v>
      </c>
      <c r="D543" t="s">
        <v>4180</v>
      </c>
      <c r="E543" s="36">
        <v>0</v>
      </c>
      <c r="F543" s="36">
        <v>33947.82</v>
      </c>
      <c r="G543" s="36">
        <v>0</v>
      </c>
      <c r="H543" s="36">
        <v>33947.82</v>
      </c>
    </row>
    <row r="544" spans="3:8" x14ac:dyDescent="0.3">
      <c r="C544" t="s">
        <v>4792</v>
      </c>
      <c r="D544" t="s">
        <v>4181</v>
      </c>
      <c r="E544" s="36">
        <v>0</v>
      </c>
      <c r="F544" s="36">
        <v>492907.93</v>
      </c>
      <c r="G544" s="36">
        <v>306694.59000000003</v>
      </c>
      <c r="H544" s="36">
        <v>186213.34</v>
      </c>
    </row>
    <row r="545" spans="3:8" x14ac:dyDescent="0.3">
      <c r="C545" t="s">
        <v>4793</v>
      </c>
      <c r="D545" t="s">
        <v>4182</v>
      </c>
      <c r="E545" s="36">
        <v>0</v>
      </c>
      <c r="F545" s="36">
        <v>41005.910000000003</v>
      </c>
      <c r="G545" s="36">
        <v>0</v>
      </c>
      <c r="H545" s="36">
        <v>41005.910000000003</v>
      </c>
    </row>
    <row r="546" spans="3:8" x14ac:dyDescent="0.3">
      <c r="C546" t="s">
        <v>4794</v>
      </c>
      <c r="D546" t="s">
        <v>4183</v>
      </c>
      <c r="E546" s="36">
        <v>0</v>
      </c>
      <c r="F546" s="36">
        <v>22588.74</v>
      </c>
      <c r="G546" s="36">
        <v>450</v>
      </c>
      <c r="H546" s="36">
        <v>22138.74</v>
      </c>
    </row>
    <row r="547" spans="3:8" x14ac:dyDescent="0.3">
      <c r="C547" t="s">
        <v>4795</v>
      </c>
      <c r="D547" t="s">
        <v>4184</v>
      </c>
      <c r="E547" s="36">
        <v>0</v>
      </c>
      <c r="F547" s="36">
        <v>1916789.59</v>
      </c>
      <c r="G547" s="36">
        <v>0</v>
      </c>
      <c r="H547" s="36">
        <v>1916789.59</v>
      </c>
    </row>
    <row r="548" spans="3:8" x14ac:dyDescent="0.3">
      <c r="C548" t="s">
        <v>4796</v>
      </c>
      <c r="D548" t="s">
        <v>4185</v>
      </c>
      <c r="E548" s="36">
        <v>0</v>
      </c>
      <c r="F548" s="36">
        <v>88.78</v>
      </c>
      <c r="G548" s="36">
        <v>0</v>
      </c>
      <c r="H548" s="36">
        <v>88.78</v>
      </c>
    </row>
    <row r="549" spans="3:8" x14ac:dyDescent="0.3">
      <c r="C549" t="s">
        <v>2124</v>
      </c>
      <c r="D549" t="s">
        <v>2124</v>
      </c>
    </row>
    <row r="550" spans="3:8" x14ac:dyDescent="0.3">
      <c r="C550" t="s">
        <v>4797</v>
      </c>
      <c r="D550" t="s">
        <v>4186</v>
      </c>
      <c r="E550" s="36">
        <v>0</v>
      </c>
      <c r="F550" s="36">
        <v>1993004.3</v>
      </c>
      <c r="G550" s="36">
        <v>1701860.96</v>
      </c>
      <c r="H550" s="36">
        <v>291143.34000000003</v>
      </c>
    </row>
    <row r="551" spans="3:8" x14ac:dyDescent="0.3">
      <c r="C551" t="s">
        <v>4798</v>
      </c>
      <c r="D551" t="s">
        <v>4187</v>
      </c>
      <c r="E551" s="36">
        <v>0</v>
      </c>
      <c r="F551" s="36">
        <v>4980</v>
      </c>
      <c r="G551" s="36">
        <v>0</v>
      </c>
      <c r="H551" s="36">
        <v>4980</v>
      </c>
    </row>
    <row r="552" spans="3:8" x14ac:dyDescent="0.3">
      <c r="C552" t="s">
        <v>4799</v>
      </c>
      <c r="D552" t="s">
        <v>4188</v>
      </c>
      <c r="E552" s="36">
        <v>0</v>
      </c>
      <c r="F552" s="36">
        <v>4980</v>
      </c>
      <c r="G552" s="36">
        <v>0</v>
      </c>
      <c r="H552" s="36">
        <v>4980</v>
      </c>
    </row>
    <row r="553" spans="3:8" x14ac:dyDescent="0.3">
      <c r="C553" t="s">
        <v>2124</v>
      </c>
      <c r="D553" t="s">
        <v>2124</v>
      </c>
    </row>
    <row r="554" spans="3:8" x14ac:dyDescent="0.3">
      <c r="C554" t="s">
        <v>4800</v>
      </c>
      <c r="D554" t="s">
        <v>4189</v>
      </c>
      <c r="E554" s="36">
        <v>0</v>
      </c>
      <c r="F554" s="36">
        <v>78501.38</v>
      </c>
      <c r="G554" s="36">
        <v>0</v>
      </c>
      <c r="H554" s="36">
        <v>78501.38</v>
      </c>
    </row>
    <row r="555" spans="3:8" x14ac:dyDescent="0.3">
      <c r="C555" t="s">
        <v>4802</v>
      </c>
      <c r="D555" t="s">
        <v>4190</v>
      </c>
      <c r="E555" s="36">
        <v>0</v>
      </c>
      <c r="F555" s="36">
        <v>2333.0700000000002</v>
      </c>
      <c r="G555" s="36">
        <v>0</v>
      </c>
      <c r="H555" s="36">
        <v>2333.0700000000002</v>
      </c>
    </row>
    <row r="556" spans="3:8" x14ac:dyDescent="0.3">
      <c r="C556" t="s">
        <v>4803</v>
      </c>
      <c r="D556" t="s">
        <v>4191</v>
      </c>
      <c r="E556" s="36">
        <v>0</v>
      </c>
      <c r="F556" s="36">
        <v>285</v>
      </c>
      <c r="G556" s="36">
        <v>0</v>
      </c>
      <c r="H556" s="36">
        <v>285</v>
      </c>
    </row>
    <row r="557" spans="3:8" x14ac:dyDescent="0.3">
      <c r="C557" t="s">
        <v>4804</v>
      </c>
      <c r="D557" t="s">
        <v>4192</v>
      </c>
      <c r="E557" s="36">
        <v>0</v>
      </c>
      <c r="F557" s="36">
        <v>6040</v>
      </c>
      <c r="G557" s="36">
        <v>0</v>
      </c>
      <c r="H557" s="36">
        <v>6040</v>
      </c>
    </row>
    <row r="558" spans="3:8" x14ac:dyDescent="0.3">
      <c r="C558" t="s">
        <v>4805</v>
      </c>
      <c r="D558" t="s">
        <v>4193</v>
      </c>
      <c r="E558" s="36">
        <v>0</v>
      </c>
      <c r="F558" s="36">
        <v>50658.87</v>
      </c>
      <c r="G558" s="36">
        <v>0</v>
      </c>
      <c r="H558" s="36">
        <v>50658.87</v>
      </c>
    </row>
    <row r="559" spans="3:8" x14ac:dyDescent="0.3">
      <c r="C559" t="s">
        <v>4952</v>
      </c>
      <c r="D559" t="s">
        <v>4194</v>
      </c>
      <c r="E559" s="36">
        <v>0</v>
      </c>
      <c r="F559" s="36">
        <v>2352.63</v>
      </c>
      <c r="G559" s="36">
        <v>0</v>
      </c>
      <c r="H559" s="36">
        <v>2352.63</v>
      </c>
    </row>
    <row r="560" spans="3:8" x14ac:dyDescent="0.3">
      <c r="C560" t="s">
        <v>4806</v>
      </c>
      <c r="D560" t="s">
        <v>4195</v>
      </c>
      <c r="E560" s="36">
        <v>0</v>
      </c>
      <c r="F560" s="36">
        <v>16831.810000000001</v>
      </c>
      <c r="G560" s="36">
        <v>0</v>
      </c>
      <c r="H560" s="36">
        <v>16831.810000000001</v>
      </c>
    </row>
    <row r="561" spans="3:8" x14ac:dyDescent="0.3">
      <c r="C561" t="s">
        <v>2124</v>
      </c>
      <c r="D561" t="s">
        <v>2124</v>
      </c>
    </row>
    <row r="562" spans="3:8" x14ac:dyDescent="0.3">
      <c r="C562" t="s">
        <v>4807</v>
      </c>
      <c r="D562" t="s">
        <v>4196</v>
      </c>
      <c r="E562" s="36">
        <v>0</v>
      </c>
      <c r="F562" s="36">
        <v>118352.96000000001</v>
      </c>
      <c r="G562" s="36">
        <v>0</v>
      </c>
      <c r="H562" s="36">
        <v>118352.96000000001</v>
      </c>
    </row>
    <row r="563" spans="3:8" x14ac:dyDescent="0.3">
      <c r="C563" t="s">
        <v>4808</v>
      </c>
      <c r="D563" t="s">
        <v>4197</v>
      </c>
      <c r="E563" s="36">
        <v>0</v>
      </c>
      <c r="F563" s="36">
        <v>118204.95</v>
      </c>
      <c r="G563" s="36">
        <v>0</v>
      </c>
      <c r="H563" s="36">
        <v>118204.95</v>
      </c>
    </row>
    <row r="564" spans="3:8" x14ac:dyDescent="0.3">
      <c r="C564" t="s">
        <v>4809</v>
      </c>
      <c r="D564" t="s">
        <v>4198</v>
      </c>
      <c r="E564" s="36">
        <v>0</v>
      </c>
      <c r="F564" s="36">
        <v>148.01</v>
      </c>
      <c r="G564" s="36">
        <v>0</v>
      </c>
      <c r="H564" s="36">
        <v>148.01</v>
      </c>
    </row>
    <row r="565" spans="3:8" x14ac:dyDescent="0.3">
      <c r="C565" t="s">
        <v>2124</v>
      </c>
      <c r="D565" t="s">
        <v>2124</v>
      </c>
    </row>
    <row r="566" spans="3:8" x14ac:dyDescent="0.3">
      <c r="C566" t="s">
        <v>4815</v>
      </c>
      <c r="D566" t="s">
        <v>4199</v>
      </c>
      <c r="E566" s="36">
        <v>0</v>
      </c>
      <c r="F566" s="36">
        <v>89309</v>
      </c>
      <c r="G566" s="36">
        <v>0</v>
      </c>
      <c r="H566" s="36">
        <v>89309</v>
      </c>
    </row>
    <row r="567" spans="3:8" x14ac:dyDescent="0.3">
      <c r="C567" t="s">
        <v>4816</v>
      </c>
      <c r="D567" t="s">
        <v>4200</v>
      </c>
      <c r="E567" s="36">
        <v>0</v>
      </c>
      <c r="F567" s="36">
        <v>89309</v>
      </c>
      <c r="G567" s="36">
        <v>0</v>
      </c>
      <c r="H567" s="36">
        <v>89309</v>
      </c>
    </row>
    <row r="568" spans="3:8" x14ac:dyDescent="0.3">
      <c r="C568" t="s">
        <v>2124</v>
      </c>
      <c r="D568" t="s">
        <v>2124</v>
      </c>
    </row>
    <row r="569" spans="3:8" x14ac:dyDescent="0.3">
      <c r="C569" t="s">
        <v>4817</v>
      </c>
      <c r="D569" t="s">
        <v>4201</v>
      </c>
      <c r="E569" s="36">
        <v>0</v>
      </c>
      <c r="F569" s="36">
        <v>1701860.96</v>
      </c>
      <c r="G569" s="36">
        <v>1701860.96</v>
      </c>
      <c r="H569" s="36">
        <v>0</v>
      </c>
    </row>
    <row r="570" spans="3:8" x14ac:dyDescent="0.3">
      <c r="C570" t="s">
        <v>4818</v>
      </c>
      <c r="D570" t="s">
        <v>4202</v>
      </c>
      <c r="E570" s="36">
        <v>0</v>
      </c>
      <c r="F570" s="36">
        <v>1701860.96</v>
      </c>
      <c r="G570" s="36">
        <v>1701860.96</v>
      </c>
      <c r="H570" s="36">
        <v>0</v>
      </c>
    </row>
    <row r="571" spans="3:8" x14ac:dyDescent="0.3">
      <c r="C571" t="s">
        <v>2124</v>
      </c>
      <c r="D571" t="s">
        <v>2124</v>
      </c>
    </row>
    <row r="572" spans="3:8" x14ac:dyDescent="0.3">
      <c r="C572" t="s">
        <v>4819</v>
      </c>
      <c r="D572" t="s">
        <v>4203</v>
      </c>
      <c r="E572" s="36">
        <v>0</v>
      </c>
      <c r="F572" s="36">
        <v>50364786.109999999</v>
      </c>
      <c r="G572" s="36">
        <v>11220630.34</v>
      </c>
      <c r="H572" s="36">
        <v>39144155.770000003</v>
      </c>
    </row>
    <row r="573" spans="3:8" x14ac:dyDescent="0.3">
      <c r="C573" t="s">
        <v>4820</v>
      </c>
      <c r="D573" t="s">
        <v>4204</v>
      </c>
      <c r="E573" s="36">
        <v>0</v>
      </c>
      <c r="F573" s="36">
        <v>50339529.630000003</v>
      </c>
      <c r="G573" s="36">
        <v>11220630.34</v>
      </c>
      <c r="H573" s="36">
        <v>39118899.289999999</v>
      </c>
    </row>
    <row r="574" spans="3:8" x14ac:dyDescent="0.3">
      <c r="C574" t="s">
        <v>4821</v>
      </c>
      <c r="D574" t="s">
        <v>4205</v>
      </c>
      <c r="E574" s="36">
        <v>0</v>
      </c>
      <c r="F574" s="36">
        <v>14310911.689999999</v>
      </c>
      <c r="G574" s="36">
        <v>1314795.79</v>
      </c>
      <c r="H574" s="36">
        <v>12996115.9</v>
      </c>
    </row>
    <row r="575" spans="3:8" x14ac:dyDescent="0.3">
      <c r="C575" t="s">
        <v>4822</v>
      </c>
      <c r="D575" t="s">
        <v>4206</v>
      </c>
      <c r="E575" s="36">
        <v>0</v>
      </c>
      <c r="F575" s="36">
        <v>401005.61</v>
      </c>
      <c r="G575" s="36">
        <v>130.26</v>
      </c>
      <c r="H575" s="36">
        <v>400875.35</v>
      </c>
    </row>
    <row r="576" spans="3:8" x14ac:dyDescent="0.3">
      <c r="C576" t="s">
        <v>4823</v>
      </c>
      <c r="D576" t="s">
        <v>4207</v>
      </c>
      <c r="E576" s="36">
        <v>0</v>
      </c>
      <c r="F576" s="36">
        <v>338557.57</v>
      </c>
      <c r="G576" s="36">
        <v>201.43</v>
      </c>
      <c r="H576" s="36">
        <v>338356.14</v>
      </c>
    </row>
    <row r="577" spans="3:8" x14ac:dyDescent="0.3">
      <c r="C577" t="s">
        <v>4824</v>
      </c>
      <c r="D577" t="s">
        <v>4208</v>
      </c>
      <c r="E577" s="36">
        <v>0</v>
      </c>
      <c r="F577" s="36">
        <v>7334.77</v>
      </c>
      <c r="G577" s="36">
        <v>0</v>
      </c>
      <c r="H577" s="36">
        <v>7334.77</v>
      </c>
    </row>
    <row r="578" spans="3:8" x14ac:dyDescent="0.3">
      <c r="C578" t="s">
        <v>4825</v>
      </c>
      <c r="D578" t="s">
        <v>4209</v>
      </c>
      <c r="E578" s="36">
        <v>0</v>
      </c>
      <c r="F578" s="36">
        <v>93949.93</v>
      </c>
      <c r="G578" s="36">
        <v>253.12</v>
      </c>
      <c r="H578" s="36">
        <v>93696.81</v>
      </c>
    </row>
    <row r="579" spans="3:8" x14ac:dyDescent="0.3">
      <c r="C579" t="s">
        <v>4826</v>
      </c>
      <c r="D579" t="s">
        <v>4210</v>
      </c>
      <c r="E579" s="36">
        <v>0</v>
      </c>
      <c r="F579" s="36">
        <v>16443.68</v>
      </c>
      <c r="G579" s="36">
        <v>0</v>
      </c>
      <c r="H579" s="36">
        <v>16443.68</v>
      </c>
    </row>
    <row r="580" spans="3:8" x14ac:dyDescent="0.3">
      <c r="C580" t="s">
        <v>4827</v>
      </c>
      <c r="D580" t="s">
        <v>4211</v>
      </c>
      <c r="E580" s="36">
        <v>0</v>
      </c>
      <c r="F580" s="36">
        <v>5568.24</v>
      </c>
      <c r="G580" s="36">
        <v>0</v>
      </c>
      <c r="H580" s="36">
        <v>5568.24</v>
      </c>
    </row>
    <row r="581" spans="3:8" x14ac:dyDescent="0.3">
      <c r="C581" t="s">
        <v>4828</v>
      </c>
      <c r="D581" t="s">
        <v>4212</v>
      </c>
      <c r="E581" s="36">
        <v>0</v>
      </c>
      <c r="F581" s="36">
        <v>32383.88</v>
      </c>
      <c r="G581" s="36">
        <v>0</v>
      </c>
      <c r="H581" s="36">
        <v>32383.88</v>
      </c>
    </row>
    <row r="582" spans="3:8" x14ac:dyDescent="0.3">
      <c r="C582" t="s">
        <v>4829</v>
      </c>
      <c r="D582" t="s">
        <v>4213</v>
      </c>
      <c r="E582" s="36">
        <v>0</v>
      </c>
      <c r="F582" s="36">
        <v>4593022.21</v>
      </c>
      <c r="G582" s="36">
        <v>0</v>
      </c>
      <c r="H582" s="36">
        <v>4593022.21</v>
      </c>
    </row>
    <row r="583" spans="3:8" x14ac:dyDescent="0.3">
      <c r="C583" t="s">
        <v>4831</v>
      </c>
      <c r="D583" t="s">
        <v>4214</v>
      </c>
      <c r="E583" s="36">
        <v>0</v>
      </c>
      <c r="F583" s="36">
        <v>1207402.24</v>
      </c>
      <c r="G583" s="36">
        <v>18900.46</v>
      </c>
      <c r="H583" s="36">
        <v>1188501.78</v>
      </c>
    </row>
    <row r="584" spans="3:8" x14ac:dyDescent="0.3">
      <c r="C584" t="s">
        <v>4832</v>
      </c>
      <c r="D584" t="s">
        <v>4215</v>
      </c>
      <c r="E584" s="36">
        <v>0</v>
      </c>
      <c r="F584" s="36">
        <v>122700.77</v>
      </c>
      <c r="G584" s="36">
        <v>0</v>
      </c>
      <c r="H584" s="36">
        <v>122700.77</v>
      </c>
    </row>
    <row r="585" spans="3:8" x14ac:dyDescent="0.3">
      <c r="C585" t="s">
        <v>4833</v>
      </c>
      <c r="D585" t="s">
        <v>4216</v>
      </c>
      <c r="E585" s="36">
        <v>0</v>
      </c>
      <c r="F585" s="36">
        <v>362985.65</v>
      </c>
      <c r="G585" s="36">
        <v>0</v>
      </c>
      <c r="H585" s="36">
        <v>362985.65</v>
      </c>
    </row>
    <row r="586" spans="3:8" x14ac:dyDescent="0.3">
      <c r="C586" t="s">
        <v>4834</v>
      </c>
      <c r="D586" t="s">
        <v>4217</v>
      </c>
      <c r="E586" s="36">
        <v>0</v>
      </c>
      <c r="F586" s="36">
        <v>6178853.8099999996</v>
      </c>
      <c r="G586" s="36">
        <v>1272918.81</v>
      </c>
      <c r="H586" s="36">
        <v>4905935</v>
      </c>
    </row>
    <row r="587" spans="3:8" x14ac:dyDescent="0.3">
      <c r="C587" t="s">
        <v>4835</v>
      </c>
      <c r="D587" t="s">
        <v>4218</v>
      </c>
      <c r="E587" s="36">
        <v>0</v>
      </c>
      <c r="F587" s="36">
        <v>2161.9899999999998</v>
      </c>
      <c r="G587" s="36">
        <v>6.78</v>
      </c>
      <c r="H587" s="36">
        <v>2155.21</v>
      </c>
    </row>
    <row r="588" spans="3:8" x14ac:dyDescent="0.3">
      <c r="C588" t="s">
        <v>4836</v>
      </c>
      <c r="D588" t="s">
        <v>4219</v>
      </c>
      <c r="E588" s="36">
        <v>0</v>
      </c>
      <c r="F588" s="36">
        <v>83301.8</v>
      </c>
      <c r="G588" s="36">
        <v>22384.93</v>
      </c>
      <c r="H588" s="36">
        <v>60916.87</v>
      </c>
    </row>
    <row r="589" spans="3:8" x14ac:dyDescent="0.3">
      <c r="C589" t="s">
        <v>4837</v>
      </c>
      <c r="D589" t="s">
        <v>4220</v>
      </c>
      <c r="E589" s="36">
        <v>0</v>
      </c>
      <c r="F589" s="36">
        <v>514113.61</v>
      </c>
      <c r="G589" s="36">
        <v>0</v>
      </c>
      <c r="H589" s="36">
        <v>514113.61</v>
      </c>
    </row>
    <row r="590" spans="3:8" x14ac:dyDescent="0.3">
      <c r="C590" t="s">
        <v>4838</v>
      </c>
      <c r="D590" t="s">
        <v>4221</v>
      </c>
      <c r="E590" s="36">
        <v>0</v>
      </c>
      <c r="F590" s="36">
        <v>28281.61</v>
      </c>
      <c r="G590" s="36">
        <v>0</v>
      </c>
      <c r="H590" s="36">
        <v>28281.61</v>
      </c>
    </row>
    <row r="591" spans="3:8" x14ac:dyDescent="0.3">
      <c r="C591" t="s">
        <v>4840</v>
      </c>
      <c r="D591" t="s">
        <v>4222</v>
      </c>
      <c r="E591" s="36">
        <v>0</v>
      </c>
      <c r="F591" s="36">
        <v>322844.32</v>
      </c>
      <c r="G591" s="36">
        <v>0</v>
      </c>
      <c r="H591" s="36">
        <v>322844.32</v>
      </c>
    </row>
    <row r="592" spans="3:8" x14ac:dyDescent="0.3">
      <c r="C592" t="s">
        <v>2124</v>
      </c>
      <c r="D592" t="s">
        <v>2124</v>
      </c>
    </row>
    <row r="593" spans="3:8" x14ac:dyDescent="0.3">
      <c r="C593" t="s">
        <v>4841</v>
      </c>
      <c r="D593" t="s">
        <v>4223</v>
      </c>
      <c r="E593" s="36">
        <v>0</v>
      </c>
      <c r="F593" s="36">
        <v>4174662.25</v>
      </c>
      <c r="G593" s="36">
        <v>0</v>
      </c>
      <c r="H593" s="36">
        <v>4174662.25</v>
      </c>
    </row>
    <row r="594" spans="3:8" x14ac:dyDescent="0.3">
      <c r="C594" t="s">
        <v>4842</v>
      </c>
      <c r="D594" t="s">
        <v>4224</v>
      </c>
      <c r="E594" s="36">
        <v>0</v>
      </c>
      <c r="F594" s="36">
        <v>879994.54</v>
      </c>
      <c r="G594" s="36">
        <v>0</v>
      </c>
      <c r="H594" s="36">
        <v>879994.54</v>
      </c>
    </row>
    <row r="595" spans="3:8" x14ac:dyDescent="0.3">
      <c r="C595" t="s">
        <v>4843</v>
      </c>
      <c r="D595" t="s">
        <v>4225</v>
      </c>
      <c r="E595" s="36">
        <v>0</v>
      </c>
      <c r="F595" s="36">
        <v>3020324.62</v>
      </c>
      <c r="G595" s="36">
        <v>0</v>
      </c>
      <c r="H595" s="36">
        <v>3020324.62</v>
      </c>
    </row>
    <row r="596" spans="3:8" x14ac:dyDescent="0.3">
      <c r="C596" t="s">
        <v>4844</v>
      </c>
      <c r="D596" t="s">
        <v>4226</v>
      </c>
      <c r="E596" s="36">
        <v>0</v>
      </c>
      <c r="F596" s="36">
        <v>164605.85999999999</v>
      </c>
      <c r="G596" s="36">
        <v>0</v>
      </c>
      <c r="H596" s="36">
        <v>164605.85999999999</v>
      </c>
    </row>
    <row r="597" spans="3:8" x14ac:dyDescent="0.3">
      <c r="C597" t="s">
        <v>4845</v>
      </c>
      <c r="D597" t="s">
        <v>4227</v>
      </c>
      <c r="E597" s="36">
        <v>0</v>
      </c>
      <c r="F597" s="36">
        <v>109737.23</v>
      </c>
      <c r="G597" s="36">
        <v>0</v>
      </c>
      <c r="H597" s="36">
        <v>109737.23</v>
      </c>
    </row>
    <row r="598" spans="3:8" x14ac:dyDescent="0.3">
      <c r="C598" t="s">
        <v>2124</v>
      </c>
      <c r="D598" t="s">
        <v>2124</v>
      </c>
    </row>
    <row r="599" spans="3:8" x14ac:dyDescent="0.3">
      <c r="C599" t="s">
        <v>4846</v>
      </c>
      <c r="D599" t="s">
        <v>4228</v>
      </c>
      <c r="E599" s="36">
        <v>0</v>
      </c>
      <c r="F599" s="36">
        <v>19693789.629999999</v>
      </c>
      <c r="G599" s="36">
        <v>8605822.5999999996</v>
      </c>
      <c r="H599" s="36">
        <v>11087967.029999999</v>
      </c>
    </row>
    <row r="600" spans="3:8" x14ac:dyDescent="0.3">
      <c r="C600" t="s">
        <v>4847</v>
      </c>
      <c r="D600" t="s">
        <v>4229</v>
      </c>
      <c r="E600" s="36">
        <v>0</v>
      </c>
      <c r="F600" s="36">
        <v>1857781.88</v>
      </c>
      <c r="G600" s="36">
        <v>0</v>
      </c>
      <c r="H600" s="36">
        <v>1857781.88</v>
      </c>
    </row>
    <row r="601" spans="3:8" x14ac:dyDescent="0.3">
      <c r="C601" t="s">
        <v>4848</v>
      </c>
      <c r="D601" t="s">
        <v>4230</v>
      </c>
      <c r="E601" s="36">
        <v>0</v>
      </c>
      <c r="F601" s="36">
        <v>1772208.89</v>
      </c>
      <c r="G601" s="36">
        <v>880191.17</v>
      </c>
      <c r="H601" s="36">
        <v>892017.72</v>
      </c>
    </row>
    <row r="602" spans="3:8" x14ac:dyDescent="0.3">
      <c r="C602" t="s">
        <v>4849</v>
      </c>
      <c r="D602" t="s">
        <v>4231</v>
      </c>
      <c r="E602" s="36">
        <v>0</v>
      </c>
      <c r="F602" s="36">
        <v>1924617.36</v>
      </c>
      <c r="G602" s="36">
        <v>1503339.57</v>
      </c>
      <c r="H602" s="36">
        <v>421277.79</v>
      </c>
    </row>
    <row r="603" spans="3:8" x14ac:dyDescent="0.3">
      <c r="C603" t="s">
        <v>4850</v>
      </c>
      <c r="D603" t="s">
        <v>4232</v>
      </c>
      <c r="E603" s="36">
        <v>0</v>
      </c>
      <c r="F603" s="36">
        <v>1059017.1000000001</v>
      </c>
      <c r="G603" s="36">
        <v>0</v>
      </c>
      <c r="H603" s="36">
        <v>1059017.1000000001</v>
      </c>
    </row>
    <row r="604" spans="3:8" x14ac:dyDescent="0.3">
      <c r="C604" t="s">
        <v>4851</v>
      </c>
      <c r="D604" t="s">
        <v>4233</v>
      </c>
      <c r="E604" s="36">
        <v>0</v>
      </c>
      <c r="F604" s="36">
        <v>0</v>
      </c>
      <c r="G604" s="36">
        <v>2846769.86</v>
      </c>
      <c r="H604" s="36">
        <v>-2846769.86</v>
      </c>
    </row>
    <row r="605" spans="3:8" x14ac:dyDescent="0.3">
      <c r="C605" t="s">
        <v>4852</v>
      </c>
      <c r="D605" t="s">
        <v>4234</v>
      </c>
      <c r="E605" s="36">
        <v>0</v>
      </c>
      <c r="F605" s="36">
        <v>13080164.4</v>
      </c>
      <c r="G605" s="36">
        <v>0</v>
      </c>
      <c r="H605" s="36">
        <v>13080164.4</v>
      </c>
    </row>
    <row r="606" spans="3:8" x14ac:dyDescent="0.3">
      <c r="C606" t="s">
        <v>4853</v>
      </c>
      <c r="D606" t="s">
        <v>4235</v>
      </c>
      <c r="E606" s="36">
        <v>0</v>
      </c>
      <c r="F606" s="36">
        <v>0</v>
      </c>
      <c r="G606" s="36">
        <v>3375522</v>
      </c>
      <c r="H606" s="36">
        <v>-3375522</v>
      </c>
    </row>
    <row r="607" spans="3:8" x14ac:dyDescent="0.3">
      <c r="C607" t="s">
        <v>2124</v>
      </c>
      <c r="D607" t="s">
        <v>2124</v>
      </c>
    </row>
    <row r="608" spans="3:8" x14ac:dyDescent="0.3">
      <c r="C608" t="s">
        <v>4854</v>
      </c>
      <c r="D608" t="s">
        <v>4236</v>
      </c>
      <c r="E608" s="36">
        <v>0</v>
      </c>
      <c r="F608" s="36">
        <v>11415121.880000001</v>
      </c>
      <c r="G608" s="36">
        <v>1297423.27</v>
      </c>
      <c r="H608" s="36">
        <v>10117698.609999999</v>
      </c>
    </row>
    <row r="609" spans="3:8" x14ac:dyDescent="0.3">
      <c r="C609" t="s">
        <v>4855</v>
      </c>
      <c r="D609" t="s">
        <v>4237</v>
      </c>
      <c r="E609" s="36">
        <v>0</v>
      </c>
      <c r="F609" s="36">
        <v>148530.17000000001</v>
      </c>
      <c r="G609" s="36">
        <v>0</v>
      </c>
      <c r="H609" s="36">
        <v>148530.17000000001</v>
      </c>
    </row>
    <row r="610" spans="3:8" x14ac:dyDescent="0.3">
      <c r="C610" t="s">
        <v>4856</v>
      </c>
      <c r="D610" t="s">
        <v>4238</v>
      </c>
      <c r="E610" s="36">
        <v>0</v>
      </c>
      <c r="F610" s="36">
        <v>224903.8</v>
      </c>
      <c r="G610" s="36">
        <v>0</v>
      </c>
      <c r="H610" s="36">
        <v>224903.8</v>
      </c>
    </row>
    <row r="611" spans="3:8" x14ac:dyDescent="0.3">
      <c r="C611" t="s">
        <v>4857</v>
      </c>
      <c r="D611" t="s">
        <v>4239</v>
      </c>
      <c r="E611" s="36">
        <v>0</v>
      </c>
      <c r="F611" s="36">
        <v>157.6</v>
      </c>
      <c r="G611" s="36">
        <v>0</v>
      </c>
      <c r="H611" s="36">
        <v>157.6</v>
      </c>
    </row>
    <row r="612" spans="3:8" x14ac:dyDescent="0.3">
      <c r="C612" t="s">
        <v>4858</v>
      </c>
      <c r="D612" t="s">
        <v>4240</v>
      </c>
      <c r="E612" s="36">
        <v>0</v>
      </c>
      <c r="F612" s="36">
        <v>789565.36</v>
      </c>
      <c r="G612" s="36">
        <v>0</v>
      </c>
      <c r="H612" s="36">
        <v>789565.36</v>
      </c>
    </row>
    <row r="613" spans="3:8" x14ac:dyDescent="0.3">
      <c r="C613" t="s">
        <v>4859</v>
      </c>
      <c r="D613" t="s">
        <v>4241</v>
      </c>
      <c r="E613" s="36">
        <v>0</v>
      </c>
      <c r="F613" s="36">
        <v>2000000</v>
      </c>
      <c r="G613" s="36">
        <v>0</v>
      </c>
      <c r="H613" s="36">
        <v>2000000</v>
      </c>
    </row>
    <row r="614" spans="3:8" x14ac:dyDescent="0.3">
      <c r="C614" t="s">
        <v>4860</v>
      </c>
      <c r="D614" t="s">
        <v>4242</v>
      </c>
      <c r="E614" s="36">
        <v>0</v>
      </c>
      <c r="F614" s="36">
        <v>92979.68</v>
      </c>
      <c r="G614" s="36">
        <v>0</v>
      </c>
      <c r="H614" s="36">
        <v>92979.68</v>
      </c>
    </row>
    <row r="615" spans="3:8" x14ac:dyDescent="0.3">
      <c r="C615" t="s">
        <v>4861</v>
      </c>
      <c r="D615" t="s">
        <v>4243</v>
      </c>
      <c r="E615" s="36">
        <v>0</v>
      </c>
      <c r="F615" s="36">
        <v>22829.279999999999</v>
      </c>
      <c r="G615" s="36">
        <v>40.32</v>
      </c>
      <c r="H615" s="36">
        <v>22788.959999999999</v>
      </c>
    </row>
    <row r="616" spans="3:8" x14ac:dyDescent="0.3">
      <c r="C616" t="s">
        <v>4862</v>
      </c>
      <c r="D616" t="s">
        <v>4244</v>
      </c>
      <c r="E616" s="36">
        <v>0</v>
      </c>
      <c r="F616" s="36">
        <v>2180</v>
      </c>
      <c r="G616" s="36">
        <v>0</v>
      </c>
      <c r="H616" s="36">
        <v>2180</v>
      </c>
    </row>
    <row r="617" spans="3:8" x14ac:dyDescent="0.3">
      <c r="C617" t="s">
        <v>4863</v>
      </c>
      <c r="D617" t="s">
        <v>4245</v>
      </c>
      <c r="E617" s="36">
        <v>0</v>
      </c>
      <c r="F617" s="36">
        <v>162422.68</v>
      </c>
      <c r="G617" s="36">
        <v>0</v>
      </c>
      <c r="H617" s="36">
        <v>162422.68</v>
      </c>
    </row>
    <row r="618" spans="3:8" x14ac:dyDescent="0.3">
      <c r="C618" t="s">
        <v>4864</v>
      </c>
      <c r="D618" t="s">
        <v>4246</v>
      </c>
      <c r="E618" s="36">
        <v>0</v>
      </c>
      <c r="F618" s="36">
        <v>26525.88</v>
      </c>
      <c r="G618" s="36">
        <v>0</v>
      </c>
      <c r="H618" s="36">
        <v>26525.88</v>
      </c>
    </row>
    <row r="619" spans="3:8" x14ac:dyDescent="0.3">
      <c r="C619" t="s">
        <v>4865</v>
      </c>
      <c r="D619" t="s">
        <v>4247</v>
      </c>
      <c r="E619" s="36">
        <v>0</v>
      </c>
      <c r="F619" s="36">
        <v>27061.200000000001</v>
      </c>
      <c r="G619" s="36">
        <v>0</v>
      </c>
      <c r="H619" s="36">
        <v>27061.200000000001</v>
      </c>
    </row>
    <row r="620" spans="3:8" x14ac:dyDescent="0.3">
      <c r="C620" t="s">
        <v>4867</v>
      </c>
      <c r="D620" t="s">
        <v>4248</v>
      </c>
      <c r="E620" s="36">
        <v>0</v>
      </c>
      <c r="F620" s="36">
        <v>43664.3</v>
      </c>
      <c r="G620" s="36">
        <v>0</v>
      </c>
      <c r="H620" s="36">
        <v>43664.3</v>
      </c>
    </row>
    <row r="621" spans="3:8" x14ac:dyDescent="0.3">
      <c r="C621" t="s">
        <v>4868</v>
      </c>
      <c r="D621" t="s">
        <v>4249</v>
      </c>
      <c r="E621" s="36">
        <v>0</v>
      </c>
      <c r="F621" s="36">
        <v>411350.69</v>
      </c>
      <c r="G621" s="36">
        <v>75191.48</v>
      </c>
      <c r="H621" s="36">
        <v>336159.21</v>
      </c>
    </row>
    <row r="622" spans="3:8" x14ac:dyDescent="0.3">
      <c r="C622" t="s">
        <v>4869</v>
      </c>
      <c r="D622" t="s">
        <v>4250</v>
      </c>
      <c r="E622" s="36">
        <v>0</v>
      </c>
      <c r="F622" s="36">
        <v>134.72</v>
      </c>
      <c r="G622" s="36">
        <v>0</v>
      </c>
      <c r="H622" s="36">
        <v>134.72</v>
      </c>
    </row>
    <row r="623" spans="3:8" x14ac:dyDescent="0.3">
      <c r="C623" t="s">
        <v>4870</v>
      </c>
      <c r="D623" t="s">
        <v>4251</v>
      </c>
      <c r="E623" s="36">
        <v>0</v>
      </c>
      <c r="F623" s="36">
        <v>52561.63</v>
      </c>
      <c r="G623" s="36">
        <v>0</v>
      </c>
      <c r="H623" s="36">
        <v>52561.63</v>
      </c>
    </row>
    <row r="624" spans="3:8" x14ac:dyDescent="0.3">
      <c r="C624" t="s">
        <v>4871</v>
      </c>
      <c r="D624" t="s">
        <v>4252</v>
      </c>
      <c r="E624" s="36">
        <v>0</v>
      </c>
      <c r="F624" s="36">
        <v>53493.43</v>
      </c>
      <c r="G624" s="36">
        <v>0</v>
      </c>
      <c r="H624" s="36">
        <v>53493.43</v>
      </c>
    </row>
    <row r="625" spans="3:8" x14ac:dyDescent="0.3">
      <c r="C625" t="s">
        <v>4873</v>
      </c>
      <c r="D625" t="s">
        <v>4253</v>
      </c>
      <c r="E625" s="36">
        <v>0</v>
      </c>
      <c r="F625" s="36">
        <v>4362</v>
      </c>
      <c r="G625" s="36">
        <v>0</v>
      </c>
      <c r="H625" s="36">
        <v>4362</v>
      </c>
    </row>
    <row r="626" spans="3:8" x14ac:dyDescent="0.3">
      <c r="C626" t="s">
        <v>4874</v>
      </c>
      <c r="D626" t="s">
        <v>4254</v>
      </c>
      <c r="E626" s="36">
        <v>0</v>
      </c>
      <c r="F626" s="36">
        <v>9045</v>
      </c>
      <c r="G626" s="36">
        <v>0</v>
      </c>
      <c r="H626" s="36">
        <v>9045</v>
      </c>
    </row>
    <row r="627" spans="3:8" x14ac:dyDescent="0.3">
      <c r="C627" t="s">
        <v>4875</v>
      </c>
      <c r="D627" t="s">
        <v>4255</v>
      </c>
      <c r="E627" s="36">
        <v>0</v>
      </c>
      <c r="F627" s="36">
        <v>5439.29</v>
      </c>
      <c r="G627" s="36">
        <v>0</v>
      </c>
      <c r="H627" s="36">
        <v>5439.29</v>
      </c>
    </row>
    <row r="628" spans="3:8" x14ac:dyDescent="0.3">
      <c r="C628" t="s">
        <v>4876</v>
      </c>
      <c r="D628" t="s">
        <v>4256</v>
      </c>
      <c r="E628" s="36">
        <v>0</v>
      </c>
      <c r="F628" s="36">
        <v>13369.93</v>
      </c>
      <c r="G628" s="36">
        <v>0</v>
      </c>
      <c r="H628" s="36">
        <v>13369.93</v>
      </c>
    </row>
    <row r="629" spans="3:8" x14ac:dyDescent="0.3">
      <c r="C629" t="s">
        <v>4877</v>
      </c>
      <c r="D629" t="s">
        <v>4257</v>
      </c>
      <c r="E629" s="36">
        <v>0</v>
      </c>
      <c r="F629" s="36">
        <v>33406.6</v>
      </c>
      <c r="G629" s="36">
        <v>0</v>
      </c>
      <c r="H629" s="36">
        <v>33406.6</v>
      </c>
    </row>
    <row r="630" spans="3:8" x14ac:dyDescent="0.3">
      <c r="C630" t="s">
        <v>4879</v>
      </c>
      <c r="D630" t="s">
        <v>4258</v>
      </c>
      <c r="E630" s="36">
        <v>0</v>
      </c>
      <c r="F630" s="36">
        <v>110355.09</v>
      </c>
      <c r="G630" s="36">
        <v>0</v>
      </c>
      <c r="H630" s="36">
        <v>110355.09</v>
      </c>
    </row>
    <row r="631" spans="3:8" x14ac:dyDescent="0.3">
      <c r="C631" t="s">
        <v>4880</v>
      </c>
      <c r="D631" t="s">
        <v>4259</v>
      </c>
      <c r="E631" s="36">
        <v>0</v>
      </c>
      <c r="F631" s="36">
        <v>5007967.34</v>
      </c>
      <c r="G631" s="36">
        <v>1222191.47</v>
      </c>
      <c r="H631" s="36">
        <v>3785775.87</v>
      </c>
    </row>
    <row r="632" spans="3:8" x14ac:dyDescent="0.3">
      <c r="C632" t="s">
        <v>4881</v>
      </c>
      <c r="D632" t="s">
        <v>4260</v>
      </c>
      <c r="E632" s="36">
        <v>0</v>
      </c>
      <c r="F632" s="36">
        <v>67337.05</v>
      </c>
      <c r="G632" s="36">
        <v>0</v>
      </c>
      <c r="H632" s="36">
        <v>67337.05</v>
      </c>
    </row>
    <row r="633" spans="3:8" x14ac:dyDescent="0.3">
      <c r="C633" t="s">
        <v>4882</v>
      </c>
      <c r="D633" t="s">
        <v>4261</v>
      </c>
      <c r="E633" s="36">
        <v>0</v>
      </c>
      <c r="F633" s="36">
        <v>24887.989999999998</v>
      </c>
      <c r="G633" s="36">
        <v>0</v>
      </c>
      <c r="H633" s="36">
        <v>24887.99</v>
      </c>
    </row>
    <row r="634" spans="3:8" x14ac:dyDescent="0.3">
      <c r="C634" t="s">
        <v>4883</v>
      </c>
      <c r="D634" t="s">
        <v>4262</v>
      </c>
      <c r="E634" s="36">
        <v>0</v>
      </c>
      <c r="F634" s="36">
        <v>132761.85999999999</v>
      </c>
      <c r="G634" s="36">
        <v>0</v>
      </c>
      <c r="H634" s="36">
        <v>132761.85999999999</v>
      </c>
    </row>
    <row r="635" spans="3:8" x14ac:dyDescent="0.3">
      <c r="C635" t="s">
        <v>4884</v>
      </c>
      <c r="D635" t="s">
        <v>4263</v>
      </c>
      <c r="E635" s="36">
        <v>0</v>
      </c>
      <c r="F635" s="36">
        <v>13158.88</v>
      </c>
      <c r="G635" s="36">
        <v>0</v>
      </c>
      <c r="H635" s="36">
        <v>13158.88</v>
      </c>
    </row>
    <row r="636" spans="3:8" x14ac:dyDescent="0.3">
      <c r="C636" t="s">
        <v>4885</v>
      </c>
      <c r="D636" t="s">
        <v>4264</v>
      </c>
      <c r="E636" s="36">
        <v>0</v>
      </c>
      <c r="F636" s="36">
        <v>2477</v>
      </c>
      <c r="G636" s="36">
        <v>0</v>
      </c>
      <c r="H636" s="36">
        <v>2477</v>
      </c>
    </row>
    <row r="637" spans="3:8" x14ac:dyDescent="0.3">
      <c r="C637" t="s">
        <v>4886</v>
      </c>
      <c r="D637" t="s">
        <v>4265</v>
      </c>
      <c r="E637" s="36">
        <v>0</v>
      </c>
      <c r="F637" s="36">
        <v>1569916.4</v>
      </c>
      <c r="G637" s="36">
        <v>0</v>
      </c>
      <c r="H637" s="36">
        <v>1569916.4</v>
      </c>
    </row>
    <row r="638" spans="3:8" x14ac:dyDescent="0.3">
      <c r="C638" t="s">
        <v>4887</v>
      </c>
      <c r="D638" t="s">
        <v>4266</v>
      </c>
      <c r="E638" s="36">
        <v>0</v>
      </c>
      <c r="F638" s="36">
        <v>362277.03</v>
      </c>
      <c r="G638" s="36">
        <v>0</v>
      </c>
      <c r="H638" s="36">
        <v>362277.03</v>
      </c>
    </row>
    <row r="639" spans="3:8" x14ac:dyDescent="0.3">
      <c r="C639" t="s">
        <v>2124</v>
      </c>
      <c r="D639" t="s">
        <v>2124</v>
      </c>
    </row>
    <row r="640" spans="3:8" x14ac:dyDescent="0.3">
      <c r="C640" t="s">
        <v>4888</v>
      </c>
      <c r="D640" t="s">
        <v>4267</v>
      </c>
      <c r="E640" s="36">
        <v>0</v>
      </c>
      <c r="F640" s="36">
        <v>343258.95</v>
      </c>
      <c r="G640" s="36">
        <v>0</v>
      </c>
      <c r="H640" s="36">
        <v>343258.95</v>
      </c>
    </row>
    <row r="641" spans="3:8" x14ac:dyDescent="0.3">
      <c r="C641" t="s">
        <v>4889</v>
      </c>
      <c r="D641" t="s">
        <v>4268</v>
      </c>
      <c r="E641" s="36">
        <v>0</v>
      </c>
      <c r="F641" s="36">
        <v>7716.97</v>
      </c>
      <c r="G641" s="36">
        <v>0</v>
      </c>
      <c r="H641" s="36">
        <v>7716.97</v>
      </c>
    </row>
    <row r="642" spans="3:8" x14ac:dyDescent="0.3">
      <c r="C642" t="s">
        <v>4890</v>
      </c>
      <c r="D642" t="s">
        <v>4269</v>
      </c>
      <c r="E642" s="36">
        <v>0</v>
      </c>
      <c r="F642" s="36">
        <v>2548.66</v>
      </c>
      <c r="G642" s="36">
        <v>0</v>
      </c>
      <c r="H642" s="36">
        <v>2548.66</v>
      </c>
    </row>
    <row r="643" spans="3:8" x14ac:dyDescent="0.3">
      <c r="C643" t="s">
        <v>4953</v>
      </c>
      <c r="D643" t="s">
        <v>4270</v>
      </c>
      <c r="E643" s="36">
        <v>0</v>
      </c>
      <c r="F643" s="36">
        <v>26991.66</v>
      </c>
      <c r="G643" s="36">
        <v>0</v>
      </c>
      <c r="H643" s="36">
        <v>26991.66</v>
      </c>
    </row>
    <row r="644" spans="3:8" x14ac:dyDescent="0.3">
      <c r="C644" t="s">
        <v>4891</v>
      </c>
      <c r="D644" t="s">
        <v>4271</v>
      </c>
      <c r="E644" s="36">
        <v>0</v>
      </c>
      <c r="F644" s="36">
        <v>306001.65999999997</v>
      </c>
      <c r="G644" s="36">
        <v>0</v>
      </c>
      <c r="H644" s="36">
        <v>306001.65999999997</v>
      </c>
    </row>
    <row r="645" spans="3:8" x14ac:dyDescent="0.3">
      <c r="C645" t="s">
        <v>2124</v>
      </c>
      <c r="D645" t="s">
        <v>2124</v>
      </c>
    </row>
    <row r="646" spans="3:8" x14ac:dyDescent="0.3">
      <c r="C646" t="s">
        <v>4894</v>
      </c>
      <c r="D646" t="s">
        <v>4272</v>
      </c>
      <c r="E646" s="36">
        <v>0</v>
      </c>
      <c r="F646" s="36">
        <v>41646.160000000003</v>
      </c>
      <c r="G646" s="36">
        <v>0</v>
      </c>
      <c r="H646" s="36">
        <v>41646.160000000003</v>
      </c>
    </row>
    <row r="647" spans="3:8" x14ac:dyDescent="0.3">
      <c r="C647" t="s">
        <v>4895</v>
      </c>
      <c r="D647" t="s">
        <v>4273</v>
      </c>
      <c r="E647" s="36">
        <v>0</v>
      </c>
      <c r="F647" s="36">
        <v>41100.800000000003</v>
      </c>
      <c r="G647" s="36">
        <v>0</v>
      </c>
      <c r="H647" s="36">
        <v>41100.800000000003</v>
      </c>
    </row>
    <row r="648" spans="3:8" x14ac:dyDescent="0.3">
      <c r="C648" t="s">
        <v>4896</v>
      </c>
      <c r="D648" t="s">
        <v>4274</v>
      </c>
      <c r="E648" s="36">
        <v>0</v>
      </c>
      <c r="F648" s="36">
        <v>545.36</v>
      </c>
      <c r="G648" s="36">
        <v>0</v>
      </c>
      <c r="H648" s="36">
        <v>545.36</v>
      </c>
    </row>
    <row r="649" spans="3:8" x14ac:dyDescent="0.3">
      <c r="C649" t="s">
        <v>2124</v>
      </c>
      <c r="D649" t="s">
        <v>2124</v>
      </c>
    </row>
    <row r="650" spans="3:8" x14ac:dyDescent="0.3">
      <c r="C650" t="s">
        <v>4897</v>
      </c>
      <c r="D650" t="s">
        <v>4275</v>
      </c>
      <c r="E650" s="36">
        <v>0</v>
      </c>
      <c r="F650" s="36">
        <v>360139.07</v>
      </c>
      <c r="G650" s="36">
        <v>2588.6799999999998</v>
      </c>
      <c r="H650" s="36">
        <v>357550.39</v>
      </c>
    </row>
    <row r="651" spans="3:8" x14ac:dyDescent="0.3">
      <c r="C651" t="s">
        <v>4900</v>
      </c>
      <c r="D651" t="s">
        <v>4276</v>
      </c>
      <c r="E651" s="36">
        <v>0</v>
      </c>
      <c r="F651" s="36">
        <v>33184.6</v>
      </c>
      <c r="G651" s="36">
        <v>0</v>
      </c>
      <c r="H651" s="36">
        <v>33184.6</v>
      </c>
    </row>
    <row r="652" spans="3:8" x14ac:dyDescent="0.3">
      <c r="C652" t="s">
        <v>4902</v>
      </c>
      <c r="D652" t="s">
        <v>4277</v>
      </c>
      <c r="E652" s="36">
        <v>0</v>
      </c>
      <c r="F652" s="36">
        <v>18591.38</v>
      </c>
      <c r="G652" s="36">
        <v>0</v>
      </c>
      <c r="H652" s="36">
        <v>18591.38</v>
      </c>
    </row>
    <row r="653" spans="3:8" x14ac:dyDescent="0.3">
      <c r="C653" t="s">
        <v>4903</v>
      </c>
      <c r="D653" t="s">
        <v>4278</v>
      </c>
      <c r="E653" s="36">
        <v>0</v>
      </c>
      <c r="F653" s="36">
        <v>2588.6799999999998</v>
      </c>
      <c r="G653" s="36">
        <v>2588.6799999999998</v>
      </c>
      <c r="H653" s="36">
        <v>0</v>
      </c>
    </row>
    <row r="654" spans="3:8" x14ac:dyDescent="0.3">
      <c r="C654" t="s">
        <v>4904</v>
      </c>
      <c r="D654" t="s">
        <v>4279</v>
      </c>
      <c r="E654" s="36">
        <v>0</v>
      </c>
      <c r="F654" s="36">
        <v>305774.40999999997</v>
      </c>
      <c r="G654" s="36">
        <v>0</v>
      </c>
      <c r="H654" s="36">
        <v>305774.40999999997</v>
      </c>
    </row>
    <row r="655" spans="3:8" x14ac:dyDescent="0.3">
      <c r="C655" t="s">
        <v>2124</v>
      </c>
      <c r="D655" t="s">
        <v>2124</v>
      </c>
    </row>
    <row r="656" spans="3:8" x14ac:dyDescent="0.3">
      <c r="C656" t="s">
        <v>4906</v>
      </c>
      <c r="D656" t="s">
        <v>4280</v>
      </c>
      <c r="E656" s="36">
        <v>0</v>
      </c>
      <c r="F656" s="36">
        <v>25256.48</v>
      </c>
      <c r="G656" s="36">
        <v>0</v>
      </c>
      <c r="H656" s="36">
        <v>25256.48</v>
      </c>
    </row>
    <row r="657" spans="3:8" x14ac:dyDescent="0.3">
      <c r="C657" t="s">
        <v>4907</v>
      </c>
      <c r="D657" t="s">
        <v>4281</v>
      </c>
      <c r="E657" s="36">
        <v>0</v>
      </c>
      <c r="F657" s="36">
        <v>25256.48</v>
      </c>
      <c r="G657" s="36">
        <v>0</v>
      </c>
      <c r="H657" s="36">
        <v>25256.48</v>
      </c>
    </row>
    <row r="658" spans="3:8" x14ac:dyDescent="0.3">
      <c r="C658" t="s">
        <v>4908</v>
      </c>
      <c r="D658" t="s">
        <v>4282</v>
      </c>
      <c r="E658" s="36">
        <v>0</v>
      </c>
      <c r="F658" s="36">
        <v>25256.48</v>
      </c>
      <c r="G658" s="36">
        <v>0</v>
      </c>
      <c r="H658" s="36">
        <v>25256.48</v>
      </c>
    </row>
    <row r="659" spans="3:8" x14ac:dyDescent="0.3">
      <c r="C659">
        <v>4</v>
      </c>
      <c r="D659" t="s">
        <v>4283</v>
      </c>
      <c r="E659" s="36">
        <v>0</v>
      </c>
      <c r="F659" s="36">
        <v>9952443.5399999991</v>
      </c>
      <c r="G659" s="36">
        <v>46138192.020000003</v>
      </c>
      <c r="H659" s="36">
        <v>-36185748.479999997</v>
      </c>
    </row>
    <row r="660" spans="3:8" x14ac:dyDescent="0.3">
      <c r="C660" t="s">
        <v>4909</v>
      </c>
      <c r="D660" t="s">
        <v>4284</v>
      </c>
      <c r="E660" s="36">
        <v>0</v>
      </c>
      <c r="F660" s="36">
        <v>51957.42</v>
      </c>
      <c r="G660" s="36">
        <v>5940222.3200000003</v>
      </c>
      <c r="H660" s="36">
        <v>-5888264.9000000004</v>
      </c>
    </row>
    <row r="661" spans="3:8" x14ac:dyDescent="0.3">
      <c r="C661" t="s">
        <v>4910</v>
      </c>
      <c r="D661" t="s">
        <v>4285</v>
      </c>
      <c r="E661" s="36">
        <v>0</v>
      </c>
      <c r="F661" s="36">
        <v>51957.42</v>
      </c>
      <c r="G661" s="36">
        <v>5940222.3200000003</v>
      </c>
      <c r="H661" s="36">
        <v>-5888264.9000000004</v>
      </c>
    </row>
    <row r="662" spans="3:8" x14ac:dyDescent="0.3">
      <c r="C662" t="s">
        <v>4911</v>
      </c>
      <c r="D662" t="s">
        <v>4286</v>
      </c>
      <c r="E662" s="36">
        <v>0</v>
      </c>
      <c r="F662" s="36">
        <v>51957.42</v>
      </c>
      <c r="G662" s="36">
        <v>5940222.3200000003</v>
      </c>
      <c r="H662" s="36">
        <v>-5888264.9000000004</v>
      </c>
    </row>
    <row r="663" spans="3:8" x14ac:dyDescent="0.3">
      <c r="C663" t="s">
        <v>4912</v>
      </c>
      <c r="D663" t="s">
        <v>4287</v>
      </c>
      <c r="E663" s="36">
        <v>0</v>
      </c>
      <c r="F663" s="36">
        <v>51957.42</v>
      </c>
      <c r="G663" s="36">
        <v>5940222.3200000003</v>
      </c>
      <c r="H663" s="36">
        <v>-5888264.9000000004</v>
      </c>
    </row>
    <row r="664" spans="3:8" x14ac:dyDescent="0.3">
      <c r="C664" t="s">
        <v>2124</v>
      </c>
      <c r="D664" t="s">
        <v>2124</v>
      </c>
    </row>
    <row r="665" spans="3:8" x14ac:dyDescent="0.3">
      <c r="C665" t="s">
        <v>4914</v>
      </c>
      <c r="D665" t="s">
        <v>4288</v>
      </c>
      <c r="E665" s="36">
        <v>0</v>
      </c>
      <c r="F665" s="36">
        <v>9900486.1199999992</v>
      </c>
      <c r="G665" s="36">
        <v>40197969.700000003</v>
      </c>
      <c r="H665" s="36">
        <v>-30297483.579999998</v>
      </c>
    </row>
    <row r="666" spans="3:8" x14ac:dyDescent="0.3">
      <c r="C666" t="s">
        <v>4915</v>
      </c>
      <c r="D666" t="s">
        <v>4289</v>
      </c>
      <c r="E666" s="36">
        <v>0</v>
      </c>
      <c r="F666" s="36">
        <v>0</v>
      </c>
      <c r="G666" s="36">
        <v>30000</v>
      </c>
      <c r="H666" s="36">
        <v>-30000</v>
      </c>
    </row>
    <row r="667" spans="3:8" x14ac:dyDescent="0.3">
      <c r="C667" t="s">
        <v>4916</v>
      </c>
      <c r="D667" t="s">
        <v>4290</v>
      </c>
      <c r="E667" s="36">
        <v>0</v>
      </c>
      <c r="F667" s="36">
        <v>0</v>
      </c>
      <c r="G667" s="36">
        <v>30000</v>
      </c>
      <c r="H667" s="36">
        <v>-30000</v>
      </c>
    </row>
    <row r="668" spans="3:8" x14ac:dyDescent="0.3">
      <c r="C668" t="s">
        <v>4917</v>
      </c>
      <c r="D668" t="s">
        <v>4291</v>
      </c>
      <c r="E668" s="36">
        <v>0</v>
      </c>
      <c r="F668" s="36">
        <v>0</v>
      </c>
      <c r="G668" s="36">
        <v>30000</v>
      </c>
      <c r="H668" s="36">
        <v>-30000</v>
      </c>
    </row>
    <row r="669" spans="3:8" x14ac:dyDescent="0.3">
      <c r="C669" t="s">
        <v>2124</v>
      </c>
      <c r="D669" t="s">
        <v>2124</v>
      </c>
    </row>
    <row r="670" spans="3:8" x14ac:dyDescent="0.3">
      <c r="C670" t="s">
        <v>4924</v>
      </c>
      <c r="D670" t="s">
        <v>4292</v>
      </c>
      <c r="E670" s="36">
        <v>0</v>
      </c>
      <c r="F670" s="36">
        <v>9893471.7200000007</v>
      </c>
      <c r="G670" s="36">
        <v>39102889</v>
      </c>
      <c r="H670" s="36">
        <v>-29209417.280000001</v>
      </c>
    </row>
    <row r="671" spans="3:8" x14ac:dyDescent="0.3">
      <c r="C671" t="s">
        <v>4925</v>
      </c>
      <c r="D671" t="s">
        <v>4293</v>
      </c>
      <c r="E671" s="36">
        <v>0</v>
      </c>
      <c r="F671" s="36">
        <v>0</v>
      </c>
      <c r="G671" s="36">
        <v>464.15</v>
      </c>
      <c r="H671" s="36">
        <v>-464.15</v>
      </c>
    </row>
    <row r="672" spans="3:8" x14ac:dyDescent="0.3">
      <c r="C672" t="s">
        <v>4926</v>
      </c>
      <c r="D672" t="s">
        <v>4294</v>
      </c>
      <c r="E672" s="36">
        <v>0</v>
      </c>
      <c r="F672" s="36">
        <v>0</v>
      </c>
      <c r="G672" s="36">
        <v>195.08</v>
      </c>
      <c r="H672" s="36">
        <v>-195.08</v>
      </c>
    </row>
    <row r="673" spans="3:8" x14ac:dyDescent="0.3">
      <c r="C673" t="s">
        <v>4927</v>
      </c>
      <c r="D673" t="s">
        <v>4295</v>
      </c>
      <c r="E673" s="36">
        <v>0</v>
      </c>
      <c r="F673" s="36">
        <v>0</v>
      </c>
      <c r="G673" s="36">
        <v>269.07</v>
      </c>
      <c r="H673" s="36">
        <v>-269.07</v>
      </c>
    </row>
    <row r="674" spans="3:8" x14ac:dyDescent="0.3">
      <c r="C674" t="s">
        <v>2124</v>
      </c>
      <c r="D674" t="s">
        <v>2124</v>
      </c>
    </row>
    <row r="675" spans="3:8" x14ac:dyDescent="0.3">
      <c r="C675" t="s">
        <v>4928</v>
      </c>
      <c r="D675" t="s">
        <v>4296</v>
      </c>
      <c r="E675" s="36">
        <v>0</v>
      </c>
      <c r="F675" s="36">
        <v>9893471.7200000007</v>
      </c>
      <c r="G675" s="36">
        <v>39102424.850000001</v>
      </c>
      <c r="H675" s="36">
        <v>-29208953.129999999</v>
      </c>
    </row>
    <row r="676" spans="3:8" x14ac:dyDescent="0.3">
      <c r="C676" t="s">
        <v>4929</v>
      </c>
      <c r="D676" t="s">
        <v>4297</v>
      </c>
      <c r="E676" s="36">
        <v>0</v>
      </c>
      <c r="F676" s="36">
        <v>9893471.7200000007</v>
      </c>
      <c r="G676" s="36">
        <v>39102424.850000001</v>
      </c>
      <c r="H676" s="36">
        <v>-29208953.129999999</v>
      </c>
    </row>
    <row r="677" spans="3:8" x14ac:dyDescent="0.3">
      <c r="C677" t="s">
        <v>2124</v>
      </c>
      <c r="D677" t="s">
        <v>2124</v>
      </c>
    </row>
    <row r="678" spans="3:8" x14ac:dyDescent="0.3">
      <c r="C678" t="s">
        <v>4930</v>
      </c>
      <c r="D678" t="s">
        <v>4298</v>
      </c>
      <c r="E678" s="36">
        <v>0</v>
      </c>
      <c r="F678" s="36">
        <v>7014.4</v>
      </c>
      <c r="G678" s="36">
        <v>736031.69</v>
      </c>
      <c r="H678" s="36">
        <v>-729017.29</v>
      </c>
    </row>
    <row r="679" spans="3:8" x14ac:dyDescent="0.3">
      <c r="C679" t="s">
        <v>4931</v>
      </c>
      <c r="D679" t="s">
        <v>4299</v>
      </c>
      <c r="E679" s="36">
        <v>0</v>
      </c>
      <c r="F679" s="36">
        <v>0</v>
      </c>
      <c r="G679" s="36">
        <v>383.33</v>
      </c>
      <c r="H679" s="36">
        <v>-383.33</v>
      </c>
    </row>
    <row r="680" spans="3:8" x14ac:dyDescent="0.3">
      <c r="C680" t="s">
        <v>4932</v>
      </c>
      <c r="D680" t="s">
        <v>4300</v>
      </c>
      <c r="E680" s="36">
        <v>0</v>
      </c>
      <c r="F680" s="36">
        <v>0</v>
      </c>
      <c r="G680" s="36">
        <v>383.33</v>
      </c>
      <c r="H680" s="36">
        <v>-383.33</v>
      </c>
    </row>
    <row r="681" spans="3:8" x14ac:dyDescent="0.3">
      <c r="C681" t="s">
        <v>2124</v>
      </c>
      <c r="D681" t="s">
        <v>2124</v>
      </c>
    </row>
    <row r="682" spans="3:8" x14ac:dyDescent="0.3">
      <c r="C682" t="s">
        <v>4933</v>
      </c>
      <c r="D682" t="s">
        <v>4301</v>
      </c>
      <c r="E682" s="36">
        <v>0</v>
      </c>
      <c r="F682" s="36">
        <v>7014.4</v>
      </c>
      <c r="G682" s="36">
        <v>735648.36</v>
      </c>
      <c r="H682" s="36">
        <v>-728633.96</v>
      </c>
    </row>
    <row r="683" spans="3:8" x14ac:dyDescent="0.3">
      <c r="C683" t="s">
        <v>4934</v>
      </c>
      <c r="D683" t="s">
        <v>4302</v>
      </c>
      <c r="E683" s="36">
        <v>0</v>
      </c>
      <c r="F683" s="36">
        <v>0</v>
      </c>
      <c r="G683" s="36">
        <v>68.14</v>
      </c>
      <c r="H683" s="36">
        <v>-68.14</v>
      </c>
    </row>
    <row r="684" spans="3:8" x14ac:dyDescent="0.3">
      <c r="C684" t="s">
        <v>4935</v>
      </c>
      <c r="D684" t="s">
        <v>4303</v>
      </c>
      <c r="E684" s="36">
        <v>0</v>
      </c>
      <c r="F684" s="36">
        <v>0</v>
      </c>
      <c r="G684" s="36">
        <v>583766.35</v>
      </c>
      <c r="H684" s="36">
        <v>-583766.35</v>
      </c>
    </row>
    <row r="685" spans="3:8" x14ac:dyDescent="0.3">
      <c r="C685" t="s">
        <v>4936</v>
      </c>
      <c r="D685" t="s">
        <v>4304</v>
      </c>
      <c r="E685" s="36">
        <v>0</v>
      </c>
      <c r="F685" s="36">
        <v>0</v>
      </c>
      <c r="G685" s="36">
        <v>128103.77</v>
      </c>
      <c r="H685" s="36">
        <v>-128103.77</v>
      </c>
    </row>
    <row r="686" spans="3:8" x14ac:dyDescent="0.3">
      <c r="C686" t="s">
        <v>4937</v>
      </c>
      <c r="D686" t="s">
        <v>4305</v>
      </c>
      <c r="E686" s="36">
        <v>0</v>
      </c>
      <c r="F686" s="36">
        <v>0</v>
      </c>
      <c r="G686" s="36">
        <v>328.54</v>
      </c>
      <c r="H686" s="36">
        <v>-328.54</v>
      </c>
    </row>
    <row r="687" spans="3:8" x14ac:dyDescent="0.3">
      <c r="C687" t="s">
        <v>4939</v>
      </c>
      <c r="D687" t="s">
        <v>4306</v>
      </c>
      <c r="E687" s="36">
        <v>0</v>
      </c>
      <c r="F687" s="36">
        <v>7014.4</v>
      </c>
      <c r="G687" s="36">
        <v>23381.56</v>
      </c>
      <c r="H687" s="36">
        <v>-16367.16</v>
      </c>
    </row>
    <row r="688" spans="3:8" x14ac:dyDescent="0.3">
      <c r="C688" t="s">
        <v>2124</v>
      </c>
      <c r="D688" t="s">
        <v>2124</v>
      </c>
    </row>
    <row r="689" spans="3:8" x14ac:dyDescent="0.3">
      <c r="C689" t="s">
        <v>4940</v>
      </c>
      <c r="D689" t="s">
        <v>4307</v>
      </c>
      <c r="E689" s="36">
        <v>0</v>
      </c>
      <c r="F689" s="36">
        <v>0</v>
      </c>
      <c r="G689" s="36">
        <v>329049.01</v>
      </c>
      <c r="H689" s="36">
        <v>-329049.01</v>
      </c>
    </row>
    <row r="690" spans="3:8" x14ac:dyDescent="0.3">
      <c r="C690" t="s">
        <v>4941</v>
      </c>
      <c r="D690" t="s">
        <v>4308</v>
      </c>
      <c r="E690" s="36">
        <v>0</v>
      </c>
      <c r="F690" s="36">
        <v>0</v>
      </c>
      <c r="G690" s="36">
        <v>329049.01</v>
      </c>
      <c r="H690" s="36">
        <v>-329049.01</v>
      </c>
    </row>
    <row r="691" spans="3:8" x14ac:dyDescent="0.3">
      <c r="C691" t="s">
        <v>4942</v>
      </c>
      <c r="D691" t="s">
        <v>4309</v>
      </c>
      <c r="E691" s="36">
        <v>0</v>
      </c>
      <c r="F691" s="36">
        <v>0</v>
      </c>
      <c r="G691" s="36">
        <v>329049.01</v>
      </c>
      <c r="H691" s="36">
        <v>-329049.01</v>
      </c>
    </row>
    <row r="692" spans="3:8" x14ac:dyDescent="0.3">
      <c r="C692" t="s">
        <v>2124</v>
      </c>
      <c r="D692" t="s">
        <v>2124</v>
      </c>
    </row>
    <row r="693" spans="3:8" x14ac:dyDescent="0.3">
      <c r="C693" t="s">
        <v>2124</v>
      </c>
      <c r="D693" t="s">
        <v>2124</v>
      </c>
    </row>
  </sheetData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F75E1-529D-4B96-8145-E5E4D3F42B75}">
  <sheetPr>
    <tabColor rgb="FF00B050"/>
  </sheetPr>
  <dimension ref="A4:Z119"/>
  <sheetViews>
    <sheetView showGridLines="0" topLeftCell="A16" zoomScaleNormal="100" workbookViewId="0">
      <selection activeCell="T27" sqref="T27"/>
    </sheetView>
  </sheetViews>
  <sheetFormatPr defaultColWidth="9.109375" defaultRowHeight="14.4" x14ac:dyDescent="0.3"/>
  <cols>
    <col min="1" max="1" width="9.109375" style="2"/>
    <col min="2" max="2" width="1.44140625" style="2" customWidth="1"/>
    <col min="3" max="3" width="33.44140625" style="2" bestFit="1" customWidth="1"/>
    <col min="4" max="4" width="6.5546875" style="2" customWidth="1"/>
    <col min="5" max="5" width="20.44140625" style="514" customWidth="1"/>
    <col min="6" max="6" width="18.33203125" style="514" customWidth="1"/>
    <col min="7" max="7" width="18.44140625" style="514" customWidth="1"/>
    <col min="8" max="8" width="15.88671875" style="2" hidden="1" customWidth="1"/>
    <col min="9" max="9" width="13.88671875" style="2" hidden="1" customWidth="1"/>
    <col min="10" max="10" width="17" style="2" hidden="1" customWidth="1"/>
    <col min="11" max="11" width="4.44140625" style="611" hidden="1" customWidth="1"/>
    <col min="12" max="12" width="16.33203125" style="2" hidden="1" customWidth="1"/>
    <col min="13" max="13" width="20.33203125" style="211" hidden="1" customWidth="1"/>
    <col min="14" max="14" width="21" style="254" hidden="1" customWidth="1"/>
    <col min="15" max="15" width="27.33203125" style="2" hidden="1" customWidth="1"/>
    <col min="16" max="16" width="21" style="359" hidden="1" customWidth="1"/>
    <col min="17" max="17" width="23" style="2" hidden="1" customWidth="1"/>
    <col min="18" max="18" width="22.6640625" style="259" hidden="1" customWidth="1"/>
    <col min="19" max="19" width="24.5546875" style="2" hidden="1" customWidth="1"/>
    <col min="20" max="20" width="30.6640625" style="2" customWidth="1"/>
    <col min="21" max="21" width="12.5546875" style="2" bestFit="1" customWidth="1"/>
    <col min="22" max="24" width="0" style="2" hidden="1" customWidth="1"/>
    <col min="25" max="25" width="12.88671875" style="359" bestFit="1" customWidth="1"/>
    <col min="26" max="26" width="12.88671875" style="2" bestFit="1" customWidth="1"/>
    <col min="27" max="16384" width="9.109375" style="2"/>
  </cols>
  <sheetData>
    <row r="4" spans="2:20" x14ac:dyDescent="0.3">
      <c r="P4" s="359">
        <v>19724292.34</v>
      </c>
    </row>
    <row r="7" spans="2:20" x14ac:dyDescent="0.3">
      <c r="B7" s="707" t="s">
        <v>4963</v>
      </c>
      <c r="C7" s="707"/>
      <c r="D7" s="707"/>
      <c r="E7" s="707"/>
      <c r="F7" s="707"/>
      <c r="G7" s="707"/>
      <c r="H7" s="707"/>
      <c r="I7" s="41"/>
      <c r="J7" s="41"/>
      <c r="K7" s="608"/>
      <c r="L7" s="41"/>
      <c r="M7" s="38"/>
      <c r="N7" s="41"/>
      <c r="O7" s="41"/>
      <c r="P7" s="358"/>
      <c r="Q7" s="254">
        <f>G16</f>
        <v>3109267.35</v>
      </c>
      <c r="R7" s="259" t="s">
        <v>2402</v>
      </c>
    </row>
    <row r="8" spans="2:20" x14ac:dyDescent="0.3">
      <c r="B8" s="707" t="s">
        <v>2403</v>
      </c>
      <c r="C8" s="707"/>
      <c r="D8" s="707"/>
      <c r="E8" s="707"/>
      <c r="F8" s="707"/>
      <c r="G8" s="707"/>
      <c r="H8" s="707"/>
      <c r="I8" s="41"/>
      <c r="J8" s="41"/>
      <c r="K8" s="608"/>
      <c r="L8" s="41"/>
      <c r="M8" s="38"/>
      <c r="N8" s="41"/>
      <c r="O8" s="41"/>
      <c r="P8" s="358"/>
      <c r="Q8" s="254" t="e">
        <f>Q7-#REF!</f>
        <v>#REF!</v>
      </c>
      <c r="R8" s="259" t="s">
        <v>2404</v>
      </c>
    </row>
    <row r="9" spans="2:20" x14ac:dyDescent="0.3">
      <c r="B9" s="3"/>
      <c r="C9" s="3"/>
      <c r="D9" s="3"/>
      <c r="E9" s="76"/>
      <c r="F9" s="76"/>
      <c r="G9" s="76"/>
      <c r="H9" s="3"/>
      <c r="I9" s="41"/>
      <c r="J9" s="41"/>
      <c r="K9" s="608"/>
      <c r="L9" s="41"/>
      <c r="M9" s="38"/>
      <c r="N9" s="41"/>
      <c r="O9" s="41"/>
      <c r="P9" s="358"/>
      <c r="Q9" s="254"/>
    </row>
    <row r="10" spans="2:20" x14ac:dyDescent="0.3">
      <c r="B10" s="3"/>
      <c r="C10" s="734" t="s">
        <v>4962</v>
      </c>
      <c r="D10" s="734"/>
      <c r="E10" s="734"/>
      <c r="F10" s="734"/>
      <c r="G10" s="734"/>
      <c r="H10" s="734"/>
      <c r="I10" s="41"/>
      <c r="J10" s="41"/>
      <c r="K10" s="608"/>
      <c r="L10" s="41"/>
      <c r="M10" s="38"/>
      <c r="N10" s="41"/>
      <c r="O10" s="41"/>
      <c r="P10" s="358"/>
      <c r="Q10" s="254"/>
    </row>
    <row r="11" spans="2:20" x14ac:dyDescent="0.3">
      <c r="B11" s="3"/>
      <c r="C11" s="734" t="s">
        <v>5890</v>
      </c>
      <c r="D11" s="734"/>
      <c r="E11" s="734"/>
      <c r="F11" s="734"/>
      <c r="G11" s="734"/>
      <c r="H11" s="734"/>
      <c r="I11" s="3"/>
      <c r="J11" s="3"/>
      <c r="K11" s="609"/>
      <c r="L11" s="3"/>
      <c r="M11" s="52"/>
      <c r="N11" s="3"/>
      <c r="O11" s="3"/>
      <c r="P11" s="358"/>
      <c r="R11" s="260"/>
    </row>
    <row r="12" spans="2:20" x14ac:dyDescent="0.3">
      <c r="B12" s="3"/>
      <c r="C12" s="3"/>
      <c r="D12" s="436"/>
      <c r="E12" s="506"/>
      <c r="F12" s="506"/>
      <c r="G12" s="76"/>
      <c r="H12" s="3"/>
      <c r="I12" s="3"/>
      <c r="J12" s="3"/>
      <c r="K12" s="609"/>
      <c r="L12" s="3"/>
      <c r="M12" s="52"/>
      <c r="N12" s="3"/>
      <c r="O12" s="3"/>
      <c r="P12" s="358"/>
      <c r="R12" s="3"/>
    </row>
    <row r="13" spans="2:20" x14ac:dyDescent="0.3">
      <c r="B13" s="333" t="s">
        <v>2405</v>
      </c>
      <c r="C13" s="333"/>
      <c r="D13" s="335" t="s">
        <v>2406</v>
      </c>
      <c r="E13" s="507">
        <v>2024</v>
      </c>
      <c r="F13" s="601">
        <v>2023</v>
      </c>
      <c r="G13" s="435">
        <v>2023</v>
      </c>
      <c r="H13" s="435">
        <v>2022</v>
      </c>
      <c r="J13" s="359">
        <v>2023</v>
      </c>
      <c r="K13" s="610"/>
      <c r="L13" s="249">
        <v>2024</v>
      </c>
      <c r="M13" s="465" t="s">
        <v>5910</v>
      </c>
      <c r="N13" s="249">
        <v>2023</v>
      </c>
      <c r="O13" s="261"/>
      <c r="P13" s="2"/>
      <c r="R13" s="2"/>
      <c r="T13" s="659" t="s">
        <v>5921</v>
      </c>
    </row>
    <row r="14" spans="2:20" x14ac:dyDescent="0.3">
      <c r="B14" s="333"/>
      <c r="C14" s="333"/>
      <c r="D14" s="335"/>
      <c r="E14" s="507"/>
      <c r="F14" s="602" t="s">
        <v>5908</v>
      </c>
      <c r="G14" s="435"/>
      <c r="H14" s="435"/>
      <c r="J14" s="359"/>
      <c r="K14" s="610"/>
      <c r="L14" s="249"/>
      <c r="M14" s="465"/>
      <c r="N14" s="249"/>
      <c r="O14" s="261"/>
      <c r="P14" s="2"/>
      <c r="R14" s="2"/>
    </row>
    <row r="15" spans="2:20" x14ac:dyDescent="0.3">
      <c r="B15" s="333" t="s">
        <v>2407</v>
      </c>
      <c r="C15" s="466"/>
      <c r="D15" s="467"/>
      <c r="E15" s="354">
        <f>SUM(E16:E21)</f>
        <v>19724292.339999996</v>
      </c>
      <c r="F15" s="354">
        <f>SUM(F16:F21)</f>
        <v>10239814.08</v>
      </c>
      <c r="G15" s="354">
        <f>SUM(G16:G21)</f>
        <v>19238332.009999998</v>
      </c>
      <c r="H15" s="354">
        <f>SUM(H16:H21)</f>
        <v>22601893.190000001</v>
      </c>
      <c r="J15" s="359">
        <v>19238332.009999998</v>
      </c>
      <c r="K15" s="610"/>
      <c r="L15" s="354">
        <f>SUM(L16:L21)</f>
        <v>-9484478.2599999979</v>
      </c>
      <c r="M15" s="616">
        <f>SUM(M16:M21)</f>
        <v>12362079.109999999</v>
      </c>
      <c r="N15" s="252"/>
      <c r="O15" s="263"/>
      <c r="P15" s="2"/>
      <c r="R15" s="2"/>
      <c r="T15" s="655">
        <f t="shared" ref="T15:T30" si="0">G15-F15</f>
        <v>8998517.9299999978</v>
      </c>
    </row>
    <row r="16" spans="2:20" x14ac:dyDescent="0.3">
      <c r="B16" s="334"/>
      <c r="C16" s="468" t="s">
        <v>2408</v>
      </c>
      <c r="D16" s="467">
        <v>4</v>
      </c>
      <c r="E16" s="470">
        <f>'BALANCETE 2024'!G6</f>
        <v>9639354.5999999996</v>
      </c>
      <c r="F16" s="470">
        <f>'Representado 2023'!M14</f>
        <v>3109267.35</v>
      </c>
      <c r="G16" s="353">
        <f>'BALANCETE 2023'!L14</f>
        <v>3109267.35</v>
      </c>
      <c r="H16" s="470">
        <f>'[3]BALANCETE 2023'!E14</f>
        <v>2861198.37</v>
      </c>
      <c r="I16" s="254">
        <f>G16-H16</f>
        <v>248068.97999999998</v>
      </c>
      <c r="J16" s="359">
        <v>3109267.35</v>
      </c>
      <c r="K16" s="610"/>
      <c r="L16" s="353">
        <f>F16-E16</f>
        <v>-6530087.25</v>
      </c>
      <c r="M16" s="617">
        <f t="shared" ref="M16:M21" si="1">H16-F16</f>
        <v>-248068.97999999998</v>
      </c>
      <c r="N16" s="252">
        <f>H16-G16</f>
        <v>-248068.97999999998</v>
      </c>
      <c r="O16" s="259"/>
      <c r="P16" s="2"/>
      <c r="R16" s="2"/>
      <c r="T16" s="254">
        <f t="shared" si="0"/>
        <v>0</v>
      </c>
    </row>
    <row r="17" spans="1:26" x14ac:dyDescent="0.3">
      <c r="B17" s="334"/>
      <c r="C17" s="468" t="s">
        <v>2409</v>
      </c>
      <c r="D17" s="467">
        <v>5</v>
      </c>
      <c r="E17" s="470">
        <f>'BALANCETE 2024'!G28</f>
        <v>378574.36</v>
      </c>
      <c r="F17" s="470">
        <f>'Representado 2023'!M34</f>
        <v>39286.400000000001</v>
      </c>
      <c r="G17" s="353">
        <f>'BALANCETE 2023'!$L$35</f>
        <v>39286.400000000001</v>
      </c>
      <c r="H17" s="470">
        <f>'[3]BALANCETE 2023'!E37</f>
        <v>1889386.78</v>
      </c>
      <c r="I17" s="254">
        <f t="shared" ref="I17:I21" si="2">H17-G17</f>
        <v>1850100.3800000001</v>
      </c>
      <c r="J17" s="359">
        <v>39286.400000000001</v>
      </c>
      <c r="K17" s="610"/>
      <c r="L17" s="353">
        <f t="shared" ref="L17:L21" si="3">F17-E17</f>
        <v>-339287.95999999996</v>
      </c>
      <c r="M17" s="617">
        <f t="shared" si="1"/>
        <v>1850100.3800000001</v>
      </c>
      <c r="N17" s="353">
        <f t="shared" ref="N17:N21" si="4">H17-G17</f>
        <v>1850100.3800000001</v>
      </c>
      <c r="O17" s="264" t="s">
        <v>2410</v>
      </c>
      <c r="P17" s="2"/>
      <c r="R17" s="2"/>
      <c r="T17" s="254">
        <f t="shared" si="0"/>
        <v>0</v>
      </c>
    </row>
    <row r="18" spans="1:26" x14ac:dyDescent="0.3">
      <c r="B18" s="334"/>
      <c r="C18" s="468" t="s">
        <v>3682</v>
      </c>
      <c r="D18" s="467">
        <v>6</v>
      </c>
      <c r="E18" s="619">
        <f>'BALANCETE 2024'!G130+'BALANCETE 2024'!G138</f>
        <v>1054156.1499999999</v>
      </c>
      <c r="F18" s="470">
        <f>'Representado 2023'!M101+'Representado 2023'!M115</f>
        <v>295546.66000000032</v>
      </c>
      <c r="G18" s="353">
        <f>'BALANCETE 2023'!$L$101+'BALANCETE 2023'!$L$109</f>
        <v>9351742.9900000002</v>
      </c>
      <c r="H18" s="470">
        <f>'[3]BALANCETE 2023'!E107+71.96</f>
        <v>2332024.65</v>
      </c>
      <c r="I18" s="254">
        <f t="shared" si="2"/>
        <v>-7019718.3399999999</v>
      </c>
      <c r="J18" s="359">
        <v>9351671.0299999993</v>
      </c>
      <c r="K18" s="610"/>
      <c r="L18" s="353">
        <f t="shared" si="3"/>
        <v>-758609.48999999953</v>
      </c>
      <c r="M18" s="617">
        <f t="shared" si="1"/>
        <v>2036477.9899999995</v>
      </c>
      <c r="N18" s="353">
        <f t="shared" si="4"/>
        <v>-7019718.3399999999</v>
      </c>
      <c r="O18" s="264" t="s">
        <v>2412</v>
      </c>
      <c r="P18" s="2"/>
      <c r="R18" s="2"/>
      <c r="T18" s="654">
        <f t="shared" si="0"/>
        <v>9056196.3300000001</v>
      </c>
    </row>
    <row r="19" spans="1:26" x14ac:dyDescent="0.3">
      <c r="B19" s="334"/>
      <c r="C19" s="468" t="s">
        <v>2413</v>
      </c>
      <c r="D19" s="467">
        <v>7</v>
      </c>
      <c r="E19" s="649">
        <f>'BALANCETE 2024'!G122</f>
        <v>2871.1</v>
      </c>
      <c r="F19" s="483">
        <f>'Representado 2023'!M98</f>
        <v>285609.68</v>
      </c>
      <c r="G19" s="353">
        <f>'BALANCETE 2023'!$L$98</f>
        <v>285609.68</v>
      </c>
      <c r="H19" s="470">
        <f>'[3]BALANCETE 2023'!E103</f>
        <v>100920.1</v>
      </c>
      <c r="I19" s="254">
        <f t="shared" si="2"/>
        <v>-184689.58</v>
      </c>
      <c r="J19" s="359">
        <v>285609.68</v>
      </c>
      <c r="K19" s="610"/>
      <c r="L19" s="353">
        <f t="shared" si="3"/>
        <v>282738.58</v>
      </c>
      <c r="M19" s="617">
        <f t="shared" si="1"/>
        <v>-184689.58</v>
      </c>
      <c r="N19" s="353">
        <f t="shared" si="4"/>
        <v>-184689.58</v>
      </c>
      <c r="O19" s="264" t="s">
        <v>2414</v>
      </c>
      <c r="P19" s="2"/>
      <c r="R19" s="2"/>
      <c r="T19" s="254">
        <f t="shared" si="0"/>
        <v>0</v>
      </c>
    </row>
    <row r="20" spans="1:26" x14ac:dyDescent="0.3">
      <c r="B20" s="334"/>
      <c r="C20" s="468" t="s">
        <v>2415</v>
      </c>
      <c r="D20" s="467">
        <v>8</v>
      </c>
      <c r="E20" s="470">
        <f>'BALANCETE 2024'!G143+'BALANCETE 2024'!G152+'BALANCETE 2024'!G157+'BALANCETE 2024'!G160+'BALANCETE 2024'!G170+'BALANCETE 2024'!G173+'BALANCETE 2024'!G176</f>
        <v>8455584.6999999993</v>
      </c>
      <c r="F20" s="470">
        <f>'Representado 2023'!M120+'Representado 2023'!M131+'Representado 2023'!M136+'Representado 2023'!M139+'Representado 2023'!M152+'Representado 2023'!M157</f>
        <v>6266068.79</v>
      </c>
      <c r="G20" s="353">
        <f>'BALANCETE 2023'!L113+'BALANCETE 2023'!L122+'BALANCETE 2023'!L126+'BALANCETE 2023'!L130+'BALANCETE 2023'!L140+'BALANCETE 2023'!L143+'BALANCETE 2023'!L147</f>
        <v>6208390.3899999997</v>
      </c>
      <c r="H20" s="470">
        <f>'[3]BALANCETE 2023'!E122+'[3]BALANCETE 2023'!E132+'[3]BALANCETE 2023'!E137+'[3]BALANCETE 2023'!E142+'[3]BALANCETE 2023'!E157</f>
        <v>11843502.84</v>
      </c>
      <c r="I20" s="254">
        <f t="shared" si="2"/>
        <v>5635112.4500000002</v>
      </c>
      <c r="J20" s="359">
        <v>6208390.3899999997</v>
      </c>
      <c r="K20" s="610"/>
      <c r="L20" s="353">
        <f t="shared" si="3"/>
        <v>-2189515.9099999992</v>
      </c>
      <c r="M20" s="617">
        <f t="shared" si="1"/>
        <v>5577434.0499999998</v>
      </c>
      <c r="N20" s="353">
        <f t="shared" si="4"/>
        <v>5635112.4500000002</v>
      </c>
      <c r="O20" s="264" t="s">
        <v>2416</v>
      </c>
      <c r="P20" s="2"/>
      <c r="R20" s="2"/>
      <c r="T20" s="654">
        <f t="shared" si="0"/>
        <v>-57678.400000000373</v>
      </c>
    </row>
    <row r="21" spans="1:26" x14ac:dyDescent="0.3">
      <c r="B21" s="334"/>
      <c r="C21" s="468" t="s">
        <v>2417</v>
      </c>
      <c r="D21" s="467">
        <v>9</v>
      </c>
      <c r="E21" s="470">
        <f>'BALANCETE 2024'!G180</f>
        <v>193751.43</v>
      </c>
      <c r="F21" s="470">
        <f>'Representado 2023'!M161</f>
        <v>244035.20000000001</v>
      </c>
      <c r="G21" s="353">
        <f>'BALANCETE 2023'!$L$150</f>
        <v>244035.20000000001</v>
      </c>
      <c r="H21" s="470">
        <f>'[3]BALANCETE 2023'!E166</f>
        <v>3574860.45</v>
      </c>
      <c r="I21" s="254">
        <f t="shared" si="2"/>
        <v>3330825.25</v>
      </c>
      <c r="J21" s="359">
        <v>244035.20000000001</v>
      </c>
      <c r="K21" s="610"/>
      <c r="L21" s="353">
        <f t="shared" si="3"/>
        <v>50283.770000000019</v>
      </c>
      <c r="M21" s="617">
        <f t="shared" si="1"/>
        <v>3330825.25</v>
      </c>
      <c r="N21" s="471">
        <f t="shared" si="4"/>
        <v>3330825.25</v>
      </c>
      <c r="O21" s="264" t="s">
        <v>2418</v>
      </c>
      <c r="P21" s="2"/>
      <c r="R21" s="2"/>
      <c r="T21" s="254">
        <f t="shared" si="0"/>
        <v>0</v>
      </c>
    </row>
    <row r="22" spans="1:26" x14ac:dyDescent="0.3">
      <c r="B22" s="334"/>
      <c r="C22" s="468"/>
      <c r="D22" s="467"/>
      <c r="E22" s="508"/>
      <c r="F22" s="508"/>
      <c r="G22" s="515"/>
      <c r="H22" s="470"/>
      <c r="J22" s="359"/>
      <c r="K22" s="610"/>
      <c r="L22" s="354"/>
      <c r="M22" s="616"/>
      <c r="N22" s="354"/>
      <c r="O22" s="259"/>
      <c r="P22" s="2"/>
      <c r="R22" s="2"/>
      <c r="T22" s="254">
        <f t="shared" si="0"/>
        <v>0</v>
      </c>
    </row>
    <row r="23" spans="1:26" x14ac:dyDescent="0.3">
      <c r="B23" s="333" t="s">
        <v>2419</v>
      </c>
      <c r="C23" s="466"/>
      <c r="D23" s="467"/>
      <c r="E23" s="354">
        <f>SUM(E24:E27)</f>
        <v>34099097.649999999</v>
      </c>
      <c r="F23" s="354">
        <f>SUM(F24:F27)</f>
        <v>37835726.909999996</v>
      </c>
      <c r="G23" s="354">
        <f>SUM(G24:G27)</f>
        <v>36468784.539999999</v>
      </c>
      <c r="H23" s="354">
        <f>SUM(H24:H27)</f>
        <v>35886327.490000002</v>
      </c>
      <c r="J23" s="359">
        <v>36468784.539999999</v>
      </c>
      <c r="K23" s="610"/>
      <c r="L23" s="354">
        <f>SUM(L24:L27)</f>
        <v>3736629.2599999942</v>
      </c>
      <c r="M23" s="616">
        <f>SUM(M24:M27)</f>
        <v>-1949399.4199999943</v>
      </c>
      <c r="N23" s="353"/>
      <c r="O23" s="261"/>
      <c r="P23" s="2"/>
      <c r="R23" s="2"/>
      <c r="T23" s="655">
        <f t="shared" si="0"/>
        <v>-1366942.3699999973</v>
      </c>
    </row>
    <row r="24" spans="1:26" x14ac:dyDescent="0.3">
      <c r="B24" s="334"/>
      <c r="C24" s="468" t="s">
        <v>2420</v>
      </c>
      <c r="D24" s="467">
        <v>10</v>
      </c>
      <c r="E24" s="470">
        <f>'BALANCETE 2024'!G183</f>
        <v>9865271.7300000004</v>
      </c>
      <c r="F24" s="470">
        <f>'Representado 2023'!M166</f>
        <v>9787807.6600000001</v>
      </c>
      <c r="G24" s="353">
        <f>'BALANCETE 2023'!$L$155-'BALANCETE 2023'!L164-'BALANCETE 2023'!L162-'BALANCETE 2023'!L160</f>
        <v>9787910.0600000005</v>
      </c>
      <c r="H24" s="469">
        <f>SUM('[3]BALANCETE 2023'!E172)</f>
        <v>7496348.6299999999</v>
      </c>
      <c r="I24" s="254">
        <f>H24-G24</f>
        <v>-2291561.4300000006</v>
      </c>
      <c r="J24" s="359">
        <v>9796773.4600000009</v>
      </c>
      <c r="K24" s="610"/>
      <c r="L24" s="353">
        <f>F24-E24</f>
        <v>-77464.070000000298</v>
      </c>
      <c r="M24" s="617">
        <f t="shared" ref="M24:M27" si="5">H24-F24</f>
        <v>-2291459.0300000003</v>
      </c>
      <c r="N24" s="353">
        <f t="shared" ref="N24:N27" si="6">H24-G24</f>
        <v>-2291561.4300000006</v>
      </c>
      <c r="O24" s="264" t="s">
        <v>2421</v>
      </c>
      <c r="P24" s="2"/>
      <c r="R24" s="2"/>
      <c r="T24" s="654">
        <f t="shared" si="0"/>
        <v>102.40000000037253</v>
      </c>
    </row>
    <row r="25" spans="1:26" x14ac:dyDescent="0.3">
      <c r="B25" s="334"/>
      <c r="C25" s="468" t="s">
        <v>4954</v>
      </c>
      <c r="D25" s="467">
        <v>11</v>
      </c>
      <c r="E25" s="483">
        <f>'BALANCETE 2024'!G197</f>
        <v>0</v>
      </c>
      <c r="F25" s="483">
        <f>'Representado 2023'!M180</f>
        <v>0</v>
      </c>
      <c r="G25" s="353">
        <f>'BALANCETE 2023'!$L$168+'BALANCETE 2023'!L164+'BALANCETE 2023'!L162+'BALANCETE 2023'!L160</f>
        <v>57198.46</v>
      </c>
      <c r="H25" s="469">
        <f>SUM('[3]BALANCETE 2023'!E186)</f>
        <v>48785.07</v>
      </c>
      <c r="I25" s="254">
        <f>H25-G25</f>
        <v>-8413.39</v>
      </c>
      <c r="J25" s="359">
        <v>48335.06</v>
      </c>
      <c r="K25" s="610"/>
      <c r="L25" s="353">
        <f t="shared" ref="L25:L27" si="7">F25-E25</f>
        <v>0</v>
      </c>
      <c r="M25" s="617">
        <f t="shared" si="5"/>
        <v>48785.07</v>
      </c>
      <c r="N25" s="498">
        <f t="shared" si="6"/>
        <v>-8413.39</v>
      </c>
      <c r="O25" s="264" t="s">
        <v>2421</v>
      </c>
      <c r="P25" s="2"/>
      <c r="R25" s="2"/>
      <c r="T25" s="654">
        <f t="shared" si="0"/>
        <v>57198.46</v>
      </c>
    </row>
    <row r="26" spans="1:26" x14ac:dyDescent="0.3">
      <c r="B26" s="334"/>
      <c r="C26" s="468" t="s">
        <v>3683</v>
      </c>
      <c r="D26" s="467">
        <v>12</v>
      </c>
      <c r="E26" s="470">
        <f>'BALANCETE 2024'!G204</f>
        <v>802355.59</v>
      </c>
      <c r="F26" s="470">
        <f>'Representado 2023'!M194</f>
        <v>259070.18</v>
      </c>
      <c r="G26" s="353">
        <f>'BALANCETE 2023'!$L$177</f>
        <v>259070.18</v>
      </c>
      <c r="H26" s="473">
        <f>'[3]BALANCETE 2023'!E198</f>
        <v>0</v>
      </c>
      <c r="I26" s="254">
        <f>H26-G26</f>
        <v>-259070.18</v>
      </c>
      <c r="J26" s="359">
        <v>259070.18</v>
      </c>
      <c r="K26" s="610"/>
      <c r="L26" s="353">
        <f t="shared" si="7"/>
        <v>-543285.40999999992</v>
      </c>
      <c r="M26" s="617">
        <f t="shared" si="5"/>
        <v>-259070.18</v>
      </c>
      <c r="N26" s="353">
        <f t="shared" si="6"/>
        <v>-259070.18</v>
      </c>
      <c r="O26" s="264" t="s">
        <v>2421</v>
      </c>
      <c r="P26" s="2"/>
      <c r="R26" s="2"/>
      <c r="T26" s="654">
        <f t="shared" si="0"/>
        <v>0</v>
      </c>
    </row>
    <row r="27" spans="1:26" x14ac:dyDescent="0.3">
      <c r="B27" s="334"/>
      <c r="C27" s="468" t="s">
        <v>2423</v>
      </c>
      <c r="D27" s="467">
        <v>13</v>
      </c>
      <c r="E27" s="470">
        <f>'BALANCETE 2024'!G208</f>
        <v>23431470.329999998</v>
      </c>
      <c r="F27" s="470">
        <f>'Representado 2023'!M197</f>
        <v>27788849.069999993</v>
      </c>
      <c r="G27" s="353">
        <f>'BALANCETE 2023'!$L$180</f>
        <v>26364605.84</v>
      </c>
      <c r="H27" s="469">
        <f>SUM('[3]BALANCETE 2023'!E201)</f>
        <v>28341193.789999999</v>
      </c>
      <c r="I27" s="254">
        <f>H27-G27</f>
        <v>1976587.9499999993</v>
      </c>
      <c r="J27" s="359">
        <v>26364605.84</v>
      </c>
      <c r="K27" s="610"/>
      <c r="L27" s="353">
        <f t="shared" si="7"/>
        <v>4357378.7399999946</v>
      </c>
      <c r="M27" s="617">
        <f t="shared" si="5"/>
        <v>552344.72000000626</v>
      </c>
      <c r="N27" s="248">
        <f t="shared" si="6"/>
        <v>1976587.9499999993</v>
      </c>
      <c r="O27" s="259"/>
      <c r="P27" s="2"/>
      <c r="Q27" s="254">
        <f>I27-'DFC 2023_2024'!G18</f>
        <v>1454215.3999999992</v>
      </c>
      <c r="R27" s="2"/>
      <c r="T27" s="654">
        <f t="shared" si="0"/>
        <v>-1424243.229999993</v>
      </c>
      <c r="U27" s="254">
        <f>F27-E27</f>
        <v>4357378.7399999946</v>
      </c>
      <c r="Y27" s="359">
        <f>'DFC 2023_2024'!E18</f>
        <v>4133008.38</v>
      </c>
      <c r="Z27" s="241">
        <f>U27-Y27-T27</f>
        <v>1648613.5899999877</v>
      </c>
    </row>
    <row r="28" spans="1:26" x14ac:dyDescent="0.3">
      <c r="A28" s="475"/>
      <c r="B28" s="468"/>
      <c r="C28" s="468"/>
      <c r="D28" s="467"/>
      <c r="E28" s="508"/>
      <c r="F28" s="508"/>
      <c r="G28" s="353"/>
      <c r="H28" s="474"/>
      <c r="I28" s="475"/>
      <c r="J28" s="476"/>
      <c r="K28" s="610"/>
      <c r="L28" s="476"/>
      <c r="M28" s="618"/>
      <c r="N28" s="354"/>
      <c r="O28" s="477"/>
      <c r="P28" s="475"/>
      <c r="Q28" s="475"/>
      <c r="R28" s="475"/>
      <c r="S28" s="475"/>
      <c r="T28" s="254">
        <f t="shared" si="0"/>
        <v>0</v>
      </c>
      <c r="U28" s="475"/>
    </row>
    <row r="29" spans="1:26" x14ac:dyDescent="0.3">
      <c r="A29" s="475"/>
      <c r="B29" s="466" t="s">
        <v>2424</v>
      </c>
      <c r="C29" s="466"/>
      <c r="D29" s="468"/>
      <c r="E29" s="354">
        <f>E23+E15</f>
        <v>53823389.989999995</v>
      </c>
      <c r="F29" s="354">
        <f>F23+F15</f>
        <v>48075540.989999995</v>
      </c>
      <c r="G29" s="354">
        <f>G23+G15</f>
        <v>55707116.549999997</v>
      </c>
      <c r="H29" s="354">
        <f>H15+H23</f>
        <v>58488220.680000007</v>
      </c>
      <c r="I29" s="475"/>
      <c r="J29" s="476">
        <v>55707116.549999997</v>
      </c>
      <c r="K29" s="610"/>
      <c r="L29" s="354">
        <f>L23+L15</f>
        <v>-5747849.0000000037</v>
      </c>
      <c r="M29" s="616">
        <f>M23+M15</f>
        <v>10412679.690000005</v>
      </c>
      <c r="N29" s="354">
        <f>SUM(N16:N27)</f>
        <v>2781104.1299999994</v>
      </c>
      <c r="O29" s="478">
        <f>H29-G29</f>
        <v>2781104.1300000101</v>
      </c>
      <c r="P29" s="471">
        <f>G29-E29</f>
        <v>1883726.5600000024</v>
      </c>
      <c r="Q29" s="475"/>
      <c r="R29" s="475"/>
      <c r="S29" s="475"/>
      <c r="T29" s="655">
        <f t="shared" si="0"/>
        <v>7631575.5600000024</v>
      </c>
      <c r="U29" s="475"/>
    </row>
    <row r="30" spans="1:26" x14ac:dyDescent="0.3">
      <c r="A30" s="475"/>
      <c r="B30" s="466"/>
      <c r="C30" s="466"/>
      <c r="D30" s="724"/>
      <c r="E30" s="725">
        <f>SUM(E34:E39)-(E39)</f>
        <v>71222306.959999993</v>
      </c>
      <c r="F30" s="725">
        <f>SUM(F34:F39)-(F39)</f>
        <v>28616399.129999999</v>
      </c>
      <c r="G30" s="725">
        <f>SUM(G34:G39)-(G39)</f>
        <v>31038395.789999999</v>
      </c>
      <c r="H30" s="479"/>
      <c r="I30" s="475"/>
      <c r="J30" s="476">
        <v>31038395.789999999</v>
      </c>
      <c r="K30" s="610"/>
      <c r="L30" s="476"/>
      <c r="M30" s="618"/>
      <c r="N30" s="354"/>
      <c r="O30" s="480"/>
      <c r="P30" s="475"/>
      <c r="Q30" s="475"/>
      <c r="R30" s="475"/>
      <c r="S30" s="475"/>
      <c r="T30" s="731">
        <f t="shared" si="0"/>
        <v>2421996.66</v>
      </c>
      <c r="U30" s="475"/>
    </row>
    <row r="31" spans="1:26" x14ac:dyDescent="0.3">
      <c r="A31" s="475"/>
      <c r="B31" s="466" t="s">
        <v>2425</v>
      </c>
      <c r="C31" s="466"/>
      <c r="D31" s="724"/>
      <c r="E31" s="725"/>
      <c r="F31" s="725"/>
      <c r="G31" s="725"/>
      <c r="H31" s="472">
        <f>SUM(H34:H38)</f>
        <v>36773048.050000004</v>
      </c>
      <c r="I31" s="475"/>
      <c r="J31" s="476"/>
      <c r="K31" s="610"/>
      <c r="L31" s="476"/>
      <c r="M31" s="618"/>
      <c r="N31" s="353"/>
      <c r="O31" s="480"/>
      <c r="P31" s="475"/>
      <c r="Q31" s="475"/>
      <c r="R31" s="475"/>
      <c r="S31" s="475"/>
      <c r="T31" s="731"/>
      <c r="U31" s="475"/>
      <c r="Y31" s="359">
        <v>981850.8200000003</v>
      </c>
      <c r="Z31" s="241">
        <f>Z27-Y31</f>
        <v>666762.76999998745</v>
      </c>
    </row>
    <row r="32" spans="1:26" x14ac:dyDescent="0.3">
      <c r="A32" s="475"/>
      <c r="B32" s="468"/>
      <c r="C32" s="468"/>
      <c r="D32" s="724"/>
      <c r="E32" s="725"/>
      <c r="F32" s="725"/>
      <c r="G32" s="725"/>
      <c r="H32" s="472"/>
      <c r="I32" s="475"/>
      <c r="J32" s="476"/>
      <c r="K32" s="610"/>
      <c r="L32" s="476"/>
      <c r="M32" s="618"/>
      <c r="N32" s="353"/>
      <c r="O32" s="480"/>
      <c r="P32" s="475"/>
      <c r="Q32" s="475"/>
      <c r="R32" s="475"/>
      <c r="S32" s="475"/>
      <c r="T32" s="731"/>
      <c r="U32" s="475"/>
    </row>
    <row r="33" spans="1:21" x14ac:dyDescent="0.3">
      <c r="A33" s="475"/>
      <c r="B33" s="671" t="s">
        <v>2407</v>
      </c>
      <c r="C33" s="468"/>
      <c r="D33" s="467"/>
      <c r="E33" s="616">
        <f>SUM(E34:E38)</f>
        <v>71222306.959999993</v>
      </c>
      <c r="F33" s="616">
        <f>SUM(F34:F38)</f>
        <v>28616399.129999999</v>
      </c>
      <c r="G33" s="616">
        <f>SUM(G34:G38)</f>
        <v>31038395.789999999</v>
      </c>
      <c r="H33" s="472"/>
      <c r="I33" s="475"/>
      <c r="J33" s="476"/>
      <c r="K33" s="610"/>
      <c r="L33" s="476"/>
      <c r="M33" s="618"/>
      <c r="N33" s="353"/>
      <c r="O33" s="480"/>
      <c r="P33" s="475"/>
      <c r="Q33" s="475"/>
      <c r="R33" s="475"/>
      <c r="S33" s="475"/>
      <c r="T33" s="656"/>
      <c r="U33" s="475"/>
    </row>
    <row r="34" spans="1:21" x14ac:dyDescent="0.3">
      <c r="A34" s="475"/>
      <c r="B34" s="468"/>
      <c r="C34" s="468" t="s">
        <v>2426</v>
      </c>
      <c r="D34" s="467">
        <v>14</v>
      </c>
      <c r="E34" s="470">
        <f>-'BALANCETE 2024'!G280</f>
        <v>9480703.7400000002</v>
      </c>
      <c r="F34" s="469">
        <f>-'Representado 2023'!M289</f>
        <v>2151906.86</v>
      </c>
      <c r="G34" s="353">
        <f>-'BALANCETE 2023'!$L$252</f>
        <v>4077431.68</v>
      </c>
      <c r="H34" s="470">
        <f>SUM('[3]BALANCETE 2023'!E283)</f>
        <v>22911739.98</v>
      </c>
      <c r="I34" s="471">
        <f>G34-H34</f>
        <v>-18834308.300000001</v>
      </c>
      <c r="J34" s="476">
        <v>4077431.68</v>
      </c>
      <c r="K34" s="610"/>
      <c r="L34" s="353">
        <f>E34-F34</f>
        <v>7328796.8800000008</v>
      </c>
      <c r="M34" s="619">
        <f t="shared" ref="M34:M38" si="8">F34-H34</f>
        <v>-20759833.120000001</v>
      </c>
      <c r="N34" s="353">
        <f>G34-H34</f>
        <v>-18834308.300000001</v>
      </c>
      <c r="O34" s="481" t="s">
        <v>2427</v>
      </c>
      <c r="P34" s="475"/>
      <c r="Q34" s="471"/>
      <c r="R34" s="475"/>
      <c r="S34" s="475"/>
      <c r="T34" s="654">
        <f t="shared" ref="T34:T53" si="9">G34-F34</f>
        <v>1925524.8200000003</v>
      </c>
      <c r="U34" s="471"/>
    </row>
    <row r="35" spans="1:21" x14ac:dyDescent="0.3">
      <c r="A35" s="475"/>
      <c r="B35" s="468"/>
      <c r="C35" s="468" t="s">
        <v>2428</v>
      </c>
      <c r="D35" s="467">
        <v>15</v>
      </c>
      <c r="E35" s="470">
        <f>-('BALANCETE 2024'!G438+'BALANCETE 2024'!G484)</f>
        <v>8979229.0500000007</v>
      </c>
      <c r="F35" s="470">
        <f>-'Representado 2023'!M438-'Representado 2023'!M488</f>
        <v>6991923.9299999997</v>
      </c>
      <c r="G35" s="353">
        <f>-('BALANCETE 2023'!L391+'BALANCETE 2023'!L438)</f>
        <v>6991923.9299999997</v>
      </c>
      <c r="H35" s="470">
        <f>SUM('[3]BALANCETE 2023'!E429+'[3]BALANCETE 2023'!E484)</f>
        <v>1088958.8800000001</v>
      </c>
      <c r="I35" s="471">
        <f>G35-H35</f>
        <v>5902965.0499999998</v>
      </c>
      <c r="J35" s="476">
        <v>6991923.9299999997</v>
      </c>
      <c r="K35" s="610"/>
      <c r="L35" s="353">
        <f t="shared" ref="L35:L38" si="10">E35-F35</f>
        <v>1987305.120000001</v>
      </c>
      <c r="M35" s="619">
        <f t="shared" si="8"/>
        <v>5902965.0499999998</v>
      </c>
      <c r="N35" s="353">
        <f t="shared" ref="N35:N38" si="11">G35-H35</f>
        <v>5902965.0499999998</v>
      </c>
      <c r="O35" s="481" t="s">
        <v>2429</v>
      </c>
      <c r="P35" s="475"/>
      <c r="Q35" s="475"/>
      <c r="R35" s="475"/>
      <c r="S35" s="475"/>
      <c r="T35" s="254">
        <f t="shared" si="9"/>
        <v>0</v>
      </c>
      <c r="U35" s="471"/>
    </row>
    <row r="36" spans="1:21" x14ac:dyDescent="0.3">
      <c r="A36" s="475"/>
      <c r="B36" s="468"/>
      <c r="C36" s="468" t="s">
        <v>2430</v>
      </c>
      <c r="D36" s="467">
        <v>16</v>
      </c>
      <c r="E36" s="470">
        <f>-'BALANCETE 2024'!G461</f>
        <v>884600.54</v>
      </c>
      <c r="F36" s="470">
        <f>-'Representado 2023'!M458</f>
        <v>1015979.43</v>
      </c>
      <c r="G36" s="353">
        <f>-'BALANCETE 2023'!$L$411</f>
        <v>1020273.72</v>
      </c>
      <c r="H36" s="470">
        <f>'[3]BALANCETE 2023'!E452</f>
        <v>1157924.8500000001</v>
      </c>
      <c r="I36" s="471">
        <f>G36-H36</f>
        <v>-137651.13000000012</v>
      </c>
      <c r="J36" s="476">
        <v>1020273.72</v>
      </c>
      <c r="K36" s="610"/>
      <c r="L36" s="353">
        <f t="shared" si="10"/>
        <v>-131378.89000000001</v>
      </c>
      <c r="M36" s="619">
        <f t="shared" si="8"/>
        <v>-141945.42000000004</v>
      </c>
      <c r="N36" s="353">
        <f t="shared" si="11"/>
        <v>-137651.13000000012</v>
      </c>
      <c r="O36" s="481" t="s">
        <v>2431</v>
      </c>
      <c r="P36" s="475"/>
      <c r="Q36" s="475"/>
      <c r="R36" s="475"/>
      <c r="S36" s="475"/>
      <c r="T36" s="654">
        <f t="shared" si="9"/>
        <v>4294.2899999999208</v>
      </c>
      <c r="U36" s="471"/>
    </row>
    <row r="37" spans="1:21" x14ac:dyDescent="0.3">
      <c r="A37" s="475"/>
      <c r="B37" s="468"/>
      <c r="C37" s="468" t="s">
        <v>4955</v>
      </c>
      <c r="D37" s="467">
        <v>17</v>
      </c>
      <c r="E37" s="470">
        <f>-'BALANCETE 2024'!G475</f>
        <v>3692623.35</v>
      </c>
      <c r="F37" s="470">
        <f>-'Representado 2023'!M478</f>
        <v>6041959.0499999998</v>
      </c>
      <c r="G37" s="353">
        <f>-'BALANCETE 2023'!$L$428</f>
        <v>6041959.0499999998</v>
      </c>
      <c r="H37" s="470">
        <f>SUM('[3]BALANCETE 2023'!E471)</f>
        <v>8816074.5700000003</v>
      </c>
      <c r="I37" s="471">
        <f>G37-H37</f>
        <v>-2774115.5200000005</v>
      </c>
      <c r="J37" s="476">
        <v>6041959.0499999998</v>
      </c>
      <c r="K37" s="610"/>
      <c r="L37" s="353">
        <f t="shared" si="10"/>
        <v>-2349335.6999999997</v>
      </c>
      <c r="M37" s="619">
        <f t="shared" si="8"/>
        <v>-2774115.5200000005</v>
      </c>
      <c r="N37" s="471">
        <f t="shared" si="11"/>
        <v>-2774115.5200000005</v>
      </c>
      <c r="O37" s="481" t="s">
        <v>2433</v>
      </c>
      <c r="P37" s="475"/>
      <c r="Q37" s="471"/>
      <c r="R37" s="475"/>
      <c r="S37" s="475"/>
      <c r="T37" s="254">
        <f t="shared" si="9"/>
        <v>0</v>
      </c>
      <c r="U37" s="471"/>
    </row>
    <row r="38" spans="1:21" x14ac:dyDescent="0.3">
      <c r="A38" s="475"/>
      <c r="B38" s="468"/>
      <c r="C38" s="468" t="s">
        <v>2434</v>
      </c>
      <c r="D38" s="467">
        <v>18</v>
      </c>
      <c r="E38" s="470">
        <f>-('BALANCETE 2024'!G479+'BALANCETE 2024'!G481+'BALANCETE 2024'!G490)</f>
        <v>48185150.279999994</v>
      </c>
      <c r="F38" s="470">
        <f>-'Representado 2023'!M482-'Representado 2023'!M484-'Representado 2023'!M493</f>
        <v>12414629.859999999</v>
      </c>
      <c r="G38" s="353">
        <f>-('BALANCETE 2023'!L432+'BALANCETE 2023'!L434+'BALANCETE 2023'!L443)</f>
        <v>12906807.409999998</v>
      </c>
      <c r="H38" s="470">
        <f>SUM('[3]BALANCETE 2023'!E476+'[3]BALANCETE 2023'!E479+'[3]BALANCETE 2023'!E490)</f>
        <v>2798349.77</v>
      </c>
      <c r="I38" s="471">
        <f>G38-H38</f>
        <v>10108457.639999999</v>
      </c>
      <c r="J38" s="476">
        <v>12906807.409999998</v>
      </c>
      <c r="K38" s="610"/>
      <c r="L38" s="353">
        <f t="shared" si="10"/>
        <v>35770520.419999994</v>
      </c>
      <c r="M38" s="619">
        <f t="shared" si="8"/>
        <v>9616280.0899999999</v>
      </c>
      <c r="N38" s="470">
        <f t="shared" si="11"/>
        <v>10108457.639999999</v>
      </c>
      <c r="O38" s="481" t="s">
        <v>2427</v>
      </c>
      <c r="P38" s="475"/>
      <c r="Q38" s="475"/>
      <c r="R38" s="475"/>
      <c r="S38" s="475"/>
      <c r="T38" s="654">
        <f t="shared" si="9"/>
        <v>492177.54999999888</v>
      </c>
      <c r="U38" s="471"/>
    </row>
    <row r="39" spans="1:21" x14ac:dyDescent="0.3">
      <c r="A39" s="475"/>
      <c r="B39" s="468"/>
      <c r="C39" s="468"/>
      <c r="D39" s="467"/>
      <c r="E39" s="508"/>
      <c r="F39" s="508"/>
      <c r="G39" s="515"/>
      <c r="H39" s="470"/>
      <c r="I39" s="475"/>
      <c r="J39" s="476"/>
      <c r="K39" s="610"/>
      <c r="L39" s="476"/>
      <c r="M39" s="618"/>
      <c r="N39" s="353"/>
      <c r="O39" s="480"/>
      <c r="P39" s="475"/>
      <c r="Q39" s="475"/>
      <c r="R39" s="475"/>
      <c r="S39" s="475"/>
      <c r="T39" s="254">
        <f t="shared" si="9"/>
        <v>0</v>
      </c>
      <c r="U39" s="475"/>
    </row>
    <row r="40" spans="1:21" x14ac:dyDescent="0.3">
      <c r="A40" s="475"/>
      <c r="B40" s="466" t="s">
        <v>2435</v>
      </c>
      <c r="C40" s="466"/>
      <c r="D40" s="467"/>
      <c r="E40" s="354">
        <f>SUM(E41:E44)</f>
        <v>29985792.219999999</v>
      </c>
      <c r="F40" s="354">
        <f>SUM(F41:F44)</f>
        <v>66658619.730000004</v>
      </c>
      <c r="G40" s="354">
        <f>SUM(G41:G44)</f>
        <v>66658619.730000004</v>
      </c>
      <c r="H40" s="354">
        <f>SUM(H41:H44)</f>
        <v>48715220.960000001</v>
      </c>
      <c r="I40" s="475"/>
      <c r="J40" s="476">
        <v>66658619.730000004</v>
      </c>
      <c r="K40" s="610"/>
      <c r="L40" s="476"/>
      <c r="M40" s="618"/>
      <c r="N40" s="353"/>
      <c r="O40" s="480"/>
      <c r="P40" s="475"/>
      <c r="Q40" s="475"/>
      <c r="R40" s="475"/>
      <c r="S40" s="475"/>
      <c r="T40" s="254">
        <f t="shared" si="9"/>
        <v>0</v>
      </c>
      <c r="U40" s="475"/>
    </row>
    <row r="41" spans="1:21" x14ac:dyDescent="0.3">
      <c r="A41" s="475"/>
      <c r="B41" s="468"/>
      <c r="C41" s="468" t="s">
        <v>2436</v>
      </c>
      <c r="D41" s="467">
        <v>19</v>
      </c>
      <c r="E41" s="353">
        <f>-('BALANCETE 2024'!G500+'BALANCETE 2024'!G511)</f>
        <v>26721115.93</v>
      </c>
      <c r="F41" s="353">
        <f>-'Representado 2023'!M502-'Representado 2023'!M512</f>
        <v>34961276.490000002</v>
      </c>
      <c r="G41" s="353">
        <f>-('BALANCETE 2023'!L451+'BALANCETE 2023'!L461)</f>
        <v>34961276.490000002</v>
      </c>
      <c r="H41" s="470">
        <f>SUM('[3]BALANCETE 2023'!E499+'[3]BALANCETE 2023'!E512)</f>
        <v>1807153.98</v>
      </c>
      <c r="I41" s="471">
        <f>G41-H41</f>
        <v>33154122.510000002</v>
      </c>
      <c r="J41" s="476">
        <v>34961276.490000002</v>
      </c>
      <c r="K41" s="610"/>
      <c r="L41" s="353">
        <f>E41-F41</f>
        <v>-8240160.5600000024</v>
      </c>
      <c r="M41" s="619">
        <f t="shared" ref="M41:M43" si="12">F41-H41</f>
        <v>33154122.510000002</v>
      </c>
      <c r="N41" s="353">
        <f t="shared" ref="N41:N43" si="13">G41-H41</f>
        <v>33154122.510000002</v>
      </c>
      <c r="O41" s="481" t="s">
        <v>2437</v>
      </c>
      <c r="P41" s="475"/>
      <c r="Q41" s="475"/>
      <c r="R41" s="475"/>
      <c r="S41" s="475"/>
      <c r="T41" s="254">
        <f t="shared" si="9"/>
        <v>0</v>
      </c>
      <c r="U41" s="475"/>
    </row>
    <row r="42" spans="1:21" x14ac:dyDescent="0.3">
      <c r="A42" s="475"/>
      <c r="B42" s="468"/>
      <c r="C42" s="468" t="s">
        <v>2438</v>
      </c>
      <c r="D42" s="467">
        <v>20</v>
      </c>
      <c r="E42" s="470">
        <f>-'BALANCETE 2024'!G504</f>
        <v>651940.77</v>
      </c>
      <c r="F42" s="470">
        <f>-'Representado 2023'!M506</f>
        <v>1286183.6399999999</v>
      </c>
      <c r="G42" s="353">
        <f>-'BALANCETE 2023'!L455</f>
        <v>1286183.6399999999</v>
      </c>
      <c r="H42" s="470">
        <f>SUM('[3]BALANCETE 2023'!E504)</f>
        <v>2094201.41</v>
      </c>
      <c r="I42" s="471">
        <f>G42-H42</f>
        <v>-808017.77</v>
      </c>
      <c r="J42" s="476">
        <v>1286183.6399999999</v>
      </c>
      <c r="K42" s="610"/>
      <c r="L42" s="353">
        <f t="shared" ref="L42:L43" si="14">E42-F42</f>
        <v>-634242.86999999988</v>
      </c>
      <c r="M42" s="619">
        <f t="shared" si="12"/>
        <v>-808017.77</v>
      </c>
      <c r="N42" s="353">
        <f t="shared" si="13"/>
        <v>-808017.77</v>
      </c>
      <c r="O42" s="481" t="s">
        <v>2437</v>
      </c>
      <c r="P42" s="475"/>
      <c r="Q42" s="475"/>
      <c r="R42" s="475"/>
      <c r="S42" s="475"/>
      <c r="T42" s="254">
        <f t="shared" si="9"/>
        <v>0</v>
      </c>
      <c r="U42" s="475"/>
    </row>
    <row r="43" spans="1:21" x14ac:dyDescent="0.3">
      <c r="A43" s="475"/>
      <c r="B43" s="468"/>
      <c r="C43" s="468" t="s">
        <v>2439</v>
      </c>
      <c r="D43" s="467">
        <v>21</v>
      </c>
      <c r="E43" s="470">
        <f>-'BALANCETE 2024'!G513</f>
        <v>2612735.52</v>
      </c>
      <c r="F43" s="470">
        <f>-'Representado 2023'!M514</f>
        <v>30411159.600000001</v>
      </c>
      <c r="G43" s="353">
        <f>-'BALANCETE 2023'!L463</f>
        <v>30411159.600000001</v>
      </c>
      <c r="H43" s="470">
        <f>SUM('[3]BALANCETE 2023'!E514)</f>
        <v>44813865.57</v>
      </c>
      <c r="I43" s="471">
        <f>G43-H43</f>
        <v>-14402705.969999999</v>
      </c>
      <c r="J43" s="476">
        <v>30411159.600000001</v>
      </c>
      <c r="K43" s="610"/>
      <c r="L43" s="353">
        <f t="shared" si="14"/>
        <v>-27798424.080000002</v>
      </c>
      <c r="M43" s="619">
        <f t="shared" si="12"/>
        <v>-14402705.969999999</v>
      </c>
      <c r="N43" s="353">
        <f t="shared" si="13"/>
        <v>-14402705.969999999</v>
      </c>
      <c r="O43" s="481" t="s">
        <v>2437</v>
      </c>
      <c r="P43" s="475"/>
      <c r="Q43" s="475"/>
      <c r="R43" s="475"/>
      <c r="S43" s="475"/>
      <c r="T43" s="254">
        <f t="shared" si="9"/>
        <v>0</v>
      </c>
      <c r="U43" s="475"/>
    </row>
    <row r="44" spans="1:21" hidden="1" x14ac:dyDescent="0.3">
      <c r="A44" s="475"/>
      <c r="B44" s="468"/>
      <c r="C44" s="650" t="s">
        <v>2440</v>
      </c>
      <c r="D44" s="651" t="s">
        <v>1525</v>
      </c>
      <c r="E44" s="652">
        <v>0</v>
      </c>
      <c r="F44" s="652">
        <v>0</v>
      </c>
      <c r="G44" s="653">
        <v>0</v>
      </c>
      <c r="H44" s="483">
        <v>0</v>
      </c>
      <c r="I44" s="471">
        <f>G44-H44</f>
        <v>0</v>
      </c>
      <c r="J44" s="476">
        <v>0</v>
      </c>
      <c r="K44" s="610"/>
      <c r="L44" s="476"/>
      <c r="M44" s="618"/>
      <c r="N44" s="354"/>
      <c r="O44" s="484"/>
      <c r="P44" s="475"/>
      <c r="Q44" s="475"/>
      <c r="R44" s="475"/>
      <c r="S44" s="475"/>
      <c r="T44" s="254">
        <f t="shared" si="9"/>
        <v>0</v>
      </c>
      <c r="U44" s="475"/>
    </row>
    <row r="45" spans="1:21" x14ac:dyDescent="0.3">
      <c r="A45" s="475"/>
      <c r="B45" s="468"/>
      <c r="C45" s="468"/>
      <c r="D45" s="467"/>
      <c r="E45" s="508"/>
      <c r="F45" s="508"/>
      <c r="G45" s="353"/>
      <c r="H45" s="470"/>
      <c r="I45" s="475"/>
      <c r="J45" s="476"/>
      <c r="K45" s="610"/>
      <c r="L45" s="476"/>
      <c r="M45" s="618"/>
      <c r="N45" s="354"/>
      <c r="O45" s="480"/>
      <c r="P45" s="475"/>
      <c r="Q45" s="475"/>
      <c r="R45" s="475"/>
      <c r="S45" s="475"/>
      <c r="T45" s="254">
        <f t="shared" si="9"/>
        <v>0</v>
      </c>
      <c r="U45" s="475"/>
    </row>
    <row r="46" spans="1:21" x14ac:dyDescent="0.3">
      <c r="A46" s="475"/>
      <c r="B46" s="466" t="s">
        <v>2442</v>
      </c>
      <c r="C46" s="466"/>
      <c r="D46" s="467"/>
      <c r="E46" s="509">
        <f>SUM(E48:E51)</f>
        <v>-47384709.190000013</v>
      </c>
      <c r="F46" s="509">
        <f>SUM(F48:F51)</f>
        <v>-47199477.869999968</v>
      </c>
      <c r="G46" s="509">
        <f>SUM(G48:G51)</f>
        <v>-41989898.969999969</v>
      </c>
      <c r="H46" s="349">
        <f>SUM(H48:H51)</f>
        <v>-27000048.32999998</v>
      </c>
      <c r="I46" s="475"/>
      <c r="J46" s="476">
        <v>-41989899.069999993</v>
      </c>
      <c r="K46" s="610"/>
      <c r="L46" s="485">
        <f>G46-E46</f>
        <v>5394810.2200000435</v>
      </c>
      <c r="M46" s="616">
        <f>H46-F46</f>
        <v>20199429.539999988</v>
      </c>
      <c r="N46" s="485">
        <f>H46-G46</f>
        <v>14989850.639999989</v>
      </c>
      <c r="O46" s="486">
        <f>H46-G46</f>
        <v>14989850.639999989</v>
      </c>
      <c r="P46" s="475"/>
      <c r="Q46" s="475"/>
      <c r="R46" s="475"/>
      <c r="S46" s="475"/>
      <c r="T46" s="655">
        <f t="shared" si="9"/>
        <v>5209578.8999999985</v>
      </c>
      <c r="U46" s="475"/>
    </row>
    <row r="47" spans="1:21" x14ac:dyDescent="0.3">
      <c r="A47" s="475"/>
      <c r="B47" s="468"/>
      <c r="C47" s="468"/>
      <c r="D47" s="467"/>
      <c r="E47" s="508"/>
      <c r="F47" s="508"/>
      <c r="G47" s="354"/>
      <c r="H47" s="354"/>
      <c r="I47" s="475"/>
      <c r="J47" s="476"/>
      <c r="K47" s="610"/>
      <c r="L47" s="476"/>
      <c r="M47" s="618"/>
      <c r="N47" s="353"/>
      <c r="O47" s="480"/>
      <c r="P47" s="475"/>
      <c r="Q47" s="475"/>
      <c r="R47" s="475"/>
      <c r="S47" s="475"/>
      <c r="T47" s="254">
        <f t="shared" si="9"/>
        <v>0</v>
      </c>
      <c r="U47" s="475"/>
    </row>
    <row r="48" spans="1:21" x14ac:dyDescent="0.3">
      <c r="A48" s="475"/>
      <c r="B48" s="468"/>
      <c r="C48" s="468" t="s">
        <v>2443</v>
      </c>
      <c r="D48" s="467">
        <v>22</v>
      </c>
      <c r="E48" s="353">
        <f>-'BALANCETE 2024'!G518-'BALANCETE 2024'!G529</f>
        <v>223483746.68000001</v>
      </c>
      <c r="F48" s="353">
        <f>-'Representado 2023'!M520-'Representado 2023'!M532</f>
        <v>223483746.68000001</v>
      </c>
      <c r="G48" s="353">
        <f>-'BALANCETE 2023'!L469-'BALANCETE 2023'!L481</f>
        <v>223483746.68000001</v>
      </c>
      <c r="H48" s="470">
        <f>SUM('[3]BALANCETE 2023'!E521-'[3]BALANCETE 2023'!E536)</f>
        <v>223483746.68000001</v>
      </c>
      <c r="I48" s="471">
        <f>G48-H48</f>
        <v>0</v>
      </c>
      <c r="J48" s="476">
        <v>223483746.68000001</v>
      </c>
      <c r="K48" s="610"/>
      <c r="L48" s="353">
        <f>F48-E48</f>
        <v>0</v>
      </c>
      <c r="M48" s="617">
        <f t="shared" ref="M48:M49" si="15">H48-F48</f>
        <v>0</v>
      </c>
      <c r="N48" s="353">
        <f>H48-G48</f>
        <v>0</v>
      </c>
      <c r="O48" s="480"/>
      <c r="P48" s="475"/>
      <c r="Q48" s="475"/>
      <c r="R48" s="475"/>
      <c r="S48" s="475"/>
      <c r="T48" s="254">
        <f t="shared" si="9"/>
        <v>0</v>
      </c>
      <c r="U48" s="475"/>
    </row>
    <row r="49" spans="1:24" x14ac:dyDescent="0.3">
      <c r="A49" s="475"/>
      <c r="B49" s="468"/>
      <c r="C49" s="468" t="s">
        <v>2059</v>
      </c>
      <c r="D49" s="658"/>
      <c r="E49" s="510"/>
      <c r="F49" s="482">
        <v>0</v>
      </c>
      <c r="G49" s="482">
        <v>0</v>
      </c>
      <c r="H49" s="482">
        <v>0</v>
      </c>
      <c r="I49" s="475"/>
      <c r="J49" s="476">
        <v>0</v>
      </c>
      <c r="K49" s="610"/>
      <c r="L49" s="353">
        <f>F49-E49</f>
        <v>0</v>
      </c>
      <c r="M49" s="617">
        <f t="shared" si="15"/>
        <v>0</v>
      </c>
      <c r="N49" s="470">
        <f>-G49+H49</f>
        <v>0</v>
      </c>
      <c r="O49" s="726">
        <f>SUM(N49:N51)</f>
        <v>-29853371.379999995</v>
      </c>
      <c r="P49" s="475"/>
      <c r="Q49" s="475"/>
      <c r="R49" s="475"/>
      <c r="S49" s="475"/>
      <c r="T49" s="254">
        <f t="shared" si="9"/>
        <v>0</v>
      </c>
      <c r="U49" s="475"/>
    </row>
    <row r="50" spans="1:24" x14ac:dyDescent="0.3">
      <c r="A50" s="475"/>
      <c r="B50" s="468"/>
      <c r="C50" s="468" t="s">
        <v>4958</v>
      </c>
      <c r="D50" s="658"/>
      <c r="E50" s="657">
        <f>-('BALANCETE 2024'!G525+'BALANCETE 2024'!G527)</f>
        <v>-270683224.55000001</v>
      </c>
      <c r="F50" s="657">
        <f>-('Representado 2023'!M528+'Representado 2023'!M530)</f>
        <v>-255582199.45999998</v>
      </c>
      <c r="G50" s="657">
        <f>-('BALANCETE 2023'!L479+'BALANCETE 2023'!L477)</f>
        <v>-255582199.45999998</v>
      </c>
      <c r="H50" s="348">
        <f>SUM(-'[3]BALANCETE 2023'!E533-'[3]BALANCETE 2023'!E530)</f>
        <v>-233160588.44999999</v>
      </c>
      <c r="I50" s="471">
        <f>G50-H50</f>
        <v>-22421611.00999999</v>
      </c>
      <c r="J50" s="476">
        <v>-255582199.56</v>
      </c>
      <c r="K50" s="610"/>
      <c r="L50" s="354">
        <f>E50-G50</f>
        <v>-15101025.090000033</v>
      </c>
      <c r="M50" s="616">
        <f>F50-H50</f>
        <v>-22421611.00999999</v>
      </c>
      <c r="N50" s="354">
        <f>G50-H50</f>
        <v>-22421611.00999999</v>
      </c>
      <c r="O50" s="726"/>
      <c r="P50" s="475"/>
      <c r="Q50" s="475"/>
      <c r="R50" s="475"/>
      <c r="S50" s="475"/>
      <c r="T50" s="254">
        <f t="shared" si="9"/>
        <v>0</v>
      </c>
      <c r="U50" s="475"/>
    </row>
    <row r="51" spans="1:24" x14ac:dyDescent="0.3">
      <c r="A51" s="475"/>
      <c r="B51" s="468"/>
      <c r="C51" s="468" t="s">
        <v>4959</v>
      </c>
      <c r="D51" s="658"/>
      <c r="E51" s="657">
        <f>'DRE 2023_2024'!F33</f>
        <v>-185231.32000000981</v>
      </c>
      <c r="F51" s="657">
        <f>'DRE 2023_2024'!G33</f>
        <v>-15101025.089999996</v>
      </c>
      <c r="G51" s="657">
        <f>'DRE 2023_2024'!H33</f>
        <v>-9891446.1899999939</v>
      </c>
      <c r="H51" s="488">
        <v>-17323206.559999999</v>
      </c>
      <c r="I51" s="471">
        <f>G51-H51</f>
        <v>7431760.3700000048</v>
      </c>
      <c r="J51" s="476">
        <v>-9891446.1899999939</v>
      </c>
      <c r="K51" s="610"/>
      <c r="L51" s="470">
        <f>-E51+F51</f>
        <v>-14915793.769999987</v>
      </c>
      <c r="M51" s="616">
        <f>-F51+H51</f>
        <v>-2222181.4700000025</v>
      </c>
      <c r="N51" s="470">
        <f>-G51+H51</f>
        <v>-7431760.3700000048</v>
      </c>
      <c r="O51" s="480"/>
      <c r="P51" s="475"/>
      <c r="Q51" s="475"/>
      <c r="R51" s="475"/>
      <c r="S51" s="475"/>
      <c r="T51" s="654">
        <f t="shared" si="9"/>
        <v>5209578.9000000022</v>
      </c>
      <c r="U51" s="475"/>
    </row>
    <row r="52" spans="1:24" x14ac:dyDescent="0.3">
      <c r="A52" s="475"/>
      <c r="B52" s="468"/>
      <c r="C52" s="468" t="s">
        <v>3684</v>
      </c>
      <c r="D52" s="487"/>
      <c r="E52" s="510"/>
      <c r="F52" s="510"/>
      <c r="G52" s="516"/>
      <c r="H52" s="348"/>
      <c r="I52" s="475"/>
      <c r="J52" s="476"/>
      <c r="K52" s="610"/>
      <c r="L52" s="476"/>
      <c r="M52" s="618"/>
      <c r="N52" s="475"/>
      <c r="O52" s="478"/>
      <c r="P52" s="475"/>
      <c r="Q52" s="475"/>
      <c r="R52" s="475"/>
      <c r="S52" s="475"/>
      <c r="T52" s="254">
        <f t="shared" si="9"/>
        <v>0</v>
      </c>
      <c r="U52" s="475"/>
    </row>
    <row r="53" spans="1:24" x14ac:dyDescent="0.3">
      <c r="A53" s="475"/>
      <c r="B53" s="466" t="s">
        <v>5938</v>
      </c>
      <c r="C53" s="466"/>
      <c r="D53" s="468"/>
      <c r="E53" s="354">
        <f>SUM(E30+E40+E46)</f>
        <v>53823389.98999998</v>
      </c>
      <c r="F53" s="354">
        <f>SUM(F30+F40+F46)</f>
        <v>48075540.990000032</v>
      </c>
      <c r="G53" s="616">
        <f>SUM(G30+G40+G46)</f>
        <v>55707116.550000042</v>
      </c>
      <c r="H53" s="354">
        <f>H31+H40+H46</f>
        <v>58488220.680000022</v>
      </c>
      <c r="I53" s="475"/>
      <c r="J53" s="476">
        <v>55707116.450000018</v>
      </c>
      <c r="K53" s="610"/>
      <c r="L53" s="354">
        <f>SUM(L34:L52)</f>
        <v>-18688928.319999978</v>
      </c>
      <c r="M53" s="616">
        <f>SUM(M31:M52)</f>
        <v>5342386.9099999964</v>
      </c>
      <c r="N53" s="354">
        <f>SUM(N31:N52)</f>
        <v>-2654774.2300000042</v>
      </c>
      <c r="O53" s="478"/>
      <c r="P53" s="475"/>
      <c r="Q53" s="475"/>
      <c r="R53" s="475"/>
      <c r="S53" s="475"/>
      <c r="T53" s="655">
        <f t="shared" si="9"/>
        <v>7631575.5600000098</v>
      </c>
      <c r="U53" s="475"/>
      <c r="W53" s="254">
        <f>G53-G29</f>
        <v>0</v>
      </c>
      <c r="X53" s="254">
        <f>H53-H29</f>
        <v>0</v>
      </c>
    </row>
    <row r="54" spans="1:24" x14ac:dyDescent="0.3">
      <c r="A54" s="475"/>
      <c r="B54" s="468"/>
      <c r="C54" s="468"/>
      <c r="D54" s="475"/>
      <c r="E54" s="512"/>
      <c r="F54" s="512"/>
      <c r="G54" s="515"/>
      <c r="H54" s="471"/>
      <c r="I54" s="475"/>
      <c r="J54" s="475"/>
      <c r="L54" s="475"/>
      <c r="M54" s="620"/>
      <c r="N54" s="471"/>
      <c r="O54" s="471"/>
      <c r="P54" s="476"/>
      <c r="Q54" s="475"/>
      <c r="R54" s="489">
        <f>G51</f>
        <v>-9891446.1899999939</v>
      </c>
      <c r="S54" s="490" t="s">
        <v>3353</v>
      </c>
      <c r="T54" s="475"/>
      <c r="U54" s="475"/>
    </row>
    <row r="55" spans="1:24" x14ac:dyDescent="0.3">
      <c r="A55" s="475"/>
      <c r="B55" s="468"/>
      <c r="C55" s="468"/>
      <c r="D55" s="475"/>
      <c r="E55" s="512"/>
      <c r="F55" s="512"/>
      <c r="G55" s="512"/>
      <c r="H55" s="475"/>
      <c r="I55" s="475"/>
      <c r="J55" s="471">
        <f>G53-G29</f>
        <v>0</v>
      </c>
      <c r="K55" s="612"/>
      <c r="L55" s="471"/>
      <c r="M55" s="621"/>
      <c r="N55" s="471">
        <f>H53-H29</f>
        <v>0</v>
      </c>
      <c r="O55" s="475"/>
      <c r="P55" s="476">
        <v>-9.9999979138374301E-2</v>
      </c>
      <c r="Q55" s="475"/>
      <c r="R55" s="480"/>
      <c r="S55" s="475"/>
      <c r="T55" s="475"/>
      <c r="U55" s="475"/>
    </row>
    <row r="56" spans="1:24" x14ac:dyDescent="0.3">
      <c r="B56" s="733" t="s">
        <v>5895</v>
      </c>
      <c r="C56" s="733"/>
      <c r="D56" s="733"/>
      <c r="E56" s="733"/>
      <c r="F56" s="733"/>
      <c r="G56" s="733"/>
      <c r="H56" s="733"/>
      <c r="I56" s="733"/>
      <c r="J56" s="733"/>
      <c r="K56" s="733"/>
      <c r="L56" s="733"/>
      <c r="M56" s="733"/>
      <c r="N56" s="733"/>
      <c r="O56" s="733"/>
      <c r="P56" s="733"/>
      <c r="R56" s="268"/>
    </row>
    <row r="57" spans="1:24" x14ac:dyDescent="0.3">
      <c r="B57" s="708" t="s">
        <v>5896</v>
      </c>
      <c r="C57" s="708"/>
      <c r="D57" s="708"/>
      <c r="E57" s="708"/>
      <c r="F57" s="708"/>
      <c r="G57" s="708"/>
      <c r="H57" s="708"/>
      <c r="I57" s="708"/>
      <c r="J57" s="708"/>
      <c r="K57" s="708"/>
      <c r="L57" s="708"/>
      <c r="M57" s="708"/>
      <c r="N57" s="708"/>
      <c r="O57" s="708"/>
      <c r="P57" s="360"/>
      <c r="R57" s="263">
        <f>+R54-O49</f>
        <v>19961925.190000001</v>
      </c>
    </row>
    <row r="58" spans="1:24" x14ac:dyDescent="0.3">
      <c r="B58" s="708" t="s">
        <v>5897</v>
      </c>
      <c r="C58" s="708"/>
      <c r="D58" s="708"/>
      <c r="E58" s="708"/>
      <c r="F58" s="708"/>
      <c r="G58" s="708"/>
      <c r="H58" s="708"/>
      <c r="I58" s="708"/>
      <c r="J58" s="708"/>
      <c r="K58" s="708"/>
      <c r="L58" s="708"/>
      <c r="M58" s="708"/>
      <c r="N58" s="708"/>
      <c r="O58" s="708"/>
      <c r="P58" s="360"/>
    </row>
    <row r="59" spans="1:24" x14ac:dyDescent="0.3">
      <c r="B59" s="708" t="s">
        <v>5898</v>
      </c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</row>
    <row r="74" spans="2:16" x14ac:dyDescent="0.3">
      <c r="B74" s="707"/>
      <c r="C74" s="707"/>
      <c r="D74" s="707"/>
      <c r="E74" s="707"/>
      <c r="F74" s="707"/>
      <c r="G74" s="707"/>
      <c r="H74" s="707"/>
      <c r="I74" s="707"/>
      <c r="J74" s="707"/>
      <c r="K74" s="707"/>
      <c r="L74" s="707"/>
      <c r="M74" s="707"/>
      <c r="N74" s="707"/>
      <c r="O74" s="707"/>
      <c r="P74" s="358"/>
    </row>
    <row r="75" spans="2:16" x14ac:dyDescent="0.3">
      <c r="B75" s="707"/>
      <c r="C75" s="707"/>
      <c r="D75" s="707"/>
      <c r="E75" s="707"/>
      <c r="F75" s="707"/>
      <c r="G75" s="707"/>
      <c r="H75" s="707"/>
      <c r="I75" s="707"/>
      <c r="J75" s="707"/>
      <c r="K75" s="707"/>
      <c r="L75" s="707"/>
      <c r="M75" s="707"/>
      <c r="N75" s="707"/>
      <c r="O75" s="707"/>
      <c r="P75" s="358"/>
    </row>
    <row r="76" spans="2:16" x14ac:dyDescent="0.3">
      <c r="B76" s="3"/>
      <c r="C76" s="3"/>
      <c r="D76" s="3"/>
      <c r="E76" s="76"/>
      <c r="F76" s="76"/>
      <c r="G76" s="76"/>
      <c r="H76" s="3"/>
      <c r="I76" s="3"/>
      <c r="J76" s="3"/>
      <c r="K76" s="609"/>
      <c r="L76" s="3"/>
      <c r="M76" s="52"/>
      <c r="N76" s="3"/>
      <c r="O76" s="3"/>
      <c r="P76" s="358"/>
    </row>
    <row r="77" spans="2:16" x14ac:dyDescent="0.3">
      <c r="B77" s="707"/>
      <c r="C77" s="707"/>
      <c r="D77" s="707"/>
      <c r="E77" s="707"/>
      <c r="F77" s="707"/>
      <c r="G77" s="707"/>
      <c r="H77" s="707"/>
      <c r="I77" s="707"/>
      <c r="J77" s="707"/>
      <c r="K77" s="707"/>
      <c r="L77" s="707"/>
      <c r="M77" s="707"/>
      <c r="N77" s="707"/>
      <c r="O77" s="707"/>
      <c r="P77" s="358"/>
    </row>
    <row r="78" spans="2:16" x14ac:dyDescent="0.3">
      <c r="B78" s="707"/>
      <c r="C78" s="707"/>
      <c r="D78" s="707"/>
      <c r="E78" s="707"/>
      <c r="F78" s="707"/>
      <c r="G78" s="707"/>
      <c r="H78" s="707"/>
      <c r="I78" s="707"/>
      <c r="J78" s="707"/>
      <c r="K78" s="707"/>
      <c r="L78" s="707"/>
      <c r="M78" s="707"/>
      <c r="N78" s="707"/>
      <c r="O78" s="707"/>
      <c r="P78" s="358"/>
    </row>
    <row r="79" spans="2:16" x14ac:dyDescent="0.3">
      <c r="B79" s="3"/>
      <c r="C79" s="3"/>
      <c r="D79" s="3"/>
      <c r="E79" s="76"/>
      <c r="F79" s="76"/>
      <c r="G79" s="76"/>
      <c r="H79" s="3"/>
      <c r="I79" s="3"/>
      <c r="J79" s="3"/>
      <c r="K79" s="609"/>
      <c r="L79" s="3"/>
      <c r="M79" s="52"/>
      <c r="N79" s="3"/>
      <c r="O79" s="3"/>
      <c r="P79" s="358"/>
    </row>
    <row r="80" spans="2:16" x14ac:dyDescent="0.3">
      <c r="B80" s="727"/>
      <c r="C80" s="727"/>
      <c r="D80" s="333"/>
      <c r="E80" s="507"/>
      <c r="F80" s="507"/>
      <c r="G80" s="513"/>
      <c r="H80" s="334"/>
      <c r="I80" s="335"/>
      <c r="J80" s="335"/>
      <c r="K80" s="613"/>
      <c r="L80" s="335"/>
      <c r="M80" s="622"/>
      <c r="N80" s="336"/>
      <c r="O80" s="335"/>
      <c r="P80" s="361"/>
    </row>
    <row r="81" spans="2:16" x14ac:dyDescent="0.3">
      <c r="B81" s="727"/>
      <c r="C81" s="727"/>
      <c r="D81" s="727"/>
      <c r="E81" s="507"/>
      <c r="F81" s="507"/>
      <c r="G81" s="513"/>
      <c r="H81" s="334"/>
      <c r="I81" s="335"/>
      <c r="J81" s="335"/>
      <c r="K81" s="613"/>
      <c r="L81" s="335"/>
      <c r="M81" s="622"/>
      <c r="N81" s="337"/>
      <c r="O81" s="337"/>
      <c r="P81" s="362"/>
    </row>
    <row r="82" spans="2:16" x14ac:dyDescent="0.3">
      <c r="B82" s="728"/>
      <c r="C82" s="728"/>
      <c r="D82" s="728"/>
      <c r="E82" s="728"/>
      <c r="F82" s="728"/>
      <c r="G82" s="728"/>
      <c r="H82" s="728"/>
      <c r="I82" s="335"/>
      <c r="J82" s="335"/>
      <c r="K82" s="613"/>
      <c r="L82" s="335"/>
      <c r="M82" s="622"/>
      <c r="N82" s="338"/>
      <c r="O82" s="252"/>
      <c r="P82" s="345"/>
    </row>
    <row r="83" spans="2:16" x14ac:dyDescent="0.3">
      <c r="B83" s="253"/>
      <c r="C83" s="339"/>
      <c r="D83" s="728"/>
      <c r="E83" s="728"/>
      <c r="F83" s="728"/>
      <c r="G83" s="728"/>
      <c r="H83" s="334"/>
      <c r="I83" s="335"/>
      <c r="J83" s="335"/>
      <c r="K83" s="613"/>
      <c r="L83" s="335"/>
      <c r="M83" s="622"/>
      <c r="N83" s="338"/>
      <c r="O83" s="252"/>
      <c r="P83" s="345"/>
    </row>
    <row r="84" spans="2:16" x14ac:dyDescent="0.3">
      <c r="B84" s="729"/>
      <c r="C84" s="729"/>
      <c r="D84" s="728"/>
      <c r="E84" s="728"/>
      <c r="F84" s="728"/>
      <c r="G84" s="728"/>
      <c r="H84" s="334"/>
      <c r="I84" s="335"/>
      <c r="J84" s="335"/>
      <c r="K84" s="613"/>
      <c r="L84" s="335"/>
      <c r="M84" s="622"/>
      <c r="N84" s="338"/>
      <c r="O84" s="252"/>
      <c r="P84" s="345"/>
    </row>
    <row r="85" spans="2:16" x14ac:dyDescent="0.3">
      <c r="B85" s="339"/>
      <c r="C85" s="339"/>
      <c r="D85" s="334"/>
      <c r="E85" s="513"/>
      <c r="F85" s="513"/>
      <c r="G85" s="513"/>
      <c r="H85" s="334"/>
      <c r="I85" s="335"/>
      <c r="J85" s="335"/>
      <c r="K85" s="613"/>
      <c r="L85" s="335"/>
      <c r="M85" s="622"/>
      <c r="N85" s="338"/>
      <c r="O85" s="252"/>
      <c r="P85" s="345"/>
    </row>
    <row r="86" spans="2:16" x14ac:dyDescent="0.3">
      <c r="B86" s="728"/>
      <c r="C86" s="728"/>
      <c r="D86" s="728"/>
      <c r="E86" s="728"/>
      <c r="F86" s="728"/>
      <c r="G86" s="728"/>
      <c r="H86" s="334"/>
      <c r="I86" s="335"/>
      <c r="J86" s="335"/>
      <c r="K86" s="613"/>
      <c r="L86" s="335"/>
      <c r="M86" s="622"/>
      <c r="N86" s="338"/>
      <c r="O86" s="252"/>
      <c r="P86" s="345"/>
    </row>
    <row r="87" spans="2:16" x14ac:dyDescent="0.3">
      <c r="B87" s="728"/>
      <c r="C87" s="728"/>
      <c r="D87" s="334"/>
      <c r="E87" s="513"/>
      <c r="F87" s="513"/>
      <c r="G87" s="513"/>
      <c r="H87" s="334"/>
      <c r="I87" s="335"/>
      <c r="J87" s="335"/>
      <c r="K87" s="613"/>
      <c r="L87" s="335"/>
      <c r="M87" s="622"/>
      <c r="N87" s="338"/>
      <c r="O87" s="252"/>
      <c r="P87" s="345"/>
    </row>
    <row r="88" spans="2:16" x14ac:dyDescent="0.3">
      <c r="B88" s="728"/>
      <c r="C88" s="728"/>
      <c r="D88" s="728"/>
      <c r="E88" s="728"/>
      <c r="F88" s="728"/>
      <c r="G88" s="728"/>
      <c r="H88" s="334"/>
      <c r="I88" s="335"/>
      <c r="J88" s="335"/>
      <c r="K88" s="613"/>
      <c r="L88" s="335"/>
      <c r="M88" s="622"/>
      <c r="N88" s="338"/>
      <c r="O88" s="252"/>
      <c r="P88" s="345"/>
    </row>
    <row r="89" spans="2:16" x14ac:dyDescent="0.3">
      <c r="B89" s="728"/>
      <c r="C89" s="728"/>
      <c r="D89" s="334"/>
      <c r="E89" s="513"/>
      <c r="F89" s="513"/>
      <c r="G89" s="513"/>
      <c r="H89" s="334"/>
      <c r="I89" s="335"/>
      <c r="J89" s="335"/>
      <c r="K89" s="613"/>
      <c r="L89" s="335"/>
      <c r="M89" s="622"/>
      <c r="N89" s="338"/>
      <c r="O89" s="254"/>
    </row>
    <row r="90" spans="2:16" x14ac:dyDescent="0.3">
      <c r="B90" s="727"/>
      <c r="C90" s="727"/>
      <c r="D90" s="727"/>
      <c r="E90" s="507"/>
      <c r="F90" s="507"/>
      <c r="G90" s="507"/>
      <c r="H90" s="334"/>
      <c r="I90" s="335"/>
      <c r="J90" s="335"/>
      <c r="K90" s="613"/>
      <c r="L90" s="335"/>
      <c r="M90" s="622"/>
      <c r="N90" s="337"/>
      <c r="O90" s="248"/>
      <c r="P90" s="363"/>
    </row>
    <row r="91" spans="2:16" x14ac:dyDescent="0.3">
      <c r="B91" s="728"/>
      <c r="C91" s="728"/>
      <c r="D91" s="728"/>
      <c r="E91" s="728"/>
      <c r="F91" s="728"/>
      <c r="G91" s="728"/>
      <c r="H91" s="728"/>
      <c r="I91" s="335"/>
      <c r="J91" s="335"/>
      <c r="K91" s="613"/>
      <c r="L91" s="335"/>
      <c r="M91" s="622"/>
      <c r="N91" s="340"/>
      <c r="O91" s="252"/>
      <c r="P91" s="345"/>
    </row>
    <row r="92" spans="2:16" x14ac:dyDescent="0.3">
      <c r="B92" s="728"/>
      <c r="C92" s="728"/>
      <c r="D92" s="728"/>
      <c r="E92" s="728"/>
      <c r="F92" s="728"/>
      <c r="G92" s="728"/>
      <c r="H92" s="334"/>
      <c r="I92" s="335"/>
      <c r="J92" s="335"/>
      <c r="K92" s="613"/>
      <c r="L92" s="335"/>
      <c r="M92" s="622"/>
      <c r="N92" s="340"/>
      <c r="O92" s="252"/>
      <c r="P92" s="345"/>
    </row>
    <row r="93" spans="2:16" x14ac:dyDescent="0.3">
      <c r="B93" s="728"/>
      <c r="C93" s="728"/>
      <c r="D93" s="728"/>
      <c r="E93" s="728"/>
      <c r="F93" s="728"/>
      <c r="G93" s="728"/>
      <c r="H93" s="334"/>
      <c r="I93" s="335"/>
      <c r="J93" s="335"/>
      <c r="K93" s="613"/>
      <c r="L93" s="335"/>
      <c r="M93" s="622"/>
      <c r="N93" s="340"/>
      <c r="O93" s="252"/>
      <c r="P93" s="345"/>
    </row>
    <row r="94" spans="2:16" x14ac:dyDescent="0.3">
      <c r="B94" s="334"/>
      <c r="C94" s="334"/>
      <c r="D94" s="334"/>
      <c r="E94" s="513"/>
      <c r="F94" s="513"/>
      <c r="G94" s="513"/>
      <c r="H94" s="334"/>
      <c r="I94" s="335"/>
      <c r="J94" s="335"/>
      <c r="K94" s="613"/>
      <c r="L94" s="335"/>
      <c r="M94" s="622"/>
      <c r="N94" s="341"/>
      <c r="O94" s="252"/>
      <c r="P94" s="345"/>
    </row>
    <row r="95" spans="2:16" x14ac:dyDescent="0.3">
      <c r="B95" s="727"/>
      <c r="C95" s="727"/>
      <c r="D95" s="727"/>
      <c r="E95" s="507"/>
      <c r="F95" s="507"/>
      <c r="G95" s="507"/>
      <c r="H95" s="334"/>
      <c r="I95" s="334"/>
      <c r="J95" s="334"/>
      <c r="K95" s="614"/>
      <c r="L95" s="334"/>
      <c r="M95" s="623"/>
      <c r="N95" s="337"/>
      <c r="O95" s="337"/>
      <c r="P95" s="362"/>
    </row>
    <row r="96" spans="2:16" x14ac:dyDescent="0.3">
      <c r="B96" s="727"/>
      <c r="C96" s="727"/>
      <c r="D96" s="727"/>
      <c r="E96" s="727"/>
      <c r="F96" s="727"/>
      <c r="G96" s="727"/>
      <c r="H96" s="727"/>
      <c r="I96" s="730"/>
      <c r="J96" s="335"/>
      <c r="K96" s="613"/>
      <c r="L96" s="335"/>
      <c r="M96" s="622"/>
      <c r="N96" s="342"/>
      <c r="O96" s="732"/>
      <c r="P96" s="362"/>
    </row>
    <row r="97" spans="2:16" x14ac:dyDescent="0.3">
      <c r="B97" s="727"/>
      <c r="C97" s="727"/>
      <c r="D97" s="727"/>
      <c r="E97" s="727"/>
      <c r="F97" s="727"/>
      <c r="G97" s="727"/>
      <c r="H97" s="727"/>
      <c r="I97" s="730"/>
      <c r="J97" s="335"/>
      <c r="K97" s="613"/>
      <c r="L97" s="335"/>
      <c r="M97" s="622"/>
      <c r="N97" s="343"/>
      <c r="O97" s="732"/>
      <c r="P97" s="362"/>
    </row>
    <row r="98" spans="2:16" x14ac:dyDescent="0.3">
      <c r="H98" s="727"/>
      <c r="I98" s="730"/>
      <c r="J98" s="335"/>
      <c r="K98" s="613"/>
      <c r="L98" s="335"/>
      <c r="M98" s="622"/>
      <c r="N98" s="343"/>
      <c r="O98" s="732"/>
      <c r="P98" s="362"/>
    </row>
    <row r="99" spans="2:16" x14ac:dyDescent="0.3">
      <c r="B99" s="728"/>
      <c r="C99" s="728"/>
      <c r="D99" s="728"/>
      <c r="E99" s="728"/>
      <c r="F99" s="728"/>
      <c r="G99" s="728"/>
      <c r="H99" s="334"/>
      <c r="I99" s="335"/>
      <c r="J99" s="335"/>
      <c r="K99" s="613"/>
      <c r="L99" s="335"/>
      <c r="M99" s="622"/>
      <c r="N99" s="338"/>
      <c r="O99" s="252"/>
      <c r="P99" s="345"/>
    </row>
    <row r="100" spans="2:16" x14ac:dyDescent="0.3">
      <c r="B100" s="728"/>
      <c r="C100" s="728"/>
      <c r="D100" s="728"/>
      <c r="E100" s="728"/>
      <c r="F100" s="728"/>
      <c r="G100" s="728"/>
      <c r="H100" s="728"/>
      <c r="I100" s="335"/>
      <c r="J100" s="335"/>
      <c r="K100" s="613"/>
      <c r="L100" s="335"/>
      <c r="M100" s="622"/>
      <c r="N100" s="338"/>
      <c r="O100" s="252"/>
      <c r="P100" s="345"/>
    </row>
    <row r="101" spans="2:16" x14ac:dyDescent="0.3">
      <c r="B101" s="728"/>
      <c r="C101" s="728"/>
      <c r="D101" s="728"/>
      <c r="E101" s="728"/>
      <c r="F101" s="728"/>
      <c r="G101" s="728"/>
      <c r="H101" s="728"/>
      <c r="I101" s="335"/>
      <c r="J101" s="335"/>
      <c r="K101" s="613"/>
      <c r="L101" s="335"/>
      <c r="M101" s="622"/>
      <c r="N101" s="338"/>
      <c r="O101" s="252"/>
      <c r="P101" s="345"/>
    </row>
    <row r="102" spans="2:16" x14ac:dyDescent="0.3">
      <c r="B102" s="728"/>
      <c r="C102" s="728"/>
      <c r="D102" s="728"/>
      <c r="E102" s="728"/>
      <c r="F102" s="728"/>
      <c r="G102" s="728"/>
      <c r="H102" s="728"/>
      <c r="I102" s="335"/>
      <c r="J102" s="335"/>
      <c r="K102" s="613"/>
      <c r="L102" s="335"/>
      <c r="M102" s="622"/>
      <c r="N102" s="338"/>
      <c r="O102" s="252"/>
      <c r="P102" s="345"/>
    </row>
    <row r="103" spans="2:16" x14ac:dyDescent="0.3">
      <c r="B103" s="728"/>
      <c r="C103" s="728"/>
      <c r="D103" s="728"/>
      <c r="E103" s="728"/>
      <c r="F103" s="728"/>
      <c r="G103" s="728"/>
      <c r="H103" s="334"/>
      <c r="I103" s="335"/>
      <c r="J103" s="335"/>
      <c r="K103" s="613"/>
      <c r="L103" s="335"/>
      <c r="M103" s="622"/>
      <c r="N103" s="338"/>
      <c r="O103" s="252"/>
      <c r="P103" s="345"/>
    </row>
    <row r="104" spans="2:16" x14ac:dyDescent="0.3">
      <c r="B104" s="728"/>
      <c r="C104" s="728"/>
      <c r="D104" s="334"/>
      <c r="E104" s="513"/>
      <c r="F104" s="513"/>
      <c r="G104" s="513"/>
      <c r="H104" s="334"/>
      <c r="I104" s="335"/>
      <c r="J104" s="335"/>
      <c r="K104" s="613"/>
      <c r="L104" s="335"/>
      <c r="M104" s="622"/>
      <c r="N104" s="338"/>
      <c r="O104" s="254"/>
    </row>
    <row r="105" spans="2:16" x14ac:dyDescent="0.3">
      <c r="B105" s="727"/>
      <c r="C105" s="727"/>
      <c r="D105" s="727"/>
      <c r="E105" s="727"/>
      <c r="F105" s="727"/>
      <c r="G105" s="727"/>
      <c r="H105" s="334"/>
      <c r="I105" s="335"/>
      <c r="J105" s="335"/>
      <c r="K105" s="613"/>
      <c r="L105" s="335"/>
      <c r="M105" s="622"/>
      <c r="N105" s="337"/>
      <c r="O105" s="248"/>
      <c r="P105" s="363"/>
    </row>
    <row r="106" spans="2:16" x14ac:dyDescent="0.3">
      <c r="B106" s="728"/>
      <c r="C106" s="728"/>
      <c r="D106" s="728"/>
      <c r="E106" s="728"/>
      <c r="F106" s="728"/>
      <c r="G106" s="728"/>
      <c r="H106" s="728"/>
      <c r="I106" s="335"/>
      <c r="J106" s="335"/>
      <c r="K106" s="613"/>
      <c r="L106" s="335"/>
      <c r="M106" s="622"/>
      <c r="N106" s="251"/>
      <c r="O106" s="252"/>
      <c r="P106" s="345"/>
    </row>
    <row r="107" spans="2:16" x14ac:dyDescent="0.3">
      <c r="B107" s="728"/>
      <c r="C107" s="728"/>
      <c r="D107" s="728"/>
      <c r="E107" s="728"/>
      <c r="F107" s="728"/>
      <c r="G107" s="728"/>
      <c r="H107" s="728"/>
      <c r="I107" s="335"/>
      <c r="J107" s="335"/>
      <c r="K107" s="613"/>
      <c r="L107" s="335"/>
      <c r="M107" s="622"/>
      <c r="N107" s="338"/>
      <c r="O107" s="252"/>
      <c r="P107" s="345"/>
    </row>
    <row r="108" spans="2:16" x14ac:dyDescent="0.3">
      <c r="B108" s="728"/>
      <c r="C108" s="728"/>
      <c r="D108" s="728"/>
      <c r="E108" s="728"/>
      <c r="F108" s="728"/>
      <c r="G108" s="728"/>
      <c r="H108" s="334"/>
      <c r="I108" s="335"/>
      <c r="J108" s="335"/>
      <c r="K108" s="613"/>
      <c r="L108" s="335"/>
      <c r="M108" s="622"/>
      <c r="N108" s="338"/>
      <c r="O108" s="252"/>
      <c r="P108" s="345"/>
    </row>
    <row r="109" spans="2:16" x14ac:dyDescent="0.3">
      <c r="B109" s="727"/>
      <c r="C109" s="727"/>
      <c r="D109" s="727"/>
      <c r="E109" s="727"/>
      <c r="F109" s="727"/>
      <c r="G109" s="727"/>
      <c r="H109" s="334"/>
      <c r="I109" s="335"/>
      <c r="J109" s="335"/>
      <c r="K109" s="613"/>
      <c r="L109" s="335"/>
      <c r="M109" s="622"/>
      <c r="N109" s="248"/>
      <c r="O109" s="248"/>
      <c r="P109" s="363"/>
    </row>
    <row r="110" spans="2:16" x14ac:dyDescent="0.3">
      <c r="B110" s="728"/>
      <c r="C110" s="728"/>
      <c r="D110" s="728"/>
      <c r="E110" s="728"/>
      <c r="F110" s="728"/>
      <c r="G110" s="728"/>
      <c r="H110" s="334"/>
      <c r="I110" s="335"/>
      <c r="J110" s="335"/>
      <c r="K110" s="613"/>
      <c r="L110" s="335"/>
      <c r="M110" s="622"/>
      <c r="N110" s="338"/>
      <c r="O110" s="252"/>
      <c r="P110" s="345"/>
    </row>
    <row r="111" spans="2:16" x14ac:dyDescent="0.3">
      <c r="B111" s="728"/>
      <c r="C111" s="728"/>
      <c r="D111" s="334"/>
      <c r="E111" s="513"/>
      <c r="F111" s="513"/>
      <c r="G111" s="513"/>
      <c r="H111" s="334"/>
      <c r="I111" s="344"/>
      <c r="J111" s="344"/>
      <c r="K111" s="615"/>
      <c r="L111" s="344"/>
      <c r="M111" s="624"/>
      <c r="N111" s="346"/>
      <c r="O111" s="252"/>
      <c r="P111" s="345"/>
    </row>
    <row r="112" spans="2:16" x14ac:dyDescent="0.3">
      <c r="B112" s="728"/>
      <c r="C112" s="728"/>
      <c r="D112" s="728"/>
      <c r="E112" s="728"/>
      <c r="F112" s="728"/>
      <c r="G112" s="728"/>
      <c r="H112" s="728"/>
      <c r="I112" s="344"/>
      <c r="J112" s="344"/>
      <c r="K112" s="615"/>
      <c r="L112" s="344"/>
      <c r="M112" s="624"/>
      <c r="N112" s="4"/>
      <c r="O112" s="4"/>
      <c r="P112" s="364"/>
    </row>
    <row r="113" spans="2:16" x14ac:dyDescent="0.3">
      <c r="B113" s="727"/>
      <c r="C113" s="727"/>
      <c r="D113" s="727"/>
      <c r="E113" s="727"/>
      <c r="F113" s="727"/>
      <c r="G113" s="727"/>
      <c r="H113" s="334"/>
      <c r="I113" s="334"/>
      <c r="J113" s="334"/>
      <c r="K113" s="614"/>
      <c r="L113" s="334"/>
      <c r="M113" s="623"/>
      <c r="N113" s="337"/>
      <c r="O113" s="337"/>
      <c r="P113" s="362"/>
    </row>
    <row r="114" spans="2:16" x14ac:dyDescent="0.3">
      <c r="B114" s="704"/>
      <c r="C114" s="704"/>
      <c r="O114" s="254"/>
    </row>
    <row r="117" spans="2:16" x14ac:dyDescent="0.3">
      <c r="N117" s="2"/>
    </row>
    <row r="118" spans="2:16" x14ac:dyDescent="0.3">
      <c r="N118" s="2"/>
    </row>
    <row r="119" spans="2:16" x14ac:dyDescent="0.3">
      <c r="N119" s="2"/>
    </row>
  </sheetData>
  <mergeCells count="70">
    <mergeCell ref="T30:T32"/>
    <mergeCell ref="O96:O98"/>
    <mergeCell ref="B7:H7"/>
    <mergeCell ref="B8:H8"/>
    <mergeCell ref="B56:P56"/>
    <mergeCell ref="C10:H10"/>
    <mergeCell ref="C11:H11"/>
    <mergeCell ref="E30:E32"/>
    <mergeCell ref="B92:C92"/>
    <mergeCell ref="D92:G92"/>
    <mergeCell ref="B93:C93"/>
    <mergeCell ref="D93:G93"/>
    <mergeCell ref="B95:D95"/>
    <mergeCell ref="B88:C88"/>
    <mergeCell ref="D88:G88"/>
    <mergeCell ref="B89:C89"/>
    <mergeCell ref="B103:C103"/>
    <mergeCell ref="D103:G103"/>
    <mergeCell ref="B104:C104"/>
    <mergeCell ref="B105:G105"/>
    <mergeCell ref="B106:C106"/>
    <mergeCell ref="D106:H106"/>
    <mergeCell ref="B113:G113"/>
    <mergeCell ref="B114:C114"/>
    <mergeCell ref="B107:C107"/>
    <mergeCell ref="D107:H107"/>
    <mergeCell ref="B108:C108"/>
    <mergeCell ref="D108:G108"/>
    <mergeCell ref="B109:G109"/>
    <mergeCell ref="B110:C110"/>
    <mergeCell ref="D110:G110"/>
    <mergeCell ref="B111:C111"/>
    <mergeCell ref="B112:C112"/>
    <mergeCell ref="D112:H112"/>
    <mergeCell ref="D102:H102"/>
    <mergeCell ref="H96:H98"/>
    <mergeCell ref="I96:I98"/>
    <mergeCell ref="B97:G97"/>
    <mergeCell ref="B99:C99"/>
    <mergeCell ref="D99:G99"/>
    <mergeCell ref="B96:G96"/>
    <mergeCell ref="B100:C100"/>
    <mergeCell ref="D100:H100"/>
    <mergeCell ref="B101:C101"/>
    <mergeCell ref="D101:H101"/>
    <mergeCell ref="B102:C102"/>
    <mergeCell ref="B90:D90"/>
    <mergeCell ref="B91:C91"/>
    <mergeCell ref="D91:H91"/>
    <mergeCell ref="B87:C87"/>
    <mergeCell ref="B75:O75"/>
    <mergeCell ref="B77:O77"/>
    <mergeCell ref="B78:O78"/>
    <mergeCell ref="B80:C80"/>
    <mergeCell ref="B81:D81"/>
    <mergeCell ref="B82:C82"/>
    <mergeCell ref="D82:H82"/>
    <mergeCell ref="D83:G83"/>
    <mergeCell ref="B84:C84"/>
    <mergeCell ref="D84:G84"/>
    <mergeCell ref="B86:C86"/>
    <mergeCell ref="D86:G86"/>
    <mergeCell ref="B57:O57"/>
    <mergeCell ref="B58:O58"/>
    <mergeCell ref="B59:O59"/>
    <mergeCell ref="B74:O74"/>
    <mergeCell ref="D30:D32"/>
    <mergeCell ref="G30:G32"/>
    <mergeCell ref="O49:O50"/>
    <mergeCell ref="F30:F3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457F5-7A47-4842-9A30-C19BE7A99EC9}">
  <sheetPr>
    <tabColor rgb="FFFFC000"/>
  </sheetPr>
  <dimension ref="A1:A4"/>
  <sheetViews>
    <sheetView workbookViewId="0">
      <selection activeCell="N32" sqref="N32"/>
    </sheetView>
  </sheetViews>
  <sheetFormatPr defaultRowHeight="14.4" x14ac:dyDescent="0.3"/>
  <cols>
    <col min="1" max="1" width="10" bestFit="1" customWidth="1"/>
  </cols>
  <sheetData>
    <row r="1" spans="1:1" x14ac:dyDescent="0.3">
      <c r="A1" s="448">
        <v>50928.32</v>
      </c>
    </row>
    <row r="2" spans="1:1" ht="15" thickBot="1" x14ac:dyDescent="0.35">
      <c r="A2" s="448">
        <v>1106996.53</v>
      </c>
    </row>
    <row r="3" spans="1:1" ht="15.6" thickTop="1" thickBot="1" x14ac:dyDescent="0.35">
      <c r="A3" s="452">
        <v>1157924.8500000001</v>
      </c>
    </row>
    <row r="4" spans="1:1" ht="15" thickTop="1" x14ac:dyDescent="0.3"/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305A0-6EA4-47B6-8861-C34B1AC2A029}">
  <sheetPr>
    <tabColor rgb="FF00B050"/>
  </sheetPr>
  <dimension ref="C4:P95"/>
  <sheetViews>
    <sheetView showGridLines="0" tabSelected="1" topLeftCell="A7" workbookViewId="0">
      <selection activeCell="P19" sqref="P19"/>
    </sheetView>
  </sheetViews>
  <sheetFormatPr defaultColWidth="9.109375" defaultRowHeight="14.4" x14ac:dyDescent="0.3"/>
  <cols>
    <col min="2" max="2" width="4" customWidth="1"/>
    <col min="3" max="3" width="43.5546875" customWidth="1"/>
    <col min="4" max="4" width="8.5546875" style="699" customWidth="1"/>
    <col min="5" max="5" width="1.6640625" customWidth="1"/>
    <col min="6" max="6" width="16.88671875" customWidth="1"/>
    <col min="7" max="7" width="18.5546875" customWidth="1"/>
    <col min="8" max="8" width="15.109375" customWidth="1"/>
    <col min="9" max="9" width="14.88671875" hidden="1" customWidth="1"/>
    <col min="10" max="10" width="21.44140625" style="23" customWidth="1"/>
    <col min="11" max="11" width="3.33203125" hidden="1" customWidth="1"/>
    <col min="12" max="12" width="11.5546875" hidden="1" customWidth="1"/>
    <col min="13" max="13" width="12.21875" bestFit="1" customWidth="1"/>
    <col min="14" max="14" width="11.5546875" customWidth="1"/>
    <col min="16" max="16" width="19.5546875" customWidth="1"/>
  </cols>
  <sheetData>
    <row r="4" spans="3:13" ht="14.25" customHeight="1" x14ac:dyDescent="0.3">
      <c r="C4" s="673"/>
      <c r="D4" s="344"/>
      <c r="E4" s="728"/>
      <c r="F4" s="728"/>
      <c r="G4" s="728"/>
      <c r="H4" s="728"/>
      <c r="I4" s="728"/>
      <c r="J4" s="728"/>
      <c r="K4" s="674"/>
    </row>
    <row r="5" spans="3:13" ht="14.25" customHeight="1" x14ac:dyDescent="0.3">
      <c r="C5" s="673"/>
      <c r="D5" s="344"/>
      <c r="E5" s="334"/>
      <c r="F5" s="334"/>
      <c r="G5" s="334"/>
      <c r="H5" s="334"/>
      <c r="I5" s="334"/>
      <c r="J5" s="334"/>
      <c r="K5" s="674"/>
    </row>
    <row r="6" spans="3:13" ht="14.25" customHeight="1" x14ac:dyDescent="0.3">
      <c r="C6" s="730" t="s">
        <v>2398</v>
      </c>
      <c r="D6" s="730"/>
      <c r="E6" s="730"/>
      <c r="F6" s="730"/>
      <c r="G6" s="730"/>
      <c r="H6" s="730"/>
      <c r="I6" s="730"/>
      <c r="J6" s="333"/>
      <c r="K6" s="333"/>
    </row>
    <row r="7" spans="3:13" x14ac:dyDescent="0.3">
      <c r="C7" s="738" t="s">
        <v>2449</v>
      </c>
      <c r="D7" s="738"/>
      <c r="E7" s="738"/>
      <c r="F7" s="738"/>
      <c r="G7" s="738"/>
      <c r="H7" s="738"/>
      <c r="I7" s="738"/>
      <c r="J7" s="334"/>
      <c r="K7" s="334"/>
    </row>
    <row r="8" spans="3:13" x14ac:dyDescent="0.3">
      <c r="C8" s="739"/>
      <c r="D8" s="739"/>
      <c r="E8" s="739"/>
      <c r="F8" s="739"/>
      <c r="G8" s="739"/>
      <c r="H8" s="739"/>
      <c r="I8" s="739"/>
      <c r="J8" s="334"/>
      <c r="K8" s="674"/>
    </row>
    <row r="9" spans="3:13" x14ac:dyDescent="0.3">
      <c r="C9" s="730" t="s">
        <v>5944</v>
      </c>
      <c r="D9" s="730"/>
      <c r="E9" s="730"/>
      <c r="F9" s="730"/>
      <c r="G9" s="730"/>
      <c r="H9" s="730"/>
      <c r="I9" s="730"/>
      <c r="J9" s="333"/>
      <c r="K9" s="333"/>
    </row>
    <row r="10" spans="3:13" x14ac:dyDescent="0.3">
      <c r="C10" s="730" t="s">
        <v>5890</v>
      </c>
      <c r="D10" s="730"/>
      <c r="E10" s="730"/>
      <c r="F10" s="730"/>
      <c r="G10" s="730"/>
      <c r="H10" s="730"/>
      <c r="I10" s="730"/>
      <c r="J10" s="676"/>
      <c r="K10" s="674"/>
    </row>
    <row r="11" spans="3:13" x14ac:dyDescent="0.3">
      <c r="C11" s="677"/>
      <c r="D11" s="487"/>
      <c r="E11" s="468"/>
      <c r="F11" s="468"/>
      <c r="G11" s="468"/>
      <c r="H11" s="468"/>
      <c r="I11" s="468"/>
      <c r="J11" s="678"/>
      <c r="K11" s="674"/>
    </row>
    <row r="12" spans="3:13" x14ac:dyDescent="0.3">
      <c r="C12" s="468"/>
      <c r="D12" s="724" t="s">
        <v>2406</v>
      </c>
      <c r="E12" s="724"/>
      <c r="F12" s="508">
        <v>2024</v>
      </c>
      <c r="G12" s="602">
        <v>2023</v>
      </c>
      <c r="H12" s="679">
        <v>2023</v>
      </c>
      <c r="I12" s="508">
        <v>2022</v>
      </c>
      <c r="J12" s="491"/>
      <c r="K12" s="674"/>
    </row>
    <row r="13" spans="3:13" x14ac:dyDescent="0.3">
      <c r="C13" s="468"/>
      <c r="D13" s="467"/>
      <c r="E13" s="467"/>
      <c r="F13" s="508"/>
      <c r="G13" s="602" t="s">
        <v>5908</v>
      </c>
      <c r="H13" s="679"/>
      <c r="I13" s="508"/>
      <c r="J13" s="491"/>
      <c r="K13" s="674"/>
    </row>
    <row r="14" spans="3:13" x14ac:dyDescent="0.3">
      <c r="C14" s="670" t="s">
        <v>3685</v>
      </c>
      <c r="D14" s="467">
        <v>23</v>
      </c>
      <c r="E14" s="467"/>
      <c r="F14" s="354">
        <f>SUM(F15:F17)</f>
        <v>77511524.25</v>
      </c>
      <c r="G14" s="354">
        <f>SUM(G15:G17)</f>
        <v>35456731.189999998</v>
      </c>
      <c r="H14" s="354">
        <f>SUM(H15:H17)</f>
        <v>35456731.189999998</v>
      </c>
      <c r="I14" s="354">
        <f>SUM(I15:I17)</f>
        <v>24055942.59</v>
      </c>
      <c r="J14" s="680"/>
      <c r="M14" s="20">
        <f>H14-G14</f>
        <v>0</v>
      </c>
    </row>
    <row r="15" spans="3:13" x14ac:dyDescent="0.3">
      <c r="C15" s="681" t="s">
        <v>5939</v>
      </c>
      <c r="D15" s="700" t="s">
        <v>5941</v>
      </c>
      <c r="E15" s="682"/>
      <c r="F15" s="683">
        <f>-'BALANCETE 2024'!G658</f>
        <v>3222635.52</v>
      </c>
      <c r="G15" s="683">
        <f>-'Representado 2023'!L718</f>
        <v>5888264.9000000004</v>
      </c>
      <c r="H15" s="347">
        <f>-'BALANCETE 2023'!L619</f>
        <v>5888264.9000000004</v>
      </c>
      <c r="I15" s="684">
        <f>SUM('[3]BALANCETE 2023'!E693)</f>
        <v>8317112.1200000001</v>
      </c>
      <c r="J15" s="680"/>
      <c r="M15" s="20">
        <f t="shared" ref="M15:M16" si="0">H15-G15</f>
        <v>0</v>
      </c>
    </row>
    <row r="16" spans="3:13" x14ac:dyDescent="0.3">
      <c r="C16" s="681" t="s">
        <v>5940</v>
      </c>
      <c r="D16" s="700" t="s">
        <v>5942</v>
      </c>
      <c r="E16" s="682"/>
      <c r="F16" s="684">
        <f>-('BALANCETE 2024'!G683+'BALANCETE 2024'!G664+'BALANCETE 2024'!G667+'BALANCETE 2024'!G669)</f>
        <v>74543497.370000005</v>
      </c>
      <c r="G16" s="684">
        <f>-'Representado 2023'!L726-'Representado 2023'!L729-'Representado 2023'!L731-'Representado 2023'!L735-'Representado 2023'!L738-'Representado 2023'!L751</f>
        <v>29568466.289999999</v>
      </c>
      <c r="H16" s="684">
        <f>-('BALANCETE 2023'!L627+'BALANCETE 2023'!L630+'BALANCETE 2023'!L632+'BALANCETE 2023'!L636+'BALANCETE 2023'!L639+'BALANCETE 2023'!L652)</f>
        <v>29568466.289999999</v>
      </c>
      <c r="I16" s="684">
        <f>SUM('[3]BALANCETE 2023'!E702+'[3]BALANCETE 2023'!E706+'[3]BALANCETE 2023'!E709+'[3]BALANCETE 2023'!E714+'[3]BALANCETE 2023'!E719)</f>
        <v>16557667.73</v>
      </c>
      <c r="J16" s="680"/>
      <c r="M16" s="20">
        <f t="shared" si="0"/>
        <v>0</v>
      </c>
    </row>
    <row r="17" spans="3:16" x14ac:dyDescent="0.3">
      <c r="C17" s="681" t="s">
        <v>3687</v>
      </c>
      <c r="D17" s="700" t="s">
        <v>5943</v>
      </c>
      <c r="E17" s="682"/>
      <c r="F17" s="348">
        <f>-'BALANCETE 2024'!G685</f>
        <v>-254608.64000000001</v>
      </c>
      <c r="G17" s="348">
        <v>0</v>
      </c>
      <c r="H17" s="348">
        <v>0</v>
      </c>
      <c r="I17" s="348">
        <f>SUM(-'[3]BALANCETE 2023'!E737)</f>
        <v>-818837.26</v>
      </c>
      <c r="J17" s="680"/>
    </row>
    <row r="18" spans="3:16" x14ac:dyDescent="0.3">
      <c r="C18" s="681"/>
      <c r="D18" s="700"/>
      <c r="E18" s="682"/>
      <c r="F18" s="682"/>
      <c r="G18" s="682"/>
      <c r="H18" s="347"/>
      <c r="I18" s="684"/>
      <c r="J18" s="680"/>
      <c r="P18" s="635"/>
    </row>
    <row r="19" spans="3:16" x14ac:dyDescent="0.3">
      <c r="C19" s="466" t="s">
        <v>2458</v>
      </c>
      <c r="D19" s="658"/>
      <c r="E19" s="466"/>
      <c r="F19" s="349">
        <f>F20</f>
        <v>-10407295.1</v>
      </c>
      <c r="G19" s="349">
        <f>G20</f>
        <v>-15983950.66</v>
      </c>
      <c r="H19" s="349">
        <f>SUM(-'[3]BALANCETE 2023'!H542)</f>
        <v>-6933038.9000000004</v>
      </c>
      <c r="I19" s="349">
        <f>SUM(-'[3]BALANCETE 2023'!E542)</f>
        <v>-10221462.6</v>
      </c>
      <c r="J19" s="680"/>
      <c r="M19" s="20">
        <f t="shared" ref="M19:M20" si="1">H19-G19</f>
        <v>9050911.7599999998</v>
      </c>
      <c r="P19" s="36"/>
    </row>
    <row r="20" spans="3:16" x14ac:dyDescent="0.3">
      <c r="C20" s="681" t="s">
        <v>5945</v>
      </c>
      <c r="D20" s="658">
        <v>24</v>
      </c>
      <c r="E20" s="466"/>
      <c r="F20" s="348">
        <f>-'BALANCETE 2024'!G533</f>
        <v>-10407295.1</v>
      </c>
      <c r="G20" s="348">
        <f>-'Representado 2023'!M538</f>
        <v>-15983950.66</v>
      </c>
      <c r="H20" s="348">
        <f>-'BALANCETE 2023'!$L$485</f>
        <v>-6933038.9000000004</v>
      </c>
      <c r="I20" s="348">
        <f>SUM(-'[3]BALANCETE 2023'!E542)</f>
        <v>-10221462.6</v>
      </c>
      <c r="J20" s="680"/>
      <c r="M20" s="20">
        <f t="shared" si="1"/>
        <v>9050911.7599999998</v>
      </c>
      <c r="P20" s="36"/>
    </row>
    <row r="21" spans="3:16" x14ac:dyDescent="0.3">
      <c r="C21" s="466"/>
      <c r="D21" s="658"/>
      <c r="E21" s="466"/>
      <c r="F21" s="466"/>
      <c r="G21" s="466"/>
      <c r="H21" s="348"/>
      <c r="I21" s="466"/>
      <c r="J21" s="680"/>
      <c r="P21" s="36"/>
    </row>
    <row r="22" spans="3:16" x14ac:dyDescent="0.3">
      <c r="C22" s="466" t="s">
        <v>3688</v>
      </c>
      <c r="D22" s="658"/>
      <c r="E22" s="466"/>
      <c r="F22" s="349">
        <f>SUM(F23:F24)</f>
        <v>-67210551.960000008</v>
      </c>
      <c r="G22" s="349">
        <f>SUM(G23:G24)</f>
        <v>-34959563.959999993</v>
      </c>
      <c r="H22" s="349">
        <f>SUM(H23:H24)</f>
        <v>-38800896.819999993</v>
      </c>
      <c r="I22" s="349">
        <f>SUM(I23:I24)</f>
        <v>-30309370.019999996</v>
      </c>
      <c r="J22" s="680"/>
      <c r="M22" s="20">
        <f t="shared" ref="M22:M24" si="2">H22-G22</f>
        <v>-3841332.8599999994</v>
      </c>
      <c r="P22" s="36"/>
    </row>
    <row r="23" spans="3:16" x14ac:dyDescent="0.3">
      <c r="C23" s="468" t="s">
        <v>3689</v>
      </c>
      <c r="D23" s="658">
        <v>25</v>
      </c>
      <c r="E23" s="466"/>
      <c r="F23" s="348">
        <f>-('BALANCETE 2024'!G574+'BALANCETE 2024'!G594+'BALANCETE 2024'!G599+'BALANCETE 2024'!G606+'BALANCETE 2024'!G654)</f>
        <v>-66548928.590000004</v>
      </c>
      <c r="G23" s="348">
        <f>-('Representado 2023'!M589+'Representado 2023'!M610+'Representado 2023'!M615+'Representado 2023'!M624+'Representado 2023'!M707+'Representado 2023'!M710)</f>
        <v>-34560367.409999996</v>
      </c>
      <c r="H23" s="348">
        <f>-('BALANCETE 2023'!L530+'BALANCETE 2023'!L550+'BALANCETE 2023'!L555+'BALANCETE 2023'!L563+'BALANCETE 2023'!L615)</f>
        <v>-38401700.269999996</v>
      </c>
      <c r="I23" s="348">
        <f>SUM(-'[3]BALANCETE 2023'!E595-'[3]BALANCETE 2023'!E616-'[3]BALANCETE 2023'!E622-'[3]BALANCETE 2023'!E631)</f>
        <v>-28534349.549999997</v>
      </c>
      <c r="J23" s="680"/>
      <c r="M23" s="20">
        <f t="shared" si="2"/>
        <v>-3841332.8599999994</v>
      </c>
      <c r="P23" s="36"/>
    </row>
    <row r="24" spans="3:16" x14ac:dyDescent="0.3">
      <c r="C24" s="468" t="s">
        <v>3690</v>
      </c>
      <c r="D24" s="658">
        <v>26</v>
      </c>
      <c r="E24" s="466"/>
      <c r="F24" s="348">
        <f>-('BALANCETE 2024'!G644+'BALANCETE 2024'!G647)</f>
        <v>-661623.37</v>
      </c>
      <c r="G24" s="348">
        <f>-('Representado 2023'!M693+'Representado 2023'!M696)</f>
        <v>-399196.55000000005</v>
      </c>
      <c r="H24" s="348">
        <f>-('BALANCETE 2023'!L603+'BALANCETE 2023'!L606)</f>
        <v>-399196.55000000005</v>
      </c>
      <c r="I24" s="348">
        <f>SUM(-'[3]BALANCETE 2023'!E673-'[3]BALANCETE 2023'!E677)</f>
        <v>-1775020.47</v>
      </c>
      <c r="J24" s="680"/>
      <c r="M24" s="20">
        <f t="shared" si="2"/>
        <v>0</v>
      </c>
      <c r="P24" s="36"/>
    </row>
    <row r="25" spans="3:16" x14ac:dyDescent="0.3">
      <c r="C25" s="468"/>
      <c r="D25" s="658"/>
      <c r="E25" s="466"/>
      <c r="F25" s="466"/>
      <c r="G25" s="466"/>
      <c r="H25" s="348"/>
      <c r="I25" s="466"/>
      <c r="J25" s="680"/>
      <c r="P25" s="36"/>
    </row>
    <row r="26" spans="3:16" x14ac:dyDescent="0.3">
      <c r="C26" s="468"/>
      <c r="D26" s="701"/>
      <c r="E26" s="468"/>
      <c r="F26" s="468"/>
      <c r="G26" s="468"/>
      <c r="H26" s="348"/>
      <c r="I26" s="468"/>
      <c r="J26" s="680"/>
    </row>
    <row r="27" spans="3:16" x14ac:dyDescent="0.3">
      <c r="C27" s="466" t="s">
        <v>2461</v>
      </c>
      <c r="D27" s="658">
        <v>27</v>
      </c>
      <c r="E27" s="671"/>
      <c r="F27" s="349">
        <f>F28+F29</f>
        <v>-78908.50999999998</v>
      </c>
      <c r="G27" s="349">
        <f>G28+G29</f>
        <v>385758.34</v>
      </c>
      <c r="H27" s="349">
        <f>H28+H29</f>
        <v>385758.34</v>
      </c>
      <c r="I27" s="685">
        <f>I28+I29</f>
        <v>-848316.52999999991</v>
      </c>
      <c r="J27" s="680"/>
      <c r="M27" s="20">
        <f t="shared" ref="M27:M29" si="3">H27-G27</f>
        <v>0</v>
      </c>
    </row>
    <row r="28" spans="3:16" x14ac:dyDescent="0.3">
      <c r="C28" s="468" t="s">
        <v>2462</v>
      </c>
      <c r="D28" s="686"/>
      <c r="E28" s="648"/>
      <c r="F28" s="469">
        <f>'BALANCETE 2024'!G672</f>
        <v>149261.17000000001</v>
      </c>
      <c r="G28" s="469">
        <f>-'Representado 2023'!L740</f>
        <v>729017.29</v>
      </c>
      <c r="H28" s="687">
        <f>-'BALANCETE 2023'!L641</f>
        <v>729017.29</v>
      </c>
      <c r="I28" s="687">
        <f>SUM('[3]BALANCETE 2023'!E721)</f>
        <v>545869.67000000004</v>
      </c>
      <c r="J28" s="680" t="s">
        <v>3686</v>
      </c>
      <c r="M28" s="20">
        <f t="shared" si="3"/>
        <v>0</v>
      </c>
    </row>
    <row r="29" spans="3:16" x14ac:dyDescent="0.3">
      <c r="C29" s="468" t="s">
        <v>2463</v>
      </c>
      <c r="D29" s="686"/>
      <c r="E29" s="648"/>
      <c r="F29" s="348">
        <f>-'BALANCETE 2024'!G640</f>
        <v>-228169.68</v>
      </c>
      <c r="G29" s="348">
        <f>-'Representado 2023'!M686</f>
        <v>-343258.95</v>
      </c>
      <c r="H29" s="348">
        <f>-'BALANCETE 2023'!L597</f>
        <v>-343258.95</v>
      </c>
      <c r="I29" s="348">
        <f>SUM(-'[3]BALANCETE 2023'!E666)</f>
        <v>-1394186.2</v>
      </c>
      <c r="J29" s="680"/>
      <c r="M29" s="20">
        <f t="shared" si="3"/>
        <v>0</v>
      </c>
    </row>
    <row r="30" spans="3:16" x14ac:dyDescent="0.3">
      <c r="C30" s="466"/>
      <c r="D30" s="487"/>
      <c r="E30" s="468"/>
      <c r="F30" s="468"/>
      <c r="G30" s="468"/>
      <c r="H30" s="348"/>
      <c r="I30" s="468"/>
      <c r="J30" s="680"/>
    </row>
    <row r="31" spans="3:16" x14ac:dyDescent="0.3">
      <c r="C31" s="466" t="s">
        <v>2464</v>
      </c>
      <c r="D31" s="487"/>
      <c r="E31" s="468"/>
      <c r="F31" s="349">
        <f>SUM(F14+F20+F22+F27)</f>
        <v>-185231.32000000981</v>
      </c>
      <c r="G31" s="349">
        <f>SUM(G14+G20+G22+G27)</f>
        <v>-15101025.089999996</v>
      </c>
      <c r="H31" s="349">
        <f>SUM(H14+H20+H22+H27)</f>
        <v>-9891446.1899999939</v>
      </c>
      <c r="I31" s="349">
        <f>SUM(I14+I20+I22+I27)</f>
        <v>-17323206.559999995</v>
      </c>
      <c r="J31" s="680"/>
      <c r="M31" s="20">
        <f t="shared" ref="M31" si="4">H31-G31</f>
        <v>5209578.9000000022</v>
      </c>
      <c r="P31" t="s">
        <v>5905</v>
      </c>
    </row>
    <row r="32" spans="3:16" x14ac:dyDescent="0.3">
      <c r="C32" s="688" t="s">
        <v>2465</v>
      </c>
      <c r="D32" s="689"/>
      <c r="E32" s="690"/>
      <c r="F32" s="672">
        <v>0</v>
      </c>
      <c r="G32" s="672">
        <v>0</v>
      </c>
      <c r="H32" s="672">
        <v>0</v>
      </c>
      <c r="I32" s="468"/>
      <c r="J32" s="680"/>
      <c r="L32" s="16">
        <f>F33+185231.32</f>
        <v>-9.8079908639192581E-9</v>
      </c>
      <c r="M32" s="16"/>
      <c r="N32" s="16"/>
      <c r="P32" s="123">
        <f>G33-H33</f>
        <v>-5209578.9000000022</v>
      </c>
    </row>
    <row r="33" spans="3:16" x14ac:dyDescent="0.3">
      <c r="C33" s="466" t="s">
        <v>2466</v>
      </c>
      <c r="D33" s="487" t="s">
        <v>2467</v>
      </c>
      <c r="E33" s="468"/>
      <c r="F33" s="349">
        <f>F31+F32</f>
        <v>-185231.32000000981</v>
      </c>
      <c r="G33" s="349">
        <f>G31+G32</f>
        <v>-15101025.089999996</v>
      </c>
      <c r="H33" s="349">
        <f>H31+H32</f>
        <v>-9891446.1899999939</v>
      </c>
      <c r="I33" s="349">
        <f>I32+I31</f>
        <v>-17323206.559999995</v>
      </c>
      <c r="J33" s="491"/>
      <c r="K33" s="674"/>
      <c r="M33" s="20">
        <f t="shared" ref="M33" si="5">H33-G33</f>
        <v>5209578.9000000022</v>
      </c>
    </row>
    <row r="34" spans="3:16" x14ac:dyDescent="0.3">
      <c r="C34" s="334"/>
      <c r="D34" s="344"/>
      <c r="E34" s="334"/>
      <c r="F34" s="334"/>
      <c r="G34" s="334"/>
      <c r="H34" s="334"/>
      <c r="I34" s="334"/>
      <c r="J34" s="676"/>
      <c r="K34" s="674"/>
    </row>
    <row r="35" spans="3:16" x14ac:dyDescent="0.3">
      <c r="C35" s="730" t="s">
        <v>3691</v>
      </c>
      <c r="D35" s="730"/>
      <c r="E35" s="730"/>
      <c r="F35" s="730"/>
      <c r="G35" s="730"/>
      <c r="H35" s="730"/>
      <c r="I35" s="730"/>
      <c r="J35" s="333"/>
      <c r="K35" s="674"/>
    </row>
    <row r="36" spans="3:16" x14ac:dyDescent="0.3">
      <c r="C36" s="673"/>
      <c r="D36" s="675"/>
      <c r="E36" s="673"/>
      <c r="F36" s="673"/>
      <c r="G36" s="673"/>
      <c r="H36" s="673"/>
      <c r="I36" s="673"/>
      <c r="J36" s="673"/>
      <c r="K36" s="674"/>
    </row>
    <row r="37" spans="3:16" x14ac:dyDescent="0.3">
      <c r="C37" s="673"/>
      <c r="D37" s="675"/>
      <c r="E37" s="673"/>
      <c r="F37" s="673"/>
      <c r="G37" s="673"/>
      <c r="H37" s="673"/>
      <c r="I37" s="673"/>
      <c r="J37" s="673"/>
      <c r="K37" s="674"/>
    </row>
    <row r="38" spans="3:16" x14ac:dyDescent="0.3">
      <c r="C38" s="673"/>
      <c r="D38" s="675"/>
      <c r="E38" s="673"/>
      <c r="F38" s="673"/>
      <c r="G38" s="673"/>
      <c r="H38" s="673"/>
      <c r="I38" s="673"/>
      <c r="J38" s="673"/>
      <c r="K38" s="674"/>
    </row>
    <row r="39" spans="3:16" s="2" customFormat="1" x14ac:dyDescent="0.3">
      <c r="D39" s="269"/>
      <c r="H39" s="738"/>
      <c r="I39" s="738"/>
      <c r="J39" s="738"/>
      <c r="K39" s="738"/>
      <c r="L39" s="738"/>
      <c r="M39" s="344"/>
      <c r="N39" s="344"/>
      <c r="O39" s="254"/>
    </row>
    <row r="40" spans="3:16" s="2" customFormat="1" x14ac:dyDescent="0.3">
      <c r="D40" s="269"/>
      <c r="L40" s="254"/>
      <c r="M40" s="254"/>
      <c r="N40" s="254"/>
    </row>
    <row r="41" spans="3:16" s="2" customFormat="1" x14ac:dyDescent="0.3">
      <c r="C41" s="738" t="s">
        <v>4960</v>
      </c>
      <c r="D41" s="738"/>
      <c r="E41" s="738"/>
      <c r="F41" s="738"/>
      <c r="G41" s="738"/>
      <c r="H41" s="738"/>
      <c r="I41" s="738"/>
      <c r="J41" s="334"/>
      <c r="K41" s="334"/>
      <c r="L41" s="334"/>
      <c r="M41" s="334"/>
      <c r="N41" s="334"/>
      <c r="O41" s="334"/>
      <c r="P41" s="334"/>
    </row>
    <row r="42" spans="3:16" s="2" customFormat="1" x14ac:dyDescent="0.3">
      <c r="C42" s="738" t="s">
        <v>5891</v>
      </c>
      <c r="D42" s="738"/>
      <c r="E42" s="738"/>
      <c r="F42" s="738"/>
      <c r="G42" s="738"/>
      <c r="H42" s="738"/>
      <c r="I42" s="738"/>
      <c r="J42" s="738"/>
      <c r="K42" s="738"/>
      <c r="L42" s="738"/>
      <c r="M42" s="738"/>
      <c r="N42" s="738"/>
      <c r="O42" s="738"/>
      <c r="P42" s="360"/>
    </row>
    <row r="43" spans="3:16" s="2" customFormat="1" x14ac:dyDescent="0.3">
      <c r="C43" s="738" t="s">
        <v>4961</v>
      </c>
      <c r="D43" s="738"/>
      <c r="E43" s="738"/>
      <c r="F43" s="738"/>
      <c r="G43" s="738"/>
      <c r="H43" s="738"/>
      <c r="I43" s="738"/>
      <c r="J43" s="738"/>
      <c r="K43" s="738"/>
      <c r="L43" s="738"/>
      <c r="M43" s="738"/>
      <c r="N43" s="738"/>
      <c r="O43" s="738"/>
      <c r="P43" s="360"/>
    </row>
    <row r="44" spans="3:16" x14ac:dyDescent="0.3">
      <c r="C44" s="738" t="s">
        <v>5892</v>
      </c>
      <c r="D44" s="738"/>
      <c r="E44" s="738"/>
      <c r="F44" s="738"/>
      <c r="G44" s="738"/>
      <c r="H44" s="738"/>
      <c r="I44" s="738"/>
      <c r="J44" s="738"/>
      <c r="K44" s="738"/>
      <c r="L44" s="738"/>
      <c r="M44" s="738"/>
      <c r="N44" s="738"/>
      <c r="O44" s="738"/>
      <c r="P44" s="359"/>
    </row>
    <row r="64" spans="3:11" x14ac:dyDescent="0.3">
      <c r="C64" s="673"/>
      <c r="D64" s="344"/>
      <c r="E64" s="334"/>
      <c r="F64" s="334"/>
      <c r="G64" s="334"/>
      <c r="H64" s="334"/>
      <c r="I64" s="334"/>
      <c r="J64" s="676"/>
      <c r="K64" s="674"/>
    </row>
    <row r="65" spans="3:11" x14ac:dyDescent="0.3">
      <c r="C65" s="673"/>
      <c r="D65" s="344"/>
      <c r="E65" s="334"/>
      <c r="F65" s="334"/>
      <c r="G65" s="334"/>
      <c r="H65" s="334"/>
      <c r="I65" s="334"/>
      <c r="J65" s="691"/>
      <c r="K65" s="674"/>
    </row>
    <row r="66" spans="3:11" x14ac:dyDescent="0.3">
      <c r="C66" s="334"/>
      <c r="D66" s="730"/>
      <c r="E66" s="730"/>
      <c r="F66" s="335"/>
      <c r="G66" s="335"/>
      <c r="H66" s="335"/>
      <c r="I66" s="335"/>
      <c r="J66" s="692"/>
      <c r="K66" s="674"/>
    </row>
    <row r="67" spans="3:11" x14ac:dyDescent="0.3">
      <c r="C67" s="333"/>
      <c r="D67" s="693"/>
      <c r="E67" s="626"/>
      <c r="F67" s="626"/>
      <c r="G67" s="626"/>
      <c r="H67" s="626"/>
      <c r="I67" s="626"/>
      <c r="J67" s="14"/>
      <c r="K67" s="674"/>
    </row>
    <row r="68" spans="3:11" x14ac:dyDescent="0.3">
      <c r="C68" s="333"/>
      <c r="D68" s="335"/>
      <c r="E68" s="333"/>
      <c r="F68" s="333"/>
      <c r="G68" s="333"/>
      <c r="H68" s="333"/>
      <c r="I68" s="333"/>
      <c r="J68" s="4"/>
      <c r="K68" s="674"/>
    </row>
    <row r="69" spans="3:11" x14ac:dyDescent="0.3">
      <c r="C69" s="333"/>
      <c r="D69" s="335"/>
      <c r="E69" s="333"/>
      <c r="F69" s="333"/>
      <c r="G69" s="333"/>
      <c r="H69" s="333"/>
      <c r="I69" s="333"/>
      <c r="J69" s="14"/>
      <c r="K69" s="674"/>
    </row>
    <row r="70" spans="3:11" x14ac:dyDescent="0.3">
      <c r="C70" s="333"/>
      <c r="D70" s="335"/>
      <c r="E70" s="333"/>
      <c r="F70" s="333"/>
      <c r="G70" s="333"/>
      <c r="H70" s="333"/>
      <c r="I70" s="333"/>
      <c r="J70" s="4"/>
      <c r="K70" s="674"/>
    </row>
    <row r="71" spans="3:11" x14ac:dyDescent="0.3">
      <c r="C71" s="333"/>
      <c r="D71" s="335"/>
      <c r="E71" s="333"/>
      <c r="F71" s="333"/>
      <c r="G71" s="333"/>
      <c r="H71" s="333"/>
      <c r="I71" s="333"/>
      <c r="J71" s="14"/>
      <c r="K71" s="674"/>
    </row>
    <row r="72" spans="3:11" x14ac:dyDescent="0.3">
      <c r="C72" s="334"/>
      <c r="D72" s="647"/>
      <c r="E72" s="694"/>
      <c r="F72" s="694"/>
      <c r="G72" s="694"/>
      <c r="H72" s="694"/>
      <c r="I72" s="694"/>
      <c r="J72" s="4"/>
      <c r="K72" s="674"/>
    </row>
    <row r="73" spans="3:11" x14ac:dyDescent="0.3">
      <c r="C73" s="334"/>
      <c r="D73" s="335"/>
      <c r="E73" s="333"/>
      <c r="F73" s="333"/>
      <c r="G73" s="333"/>
      <c r="H73" s="333"/>
      <c r="I73" s="333"/>
      <c r="J73" s="4"/>
      <c r="K73" s="674"/>
    </row>
    <row r="74" spans="3:11" x14ac:dyDescent="0.3">
      <c r="C74" s="334"/>
      <c r="D74" s="335"/>
      <c r="E74" s="333"/>
      <c r="F74" s="333"/>
      <c r="G74" s="333"/>
      <c r="H74" s="333"/>
      <c r="I74" s="333"/>
      <c r="J74" s="4"/>
      <c r="K74" s="674"/>
    </row>
    <row r="75" spans="3:11" x14ac:dyDescent="0.3">
      <c r="C75" s="334"/>
      <c r="D75" s="335"/>
      <c r="E75" s="333"/>
      <c r="F75" s="333"/>
      <c r="G75" s="333"/>
      <c r="H75" s="333"/>
      <c r="I75" s="333"/>
      <c r="J75" s="4"/>
      <c r="K75" s="674"/>
    </row>
    <row r="76" spans="3:11" x14ac:dyDescent="0.3">
      <c r="C76" s="333"/>
      <c r="D76" s="335"/>
      <c r="E76" s="333"/>
      <c r="F76" s="333"/>
      <c r="G76" s="333"/>
      <c r="H76" s="333"/>
      <c r="I76" s="333"/>
      <c r="J76" s="14"/>
      <c r="K76" s="674"/>
    </row>
    <row r="77" spans="3:11" x14ac:dyDescent="0.3">
      <c r="C77" s="334"/>
      <c r="D77" s="335"/>
      <c r="E77" s="333"/>
      <c r="F77" s="333"/>
      <c r="G77" s="333"/>
      <c r="H77" s="333"/>
      <c r="I77" s="333"/>
      <c r="J77" s="4"/>
      <c r="K77" s="674"/>
    </row>
    <row r="78" spans="3:11" x14ac:dyDescent="0.3">
      <c r="C78" s="334"/>
      <c r="D78" s="335"/>
      <c r="E78" s="333"/>
      <c r="F78" s="333"/>
      <c r="G78" s="333"/>
      <c r="H78" s="333"/>
      <c r="I78" s="333"/>
      <c r="J78" s="4"/>
      <c r="K78" s="674"/>
    </row>
    <row r="79" spans="3:11" x14ac:dyDescent="0.3">
      <c r="C79" s="334"/>
      <c r="D79" s="344"/>
      <c r="E79" s="334"/>
      <c r="F79" s="334"/>
      <c r="G79" s="334"/>
      <c r="H79" s="334"/>
      <c r="I79" s="334"/>
      <c r="J79" s="4"/>
      <c r="K79" s="674"/>
    </row>
    <row r="80" spans="3:11" x14ac:dyDescent="0.3">
      <c r="C80" s="333"/>
      <c r="D80" s="695"/>
      <c r="E80" s="696"/>
      <c r="F80" s="696"/>
      <c r="G80" s="696"/>
      <c r="H80" s="696"/>
      <c r="I80" s="696"/>
      <c r="J80" s="14"/>
      <c r="K80" s="674"/>
    </row>
    <row r="81" spans="3:11" x14ac:dyDescent="0.3">
      <c r="C81" s="334"/>
      <c r="D81" s="344"/>
      <c r="E81" s="334"/>
      <c r="F81" s="334"/>
      <c r="G81" s="334"/>
      <c r="H81" s="334"/>
      <c r="I81" s="334"/>
      <c r="J81" s="4"/>
      <c r="K81" s="674"/>
    </row>
    <row r="82" spans="3:11" x14ac:dyDescent="0.3">
      <c r="C82" s="334"/>
      <c r="D82" s="344"/>
      <c r="E82" s="334"/>
      <c r="F82" s="334"/>
      <c r="G82" s="334"/>
      <c r="H82" s="334"/>
      <c r="I82" s="334"/>
      <c r="J82" s="4"/>
      <c r="K82" s="674"/>
    </row>
    <row r="83" spans="3:11" x14ac:dyDescent="0.3">
      <c r="C83" s="246"/>
      <c r="D83" s="344"/>
      <c r="E83" s="334"/>
      <c r="F83" s="334"/>
      <c r="G83" s="334"/>
      <c r="H83" s="334"/>
      <c r="I83" s="334"/>
      <c r="J83" s="4"/>
      <c r="K83" s="674"/>
    </row>
    <row r="84" spans="3:11" x14ac:dyDescent="0.3">
      <c r="C84" s="246"/>
      <c r="D84" s="344"/>
      <c r="E84" s="334"/>
      <c r="F84" s="334"/>
      <c r="G84" s="334"/>
      <c r="H84" s="334"/>
      <c r="I84" s="334"/>
      <c r="J84" s="14"/>
      <c r="K84" s="674"/>
    </row>
    <row r="85" spans="3:11" x14ac:dyDescent="0.3">
      <c r="C85" s="246"/>
      <c r="D85" s="344"/>
      <c r="E85" s="334"/>
      <c r="F85" s="334"/>
      <c r="G85" s="334"/>
      <c r="H85" s="334"/>
      <c r="I85" s="334"/>
      <c r="J85" s="4"/>
      <c r="K85" s="674"/>
    </row>
    <row r="86" spans="3:11" x14ac:dyDescent="0.3">
      <c r="C86" s="333"/>
      <c r="D86" s="344"/>
      <c r="E86" s="334"/>
      <c r="F86" s="334"/>
      <c r="G86" s="334"/>
      <c r="H86" s="334"/>
      <c r="I86" s="334"/>
      <c r="J86" s="14"/>
      <c r="K86" s="674"/>
    </row>
    <row r="87" spans="3:11" x14ac:dyDescent="0.3">
      <c r="C87" s="334"/>
      <c r="D87" s="344"/>
      <c r="E87" s="334"/>
      <c r="F87" s="334"/>
      <c r="G87" s="334"/>
      <c r="H87" s="334"/>
      <c r="I87" s="334"/>
      <c r="J87" s="676"/>
      <c r="K87" s="674"/>
    </row>
    <row r="88" spans="3:11" x14ac:dyDescent="0.3">
      <c r="C88" s="730"/>
      <c r="D88" s="730"/>
      <c r="E88" s="730"/>
      <c r="F88" s="730"/>
      <c r="G88" s="730"/>
      <c r="H88" s="730"/>
      <c r="I88" s="730"/>
      <c r="J88" s="730"/>
      <c r="K88" s="674"/>
    </row>
    <row r="89" spans="3:11" x14ac:dyDescent="0.3">
      <c r="C89" s="673"/>
      <c r="D89" s="675"/>
      <c r="E89" s="737"/>
      <c r="F89" s="737"/>
      <c r="G89" s="737"/>
      <c r="H89" s="737"/>
      <c r="I89" s="737"/>
      <c r="J89" s="737"/>
      <c r="K89" s="674"/>
    </row>
    <row r="90" spans="3:11" x14ac:dyDescent="0.3">
      <c r="C90" s="673"/>
      <c r="D90" s="675"/>
      <c r="E90" s="737"/>
      <c r="F90" s="737"/>
      <c r="G90" s="737"/>
      <c r="H90" s="737"/>
      <c r="I90" s="737"/>
      <c r="J90" s="737"/>
      <c r="K90" s="674"/>
    </row>
    <row r="91" spans="3:11" x14ac:dyDescent="0.3">
      <c r="C91" s="673"/>
      <c r="D91" s="675"/>
      <c r="E91" s="737"/>
      <c r="F91" s="737"/>
      <c r="G91" s="737"/>
      <c r="H91" s="737"/>
      <c r="I91" s="737"/>
      <c r="J91" s="737"/>
      <c r="K91" s="674"/>
    </row>
    <row r="92" spans="3:11" x14ac:dyDescent="0.3">
      <c r="C92" s="673"/>
      <c r="D92" s="675"/>
      <c r="E92" s="737"/>
      <c r="F92" s="737"/>
      <c r="G92" s="737"/>
      <c r="H92" s="737"/>
      <c r="I92" s="737"/>
      <c r="J92" s="737"/>
      <c r="K92" s="674"/>
    </row>
    <row r="93" spans="3:11" x14ac:dyDescent="0.3">
      <c r="C93" s="2"/>
      <c r="D93" s="735"/>
      <c r="E93" s="735"/>
      <c r="F93" s="735"/>
      <c r="G93" s="735"/>
      <c r="H93" s="735"/>
      <c r="I93" s="735"/>
      <c r="J93" s="735"/>
      <c r="K93" s="674"/>
    </row>
    <row r="94" spans="3:11" x14ac:dyDescent="0.3">
      <c r="C94" s="697"/>
      <c r="D94" s="735"/>
      <c r="E94" s="735"/>
      <c r="F94" s="735"/>
      <c r="G94" s="735"/>
      <c r="H94" s="735"/>
      <c r="I94" s="735"/>
      <c r="J94" s="735"/>
      <c r="K94" s="674"/>
    </row>
    <row r="95" spans="3:11" x14ac:dyDescent="0.3">
      <c r="C95" s="626"/>
      <c r="D95" s="698"/>
      <c r="E95" s="736"/>
      <c r="F95" s="736"/>
      <c r="G95" s="736"/>
      <c r="H95" s="736"/>
      <c r="I95" s="736"/>
      <c r="J95" s="736"/>
      <c r="K95" s="674"/>
    </row>
  </sheetData>
  <mergeCells count="25">
    <mergeCell ref="J42:O42"/>
    <mergeCell ref="C43:I43"/>
    <mergeCell ref="J43:O43"/>
    <mergeCell ref="E4:J4"/>
    <mergeCell ref="C10:I10"/>
    <mergeCell ref="C9:I9"/>
    <mergeCell ref="C7:I7"/>
    <mergeCell ref="C6:I6"/>
    <mergeCell ref="C8:I8"/>
    <mergeCell ref="D94:J94"/>
    <mergeCell ref="E95:J95"/>
    <mergeCell ref="E90:J90"/>
    <mergeCell ref="D12:E12"/>
    <mergeCell ref="D66:E66"/>
    <mergeCell ref="C88:J88"/>
    <mergeCell ref="E89:J89"/>
    <mergeCell ref="C35:I35"/>
    <mergeCell ref="C41:I41"/>
    <mergeCell ref="C44:I44"/>
    <mergeCell ref="J44:O44"/>
    <mergeCell ref="E91:J91"/>
    <mergeCell ref="E92:J92"/>
    <mergeCell ref="D93:J93"/>
    <mergeCell ref="H39:L39"/>
    <mergeCell ref="C42:I4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CBFFF-5E39-4969-9838-8BE314385161}">
  <sheetPr>
    <tabColor rgb="FF00B050"/>
  </sheetPr>
  <dimension ref="A7:N21"/>
  <sheetViews>
    <sheetView showGridLines="0" zoomScale="115" zoomScaleNormal="115" workbookViewId="0">
      <selection activeCell="M12" sqref="M12"/>
    </sheetView>
  </sheetViews>
  <sheetFormatPr defaultRowHeight="15" customHeight="1" x14ac:dyDescent="0.3"/>
  <cols>
    <col min="4" max="4" width="26.44140625" bestFit="1" customWidth="1"/>
    <col min="5" max="5" width="13.44140625" customWidth="1"/>
    <col min="6" max="6" width="6.109375" customWidth="1"/>
    <col min="7" max="7" width="16.5546875" customWidth="1"/>
    <col min="8" max="8" width="6.109375" customWidth="1"/>
    <col min="9" max="9" width="12.88671875" customWidth="1"/>
    <col min="10" max="10" width="5.109375" customWidth="1"/>
    <col min="11" max="11" width="14.33203125" hidden="1" customWidth="1"/>
    <col min="14" max="14" width="13.5546875" bestFit="1" customWidth="1"/>
    <col min="16" max="16" width="12.6640625" bestFit="1" customWidth="1"/>
  </cols>
  <sheetData>
    <row r="7" spans="1:14" ht="15" customHeight="1" thickBot="1" x14ac:dyDescent="0.35">
      <c r="D7" s="441"/>
      <c r="E7" s="442">
        <v>2024</v>
      </c>
      <c r="F7" s="441"/>
      <c r="G7" s="444" t="s">
        <v>5937</v>
      </c>
      <c r="H7" s="441"/>
      <c r="I7" s="442">
        <v>2023</v>
      </c>
      <c r="J7" s="443"/>
      <c r="K7" s="444">
        <v>2022</v>
      </c>
      <c r="L7" s="445"/>
    </row>
    <row r="8" spans="1:14" ht="15" customHeight="1" x14ac:dyDescent="0.3">
      <c r="D8" s="450"/>
      <c r="E8" s="450"/>
      <c r="F8" s="450"/>
      <c r="G8" s="450"/>
      <c r="H8" s="450"/>
      <c r="I8" s="450"/>
      <c r="J8" s="450"/>
      <c r="K8" s="450"/>
    </row>
    <row r="9" spans="1:14" ht="15" customHeight="1" x14ac:dyDescent="0.3">
      <c r="D9" s="446" t="s">
        <v>4964</v>
      </c>
      <c r="E9" s="665">
        <f>'DRE 2023_2024'!F31</f>
        <v>-185231.32000000981</v>
      </c>
      <c r="F9" s="666"/>
      <c r="G9" s="665">
        <f>'DRE 2023_2024'!G33</f>
        <v>-15101025.089999996</v>
      </c>
      <c r="H9" s="666"/>
      <c r="I9" s="665">
        <f>'DRE 2023_2024'!H31</f>
        <v>-9891446.1899999939</v>
      </c>
      <c r="J9" s="451"/>
      <c r="K9" s="451">
        <v>-17323206.559999999</v>
      </c>
    </row>
    <row r="10" spans="1:14" ht="15" customHeight="1" x14ac:dyDescent="0.3">
      <c r="D10" s="446" t="s">
        <v>4965</v>
      </c>
      <c r="E10" s="665">
        <f>'DMPL 2023_2024'!E47-'DMPL 2023_2024'!E47</f>
        <v>0</v>
      </c>
      <c r="F10" s="666"/>
      <c r="G10" s="744">
        <f>'DMPL 2023_2024'!E38</f>
        <v>-5098404.45</v>
      </c>
      <c r="H10" s="666"/>
      <c r="I10" s="665">
        <f>'DMPL 2023_2024'!E29</f>
        <v>-5098404.45</v>
      </c>
      <c r="J10" s="451"/>
      <c r="K10" s="451">
        <f>'DMPL 2023_2024'!E20</f>
        <v>3638625.42</v>
      </c>
      <c r="L10" s="446"/>
    </row>
    <row r="11" spans="1:14" ht="15" customHeight="1" x14ac:dyDescent="0.3">
      <c r="D11" s="446" t="s">
        <v>4966</v>
      </c>
      <c r="E11" s="665" t="s">
        <v>4967</v>
      </c>
      <c r="F11" s="666"/>
      <c r="G11" s="665" t="s">
        <v>4967</v>
      </c>
      <c r="H11" s="666"/>
      <c r="I11" s="665" t="s">
        <v>4967</v>
      </c>
      <c r="J11" s="451"/>
      <c r="K11" s="451" t="s">
        <v>4968</v>
      </c>
    </row>
    <row r="12" spans="1:14" ht="15" customHeight="1" thickBot="1" x14ac:dyDescent="0.35">
      <c r="D12" s="450"/>
      <c r="E12" s="665"/>
      <c r="F12" s="667"/>
      <c r="G12" s="665"/>
      <c r="H12" s="667"/>
      <c r="I12" s="665"/>
      <c r="J12" s="451"/>
      <c r="K12" s="451"/>
    </row>
    <row r="13" spans="1:14" ht="15" customHeight="1" thickTop="1" thickBot="1" x14ac:dyDescent="0.35">
      <c r="D13" s="447" t="s">
        <v>4969</v>
      </c>
      <c r="E13" s="743">
        <f>SUM(E9:E11)</f>
        <v>-185231.32000000981</v>
      </c>
      <c r="F13" s="669"/>
      <c r="G13" s="743">
        <f>SUM(G9:G11)</f>
        <v>-20199429.539999995</v>
      </c>
      <c r="H13" s="669"/>
      <c r="I13" s="668">
        <f>SUM(I9:I11)</f>
        <v>-14989850.639999993</v>
      </c>
      <c r="J13" s="450"/>
      <c r="K13" s="449">
        <f>SUM(K9:K11)</f>
        <v>-13684581.139999999</v>
      </c>
    </row>
    <row r="14" spans="1:14" ht="15" customHeight="1" thickTop="1" x14ac:dyDescent="0.3"/>
    <row r="15" spans="1:14" s="2" customFormat="1" ht="14.4" x14ac:dyDescent="0.3">
      <c r="A15" s="626"/>
      <c r="B15" s="626"/>
      <c r="C15" s="740" t="s">
        <v>5911</v>
      </c>
      <c r="D15" s="740"/>
      <c r="E15" s="740"/>
      <c r="F15" s="740"/>
      <c r="G15" s="740"/>
      <c r="H15" s="740"/>
      <c r="I15" s="740"/>
      <c r="J15" s="334"/>
      <c r="K15" s="334"/>
      <c r="L15" s="334"/>
      <c r="M15" s="334"/>
      <c r="N15" s="334"/>
    </row>
    <row r="16" spans="1:14" s="2" customFormat="1" ht="14.4" x14ac:dyDescent="0.3">
      <c r="A16" s="626"/>
      <c r="B16" s="626"/>
      <c r="C16" s="740" t="s">
        <v>5913</v>
      </c>
      <c r="D16" s="740"/>
      <c r="E16" s="740"/>
      <c r="F16" s="740"/>
      <c r="G16" s="740"/>
      <c r="H16" s="740"/>
      <c r="I16" s="740"/>
      <c r="J16" s="738"/>
      <c r="K16" s="738"/>
      <c r="L16" s="738"/>
      <c r="M16" s="738"/>
      <c r="N16" s="360"/>
    </row>
    <row r="17" spans="1:14" s="2" customFormat="1" ht="14.4" x14ac:dyDescent="0.3">
      <c r="A17" s="626"/>
      <c r="B17" s="626"/>
      <c r="C17" s="740" t="s">
        <v>5912</v>
      </c>
      <c r="D17" s="740"/>
      <c r="E17" s="740"/>
      <c r="F17" s="740"/>
      <c r="G17" s="740"/>
      <c r="H17" s="740"/>
      <c r="I17" s="740"/>
      <c r="J17" s="738"/>
      <c r="K17" s="738"/>
      <c r="L17" s="738"/>
      <c r="M17" s="738"/>
      <c r="N17" s="360"/>
    </row>
    <row r="18" spans="1:14" ht="14.4" x14ac:dyDescent="0.3">
      <c r="A18" s="627"/>
      <c r="B18" s="627"/>
      <c r="C18" s="740" t="s">
        <v>5914</v>
      </c>
      <c r="D18" s="740"/>
      <c r="E18" s="740"/>
      <c r="F18" s="740"/>
      <c r="G18" s="740"/>
      <c r="H18" s="740"/>
      <c r="I18" s="740"/>
      <c r="J18" s="738"/>
      <c r="K18" s="738"/>
      <c r="L18" s="738"/>
      <c r="M18" s="738"/>
      <c r="N18" s="359"/>
    </row>
    <row r="19" spans="1:14" ht="14.4" x14ac:dyDescent="0.3">
      <c r="A19" s="627"/>
      <c r="B19" s="627"/>
      <c r="C19" s="627"/>
      <c r="D19" s="628"/>
      <c r="E19" s="627"/>
      <c r="F19" s="627"/>
      <c r="G19" s="627"/>
      <c r="H19" s="627"/>
      <c r="I19" s="627"/>
      <c r="J19" s="23"/>
    </row>
    <row r="20" spans="1:14" ht="15" customHeight="1" x14ac:dyDescent="0.3">
      <c r="A20" s="627"/>
      <c r="B20" s="627"/>
      <c r="C20" s="627"/>
      <c r="D20" s="627"/>
      <c r="E20" s="627"/>
      <c r="F20" s="627"/>
      <c r="G20" s="627"/>
      <c r="H20" s="627"/>
      <c r="I20" s="627"/>
    </row>
    <row r="21" spans="1:14" ht="15" customHeight="1" x14ac:dyDescent="0.3">
      <c r="A21" s="627"/>
      <c r="B21" s="627"/>
      <c r="C21" s="627"/>
      <c r="D21" s="627"/>
      <c r="E21" s="627"/>
      <c r="F21" s="627"/>
      <c r="G21" s="627"/>
      <c r="H21" s="627"/>
      <c r="I21" s="627"/>
    </row>
  </sheetData>
  <mergeCells count="7">
    <mergeCell ref="C18:I18"/>
    <mergeCell ref="J18:M18"/>
    <mergeCell ref="C15:I15"/>
    <mergeCell ref="C16:I16"/>
    <mergeCell ref="J16:M16"/>
    <mergeCell ref="C17:I17"/>
    <mergeCell ref="J17:M17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45E1C-93CD-488A-9354-480CF245D714}">
  <sheetPr>
    <tabColor rgb="FF00B050"/>
  </sheetPr>
  <dimension ref="B2:P61"/>
  <sheetViews>
    <sheetView showGridLines="0" topLeftCell="A16" workbookViewId="0">
      <selection activeCell="B16" sqref="B16:G53"/>
    </sheetView>
  </sheetViews>
  <sheetFormatPr defaultColWidth="9.109375" defaultRowHeight="14.4" x14ac:dyDescent="0.3"/>
  <cols>
    <col min="2" max="2" width="38.33203125" customWidth="1"/>
    <col min="3" max="3" width="15.33203125" bestFit="1" customWidth="1"/>
    <col min="4" max="4" width="14.88671875" bestFit="1" customWidth="1"/>
    <col min="5" max="7" width="17.33203125" customWidth="1"/>
    <col min="9" max="9" width="17.33203125" customWidth="1"/>
    <col min="10" max="10" width="20" customWidth="1"/>
    <col min="13" max="13" width="14.44140625" style="36" bestFit="1" customWidth="1"/>
    <col min="14" max="14" width="15" bestFit="1" customWidth="1"/>
    <col min="15" max="15" width="18.109375" style="20" customWidth="1"/>
    <col min="16" max="16" width="19.5546875" style="20" customWidth="1"/>
  </cols>
  <sheetData>
    <row r="2" spans="2:16" ht="18.75" customHeight="1" x14ac:dyDescent="0.3"/>
    <row r="9" spans="2:16" x14ac:dyDescent="0.3">
      <c r="B9" s="24" t="s">
        <v>2398</v>
      </c>
      <c r="M9"/>
      <c r="O9"/>
      <c r="P9"/>
    </row>
    <row r="10" spans="2:16" x14ac:dyDescent="0.3">
      <c r="B10" s="25" t="s">
        <v>2471</v>
      </c>
      <c r="M10"/>
      <c r="O10"/>
      <c r="P10"/>
    </row>
    <row r="12" spans="2:16" x14ac:dyDescent="0.3">
      <c r="B12" s="24" t="s">
        <v>2472</v>
      </c>
      <c r="M12"/>
      <c r="O12"/>
      <c r="P12"/>
    </row>
    <row r="13" spans="2:16" x14ac:dyDescent="0.3">
      <c r="B13" s="25" t="s">
        <v>5894</v>
      </c>
      <c r="M13"/>
      <c r="O13"/>
      <c r="P13"/>
    </row>
    <row r="15" spans="2:16" ht="15" thickBot="1" x14ac:dyDescent="0.35">
      <c r="M15"/>
    </row>
    <row r="16" spans="2:16" ht="45" customHeight="1" thickBot="1" x14ac:dyDescent="0.35">
      <c r="B16" s="26" t="s">
        <v>2</v>
      </c>
      <c r="C16" s="27" t="s">
        <v>2443</v>
      </c>
      <c r="D16" s="27" t="s">
        <v>2059</v>
      </c>
      <c r="E16" s="28" t="s">
        <v>2474</v>
      </c>
      <c r="F16" s="28" t="s">
        <v>2475</v>
      </c>
      <c r="G16" s="29" t="s">
        <v>2476</v>
      </c>
      <c r="M16"/>
    </row>
    <row r="17" spans="2:16" ht="15" hidden="1" thickBot="1" x14ac:dyDescent="0.35">
      <c r="B17" s="352" t="s">
        <v>2489</v>
      </c>
      <c r="C17" s="351">
        <v>223483746.68000001</v>
      </c>
      <c r="D17" s="351">
        <v>15177736.26</v>
      </c>
      <c r="E17" s="33">
        <v>-236799213.87</v>
      </c>
      <c r="F17" s="33">
        <v>0</v>
      </c>
      <c r="G17" s="35">
        <v>1862269.0700000115</v>
      </c>
      <c r="M17" s="23"/>
      <c r="N17" s="16"/>
    </row>
    <row r="18" spans="2:16" ht="14.25" hidden="1" customHeight="1" x14ac:dyDescent="0.3">
      <c r="B18" s="5"/>
      <c r="C18" s="431"/>
      <c r="D18" s="431"/>
      <c r="E18" s="431"/>
      <c r="F18" s="431"/>
      <c r="G18" s="431"/>
      <c r="M18" s="23"/>
      <c r="N18" s="20"/>
    </row>
    <row r="19" spans="2:16" hidden="1" x14ac:dyDescent="0.3">
      <c r="B19" s="6" t="s">
        <v>2478</v>
      </c>
      <c r="C19" s="431">
        <v>0</v>
      </c>
      <c r="D19" s="431">
        <v>0</v>
      </c>
      <c r="E19" s="431">
        <v>-17323206.559999999</v>
      </c>
      <c r="F19" s="431">
        <v>0</v>
      </c>
      <c r="G19" s="431">
        <v>-17323206.559999999</v>
      </c>
      <c r="J19" s="431">
        <v>240000000</v>
      </c>
      <c r="M19" s="23"/>
      <c r="N19" s="20"/>
    </row>
    <row r="20" spans="2:16" hidden="1" x14ac:dyDescent="0.3">
      <c r="B20" s="6" t="s">
        <v>2479</v>
      </c>
      <c r="C20" s="431">
        <v>0</v>
      </c>
      <c r="D20" s="431">
        <v>-15177736.26</v>
      </c>
      <c r="E20" s="431">
        <v>3638625.42</v>
      </c>
      <c r="F20" s="431">
        <v>0</v>
      </c>
      <c r="G20" s="431">
        <v>-11539110.84</v>
      </c>
      <c r="J20" s="431">
        <v>-16516253.32</v>
      </c>
      <c r="M20" s="23"/>
      <c r="N20" s="20"/>
    </row>
    <row r="21" spans="2:16" hidden="1" x14ac:dyDescent="0.3">
      <c r="B21" s="6" t="s">
        <v>2480</v>
      </c>
      <c r="C21" s="431">
        <v>0</v>
      </c>
      <c r="D21" s="431">
        <v>0</v>
      </c>
      <c r="E21" s="431">
        <v>0</v>
      </c>
      <c r="F21" s="431">
        <v>0</v>
      </c>
      <c r="G21" s="431">
        <v>0</v>
      </c>
      <c r="J21" s="123">
        <f>J19+J20</f>
        <v>223483746.68000001</v>
      </c>
      <c r="M21" s="23"/>
      <c r="O21"/>
      <c r="P21"/>
    </row>
    <row r="22" spans="2:16" hidden="1" x14ac:dyDescent="0.3">
      <c r="B22" s="6" t="s">
        <v>2482</v>
      </c>
      <c r="C22" s="431">
        <v>0</v>
      </c>
      <c r="D22" s="431">
        <v>0</v>
      </c>
      <c r="E22" s="431">
        <v>0</v>
      </c>
      <c r="F22" s="431">
        <v>0</v>
      </c>
      <c r="G22" s="431">
        <v>0</v>
      </c>
      <c r="M22" s="23"/>
      <c r="O22"/>
      <c r="P22"/>
    </row>
    <row r="23" spans="2:16" hidden="1" x14ac:dyDescent="0.3">
      <c r="B23" s="6" t="s">
        <v>2490</v>
      </c>
      <c r="C23" s="431">
        <v>0</v>
      </c>
      <c r="D23" s="431">
        <v>0</v>
      </c>
      <c r="E23" s="431">
        <v>0</v>
      </c>
      <c r="F23" s="431">
        <v>0</v>
      </c>
      <c r="G23" s="431">
        <v>0</v>
      </c>
      <c r="J23" s="36">
        <f>-255582199.46</f>
        <v>-255582199.46000001</v>
      </c>
      <c r="M23" s="23"/>
      <c r="O23"/>
      <c r="P23"/>
    </row>
    <row r="24" spans="2:16" hidden="1" x14ac:dyDescent="0.3">
      <c r="B24" s="660" t="s">
        <v>2491</v>
      </c>
      <c r="C24" s="431">
        <v>0</v>
      </c>
      <c r="D24" s="431">
        <v>0</v>
      </c>
      <c r="E24" s="431">
        <v>0</v>
      </c>
      <c r="F24" s="431">
        <v>0</v>
      </c>
      <c r="G24" s="431">
        <v>0</v>
      </c>
      <c r="J24" s="17">
        <f>E28</f>
        <v>-9891446.1899999939</v>
      </c>
      <c r="O24"/>
      <c r="P24"/>
    </row>
    <row r="25" spans="2:16" ht="15" hidden="1" thickBot="1" x14ac:dyDescent="0.35">
      <c r="B25" s="6"/>
      <c r="C25" s="6"/>
      <c r="D25" s="5"/>
      <c r="E25" s="5"/>
      <c r="F25" s="5"/>
      <c r="G25" s="432"/>
      <c r="M25"/>
      <c r="O25"/>
      <c r="P25"/>
    </row>
    <row r="26" spans="2:16" ht="15" thickBot="1" x14ac:dyDescent="0.35">
      <c r="B26" s="350" t="s">
        <v>5946</v>
      </c>
      <c r="C26" s="351">
        <v>223483746.68000001</v>
      </c>
      <c r="D26" s="351">
        <f>SUM(D17+D20)</f>
        <v>0</v>
      </c>
      <c r="E26" s="33">
        <f>SUM(E17+E19+E20+E21)</f>
        <v>-250483795.01000002</v>
      </c>
      <c r="F26" s="33">
        <v>0</v>
      </c>
      <c r="G26" s="433">
        <f>G17+G19+G20+G21</f>
        <v>-27000048.329999987</v>
      </c>
      <c r="M26"/>
      <c r="O26"/>
      <c r="P26"/>
    </row>
    <row r="27" spans="2:16" x14ac:dyDescent="0.3">
      <c r="G27" s="115"/>
    </row>
    <row r="28" spans="2:16" x14ac:dyDescent="0.3">
      <c r="B28" s="6" t="s">
        <v>2478</v>
      </c>
      <c r="C28" s="431">
        <v>0</v>
      </c>
      <c r="D28" s="431">
        <v>0</v>
      </c>
      <c r="E28" s="431">
        <f>'DRE 2023_2024'!H33</f>
        <v>-9891446.1899999939</v>
      </c>
      <c r="F28" s="431">
        <v>0</v>
      </c>
      <c r="G28" s="431">
        <f t="shared" ref="G28:G33" si="0">SUM(C28:F28)</f>
        <v>-9891446.1899999939</v>
      </c>
      <c r="I28" s="16"/>
      <c r="M28" s="23"/>
      <c r="N28" s="20"/>
    </row>
    <row r="29" spans="2:16" x14ac:dyDescent="0.3">
      <c r="B29" s="6" t="s">
        <v>2479</v>
      </c>
      <c r="C29" s="431">
        <v>0</v>
      </c>
      <c r="D29" s="431">
        <v>0</v>
      </c>
      <c r="E29" s="431">
        <f>-'BALANCETE 2023'!$L$477</f>
        <v>-5098404.45</v>
      </c>
      <c r="F29" s="431">
        <v>0</v>
      </c>
      <c r="G29" s="431">
        <f t="shared" si="0"/>
        <v>-5098404.45</v>
      </c>
      <c r="M29" s="23"/>
      <c r="N29" s="20"/>
    </row>
    <row r="30" spans="2:16" x14ac:dyDescent="0.3">
      <c r="B30" s="6" t="s">
        <v>2480</v>
      </c>
      <c r="C30" s="431">
        <v>0</v>
      </c>
      <c r="D30" s="431">
        <v>0</v>
      </c>
      <c r="E30" s="431">
        <v>0</v>
      </c>
      <c r="F30" s="431">
        <v>0</v>
      </c>
      <c r="G30" s="431">
        <f t="shared" si="0"/>
        <v>0</v>
      </c>
      <c r="M30" s="23"/>
      <c r="O30"/>
      <c r="P30"/>
    </row>
    <row r="31" spans="2:16" x14ac:dyDescent="0.3">
      <c r="B31" s="6" t="s">
        <v>2482</v>
      </c>
      <c r="C31" s="431">
        <v>0</v>
      </c>
      <c r="D31" s="431">
        <v>0</v>
      </c>
      <c r="E31" s="431">
        <v>0</v>
      </c>
      <c r="F31" s="431">
        <v>0</v>
      </c>
      <c r="G31" s="431">
        <f t="shared" si="0"/>
        <v>0</v>
      </c>
      <c r="M31" s="23"/>
      <c r="O31"/>
      <c r="P31"/>
    </row>
    <row r="32" spans="2:16" x14ac:dyDescent="0.3">
      <c r="B32" s="6" t="s">
        <v>2490</v>
      </c>
      <c r="C32" s="431">
        <v>0</v>
      </c>
      <c r="D32" s="431">
        <v>0</v>
      </c>
      <c r="E32" s="431">
        <v>0</v>
      </c>
      <c r="F32" s="431">
        <v>0</v>
      </c>
      <c r="G32" s="431">
        <f t="shared" si="0"/>
        <v>0</v>
      </c>
      <c r="M32" s="23"/>
      <c r="O32"/>
      <c r="P32"/>
    </row>
    <row r="33" spans="2:16" x14ac:dyDescent="0.3">
      <c r="B33" s="660" t="s">
        <v>2491</v>
      </c>
      <c r="C33" s="431">
        <v>0</v>
      </c>
      <c r="D33" s="431">
        <v>0</v>
      </c>
      <c r="E33" s="431">
        <v>0</v>
      </c>
      <c r="F33" s="431">
        <v>0</v>
      </c>
      <c r="G33" s="431">
        <f t="shared" si="0"/>
        <v>0</v>
      </c>
      <c r="O33"/>
      <c r="P33"/>
    </row>
    <row r="34" spans="2:16" ht="15" thickBot="1" x14ac:dyDescent="0.35">
      <c r="D34" s="14"/>
      <c r="G34" s="115"/>
    </row>
    <row r="35" spans="2:16" ht="15" thickBot="1" x14ac:dyDescent="0.35">
      <c r="B35" s="350" t="s">
        <v>3692</v>
      </c>
      <c r="C35" s="33">
        <f>SUM(C26:C33)</f>
        <v>223483746.68000001</v>
      </c>
      <c r="D35" s="33">
        <f>SUM(D26:D33)</f>
        <v>0</v>
      </c>
      <c r="E35" s="33">
        <f>SUM(E26:E33)</f>
        <v>-265473645.65000001</v>
      </c>
      <c r="F35" s="33">
        <f>SUM(F26:F33)</f>
        <v>0</v>
      </c>
      <c r="G35" s="433">
        <f>SUM(C35:F35)</f>
        <v>-41989898.969999999</v>
      </c>
      <c r="M35"/>
      <c r="O35"/>
      <c r="P35"/>
    </row>
    <row r="36" spans="2:16" x14ac:dyDescent="0.3">
      <c r="B36" s="18"/>
      <c r="C36" s="604"/>
      <c r="D36" s="604"/>
      <c r="E36" s="604"/>
      <c r="F36" s="604"/>
      <c r="G36" s="605"/>
      <c r="M36"/>
      <c r="O36"/>
      <c r="P36"/>
    </row>
    <row r="37" spans="2:16" x14ac:dyDescent="0.3">
      <c r="B37" s="6" t="s">
        <v>2478</v>
      </c>
      <c r="C37" s="606">
        <v>0</v>
      </c>
      <c r="D37" s="606">
        <v>0</v>
      </c>
      <c r="E37" s="606">
        <f>'DRE 2023_2024'!G33</f>
        <v>-15101025.089999996</v>
      </c>
      <c r="F37" s="606">
        <v>0</v>
      </c>
      <c r="G37" s="431">
        <f>SUM(C37:F37)</f>
        <v>-15101025.089999996</v>
      </c>
      <c r="M37"/>
      <c r="O37"/>
      <c r="P37"/>
    </row>
    <row r="38" spans="2:16" x14ac:dyDescent="0.3">
      <c r="B38" s="6" t="s">
        <v>2479</v>
      </c>
      <c r="C38" s="606">
        <v>0</v>
      </c>
      <c r="D38" s="606">
        <v>0</v>
      </c>
      <c r="E38" s="606">
        <f>-'Representado 2023'!M528</f>
        <v>-5098404.45</v>
      </c>
      <c r="F38" s="606">
        <v>0</v>
      </c>
      <c r="G38" s="607">
        <v>0</v>
      </c>
      <c r="M38"/>
      <c r="O38"/>
      <c r="P38"/>
    </row>
    <row r="39" spans="2:16" x14ac:dyDescent="0.3">
      <c r="B39" s="6" t="s">
        <v>2480</v>
      </c>
      <c r="C39" s="606">
        <v>0</v>
      </c>
      <c r="D39" s="606">
        <v>0</v>
      </c>
      <c r="E39" s="606">
        <v>0</v>
      </c>
      <c r="F39" s="606">
        <v>0</v>
      </c>
      <c r="G39" s="607">
        <v>0</v>
      </c>
      <c r="M39"/>
      <c r="O39"/>
      <c r="P39"/>
    </row>
    <row r="40" spans="2:16" x14ac:dyDescent="0.3">
      <c r="B40" s="6" t="s">
        <v>2482</v>
      </c>
      <c r="C40" s="606">
        <v>0</v>
      </c>
      <c r="D40" s="606">
        <v>0</v>
      </c>
      <c r="E40" s="606">
        <v>0</v>
      </c>
      <c r="F40" s="606">
        <v>0</v>
      </c>
      <c r="G40" s="607">
        <v>0</v>
      </c>
      <c r="M40"/>
      <c r="O40"/>
      <c r="P40"/>
    </row>
    <row r="41" spans="2:16" x14ac:dyDescent="0.3">
      <c r="B41" s="6" t="s">
        <v>2490</v>
      </c>
      <c r="C41" s="606">
        <v>0</v>
      </c>
      <c r="D41" s="606">
        <v>0</v>
      </c>
      <c r="E41" s="606">
        <v>0</v>
      </c>
      <c r="F41" s="606">
        <v>0</v>
      </c>
      <c r="G41" s="607">
        <v>0</v>
      </c>
      <c r="M41"/>
      <c r="O41"/>
      <c r="P41"/>
    </row>
    <row r="42" spans="2:16" x14ac:dyDescent="0.3">
      <c r="B42" s="6" t="s">
        <v>2491</v>
      </c>
      <c r="C42" s="606">
        <v>0</v>
      </c>
      <c r="D42" s="606">
        <v>0</v>
      </c>
      <c r="E42" s="606">
        <v>0</v>
      </c>
      <c r="F42" s="606">
        <v>0</v>
      </c>
      <c r="G42" s="607">
        <v>0</v>
      </c>
      <c r="M42"/>
      <c r="O42"/>
      <c r="P42"/>
    </row>
    <row r="43" spans="2:16" ht="15" thickBot="1" x14ac:dyDescent="0.35">
      <c r="B43" s="64"/>
      <c r="C43" s="606"/>
      <c r="D43" s="606"/>
      <c r="E43" s="606"/>
      <c r="F43" s="606"/>
      <c r="G43" s="607"/>
      <c r="M43"/>
      <c r="O43"/>
      <c r="P43"/>
    </row>
    <row r="44" spans="2:16" ht="15" thickBot="1" x14ac:dyDescent="0.35">
      <c r="B44" s="350" t="s">
        <v>5909</v>
      </c>
      <c r="C44" s="33">
        <f>SUM(C26:C32)</f>
        <v>223483746.68000001</v>
      </c>
      <c r="D44" s="33">
        <f>SUM(D35:D42)</f>
        <v>0</v>
      </c>
      <c r="E44" s="33">
        <f>E26+E37+E38</f>
        <v>-270683224.55000001</v>
      </c>
      <c r="F44" s="33">
        <f>SUM(F35:F42)</f>
        <v>0</v>
      </c>
      <c r="G44" s="433">
        <f>SUM(C44:F44)</f>
        <v>-47199477.870000005</v>
      </c>
      <c r="J44" s="16"/>
    </row>
    <row r="45" spans="2:16" x14ac:dyDescent="0.3">
      <c r="B45" s="18"/>
      <c r="C45" s="604"/>
      <c r="D45" s="604"/>
      <c r="E45" s="604"/>
      <c r="F45" s="604"/>
      <c r="G45" s="605"/>
      <c r="J45" s="16"/>
    </row>
    <row r="46" spans="2:16" x14ac:dyDescent="0.3">
      <c r="B46" s="6" t="s">
        <v>2478</v>
      </c>
      <c r="C46" s="431">
        <v>0</v>
      </c>
      <c r="D46" s="431">
        <v>0</v>
      </c>
      <c r="E46" s="431">
        <f>'DRE 2023_2024'!F33</f>
        <v>-185231.32000000981</v>
      </c>
      <c r="F46" s="431">
        <v>0</v>
      </c>
      <c r="G46" s="431">
        <f>SUM(C46:F46)</f>
        <v>-185231.32000000981</v>
      </c>
      <c r="M46" s="23"/>
      <c r="N46" s="20"/>
    </row>
    <row r="47" spans="2:16" x14ac:dyDescent="0.3">
      <c r="B47" s="6" t="s">
        <v>2479</v>
      </c>
      <c r="C47" s="431">
        <v>0</v>
      </c>
      <c r="D47" s="431">
        <v>0</v>
      </c>
      <c r="E47" s="431"/>
      <c r="F47" s="431">
        <v>0</v>
      </c>
      <c r="G47" s="431">
        <f t="shared" ref="G47:G51" si="1">SUM(C47:F47)</f>
        <v>0</v>
      </c>
      <c r="M47" s="23"/>
      <c r="N47" s="20"/>
    </row>
    <row r="48" spans="2:16" x14ac:dyDescent="0.3">
      <c r="B48" s="6" t="s">
        <v>2480</v>
      </c>
      <c r="C48" s="431">
        <v>0</v>
      </c>
      <c r="D48" s="431">
        <v>0</v>
      </c>
      <c r="E48" s="431">
        <v>0</v>
      </c>
      <c r="F48" s="431">
        <v>0</v>
      </c>
      <c r="G48" s="431">
        <f t="shared" si="1"/>
        <v>0</v>
      </c>
      <c r="M48" s="23"/>
      <c r="O48"/>
      <c r="P48"/>
    </row>
    <row r="49" spans="2:16" x14ac:dyDescent="0.3">
      <c r="B49" s="6" t="s">
        <v>2482</v>
      </c>
      <c r="C49" s="431">
        <v>0</v>
      </c>
      <c r="D49" s="431">
        <v>0</v>
      </c>
      <c r="E49" s="431">
        <v>0</v>
      </c>
      <c r="F49" s="431">
        <v>0</v>
      </c>
      <c r="G49" s="431">
        <f t="shared" si="1"/>
        <v>0</v>
      </c>
      <c r="M49" s="23"/>
      <c r="O49"/>
      <c r="P49"/>
    </row>
    <row r="50" spans="2:16" x14ac:dyDescent="0.3">
      <c r="B50" s="6" t="s">
        <v>2490</v>
      </c>
      <c r="C50" s="431">
        <v>0</v>
      </c>
      <c r="D50" s="431">
        <v>0</v>
      </c>
      <c r="E50" s="431">
        <v>0</v>
      </c>
      <c r="F50" s="431">
        <v>0</v>
      </c>
      <c r="G50" s="431">
        <f t="shared" si="1"/>
        <v>0</v>
      </c>
      <c r="M50" s="23"/>
      <c r="O50"/>
      <c r="P50"/>
    </row>
    <row r="51" spans="2:16" x14ac:dyDescent="0.3">
      <c r="B51" s="660" t="s">
        <v>2491</v>
      </c>
      <c r="C51" s="431">
        <v>0</v>
      </c>
      <c r="D51" s="431">
        <v>0</v>
      </c>
      <c r="E51" s="431">
        <v>0</v>
      </c>
      <c r="F51" s="431">
        <v>0</v>
      </c>
      <c r="G51" s="431">
        <f t="shared" si="1"/>
        <v>0</v>
      </c>
      <c r="O51"/>
      <c r="P51"/>
    </row>
    <row r="52" spans="2:16" ht="15" thickBot="1" x14ac:dyDescent="0.35">
      <c r="D52" s="14"/>
      <c r="G52" s="115"/>
    </row>
    <row r="53" spans="2:16" ht="15" thickBot="1" x14ac:dyDescent="0.35">
      <c r="B53" s="350" t="s">
        <v>5893</v>
      </c>
      <c r="C53" s="33">
        <f>SUM(C35:C41)</f>
        <v>223483746.68000001</v>
      </c>
      <c r="D53" s="33">
        <f>SUM(D35:D51)</f>
        <v>0</v>
      </c>
      <c r="E53" s="33">
        <f>E44+E46+E47</f>
        <v>-270868455.87</v>
      </c>
      <c r="F53" s="33">
        <f>SUM(F35:F51)</f>
        <v>0</v>
      </c>
      <c r="G53" s="433">
        <f>SUM(C53:F53)</f>
        <v>-47384709.189999998</v>
      </c>
      <c r="M53"/>
      <c r="O53"/>
      <c r="P53"/>
    </row>
    <row r="58" spans="2:16" s="2" customFormat="1" x14ac:dyDescent="0.3">
      <c r="B58" s="738" t="s">
        <v>4960</v>
      </c>
      <c r="C58" s="738"/>
      <c r="D58" s="738"/>
      <c r="E58" s="738"/>
      <c r="F58" s="738"/>
      <c r="G58" s="738"/>
      <c r="H58" s="738"/>
      <c r="I58" s="334"/>
      <c r="J58" s="334"/>
      <c r="K58" s="334"/>
      <c r="L58" s="334"/>
      <c r="M58" s="334"/>
    </row>
    <row r="59" spans="2:16" s="2" customFormat="1" x14ac:dyDescent="0.3">
      <c r="B59" s="738" t="s">
        <v>5891</v>
      </c>
      <c r="C59" s="738"/>
      <c r="D59" s="738"/>
      <c r="E59" s="738"/>
      <c r="F59" s="738"/>
      <c r="G59" s="738"/>
      <c r="H59" s="738"/>
      <c r="I59" s="738"/>
      <c r="J59" s="738"/>
      <c r="K59" s="738"/>
      <c r="L59" s="738"/>
      <c r="M59" s="360"/>
    </row>
    <row r="60" spans="2:16" s="2" customFormat="1" x14ac:dyDescent="0.3">
      <c r="B60" s="738" t="s">
        <v>4961</v>
      </c>
      <c r="C60" s="738"/>
      <c r="D60" s="738"/>
      <c r="E60" s="738"/>
      <c r="F60" s="738"/>
      <c r="G60" s="738"/>
      <c r="H60" s="738"/>
      <c r="I60" s="738"/>
      <c r="J60" s="738"/>
      <c r="K60" s="738"/>
      <c r="L60" s="738"/>
      <c r="M60" s="360"/>
    </row>
    <row r="61" spans="2:16" x14ac:dyDescent="0.3">
      <c r="B61" s="738" t="s">
        <v>5892</v>
      </c>
      <c r="C61" s="738"/>
      <c r="D61" s="738"/>
      <c r="E61" s="738"/>
      <c r="F61" s="738"/>
      <c r="G61" s="738"/>
      <c r="H61" s="738"/>
      <c r="I61" s="738"/>
      <c r="J61" s="738"/>
      <c r="K61" s="738"/>
      <c r="L61" s="738"/>
      <c r="M61" s="359"/>
      <c r="O61"/>
      <c r="P61"/>
    </row>
  </sheetData>
  <mergeCells count="7">
    <mergeCell ref="B61:H61"/>
    <mergeCell ref="I61:L61"/>
    <mergeCell ref="B58:H58"/>
    <mergeCell ref="B59:H59"/>
    <mergeCell ref="I59:L59"/>
    <mergeCell ref="B60:H60"/>
    <mergeCell ref="I60:L60"/>
  </mergeCells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BB422-1DE7-4B91-A47B-A16055042514}">
  <sheetPr>
    <tabColor rgb="FF00B050"/>
  </sheetPr>
  <dimension ref="B1:Z67"/>
  <sheetViews>
    <sheetView showGridLines="0" topLeftCell="A11" zoomScale="122" zoomScaleNormal="85" workbookViewId="0">
      <selection activeCell="E18" sqref="E18"/>
    </sheetView>
  </sheetViews>
  <sheetFormatPr defaultRowHeight="14.4" x14ac:dyDescent="0.3"/>
  <cols>
    <col min="1" max="1" width="9.109375" style="40"/>
    <col min="2" max="3" width="1.6640625" style="40" customWidth="1"/>
    <col min="4" max="4" width="56" style="40" bestFit="1" customWidth="1"/>
    <col min="5" max="5" width="26.5546875" style="40" customWidth="1"/>
    <col min="6" max="6" width="22.88671875" style="211" customWidth="1"/>
    <col min="7" max="7" width="21.109375" style="40" bestFit="1" customWidth="1"/>
    <col min="8" max="8" width="14" style="40" hidden="1" customWidth="1"/>
    <col min="9" max="9" width="13.6640625" style="40" hidden="1" customWidth="1"/>
    <col min="10" max="10" width="17.109375" style="40" hidden="1" customWidth="1"/>
    <col min="11" max="11" width="15" style="70" bestFit="1" customWidth="1"/>
    <col min="12" max="12" width="17.44140625" style="40" customWidth="1"/>
    <col min="13" max="13" width="8.44140625" style="40" customWidth="1"/>
    <col min="14" max="14" width="28" style="40" customWidth="1"/>
    <col min="15" max="15" width="24.88671875" style="77" hidden="1" customWidth="1"/>
    <col min="16" max="16" width="4" style="40" hidden="1" customWidth="1"/>
    <col min="17" max="17" width="20.109375" style="40" hidden="1" customWidth="1"/>
    <col min="18" max="18" width="60.88671875" style="40" hidden="1" customWidth="1"/>
    <col min="19" max="19" width="9.109375" style="38" hidden="1" customWidth="1"/>
    <col min="20" max="20" width="9.109375" style="40" hidden="1" customWidth="1"/>
    <col min="21" max="21" width="30.6640625" style="40" hidden="1" customWidth="1"/>
    <col min="22" max="22" width="1.33203125" style="40" hidden="1" customWidth="1"/>
    <col min="23" max="23" width="30.6640625" style="40" hidden="1" customWidth="1"/>
    <col min="24" max="24" width="9.109375" style="40" hidden="1" customWidth="1"/>
    <col min="25" max="25" width="24.33203125" style="40" customWidth="1"/>
    <col min="26" max="26" width="16.33203125" style="70" customWidth="1"/>
    <col min="27" max="27" width="32.33203125" style="40" bestFit="1" customWidth="1"/>
    <col min="28" max="28" width="16.33203125" style="40" customWidth="1"/>
    <col min="29" max="29" width="17.33203125" style="40" customWidth="1"/>
    <col min="30" max="30" width="16.6640625" style="40" customWidth="1"/>
    <col min="31" max="31" width="15.109375" style="40" customWidth="1"/>
    <col min="32" max="32" width="24.5546875" style="40" customWidth="1"/>
    <col min="33" max="33" width="23.88671875" style="40" customWidth="1"/>
    <col min="34" max="248" width="9.109375" style="40"/>
    <col min="249" max="251" width="1.6640625" style="40" customWidth="1"/>
    <col min="252" max="252" width="12.109375" style="40" customWidth="1"/>
    <col min="253" max="253" width="16" style="40" customWidth="1"/>
    <col min="254" max="254" width="5.6640625" style="40" customWidth="1"/>
    <col min="255" max="255" width="6.5546875" style="40" customWidth="1"/>
    <col min="256" max="256" width="9.109375" style="40"/>
    <col min="257" max="257" width="12.33203125" style="40" customWidth="1"/>
    <col min="258" max="258" width="32.5546875" style="40" customWidth="1"/>
    <col min="259" max="259" width="15.5546875" style="40" customWidth="1"/>
    <col min="260" max="260" width="28.88671875" style="40" customWidth="1"/>
    <col min="261" max="261" width="14" style="40" bestFit="1" customWidth="1"/>
    <col min="262" max="263" width="15" style="40" bestFit="1" customWidth="1"/>
    <col min="264" max="264" width="18.109375" style="40" customWidth="1"/>
    <col min="265" max="265" width="20.88671875" style="40" customWidth="1"/>
    <col min="266" max="266" width="15.109375" style="40" customWidth="1"/>
    <col min="267" max="267" width="13.88671875" style="40" bestFit="1" customWidth="1"/>
    <col min="268" max="268" width="12.33203125" style="40" bestFit="1" customWidth="1"/>
    <col min="269" max="269" width="23.44140625" style="40" bestFit="1" customWidth="1"/>
    <col min="270" max="504" width="9.109375" style="40"/>
    <col min="505" max="507" width="1.6640625" style="40" customWidth="1"/>
    <col min="508" max="508" width="12.109375" style="40" customWidth="1"/>
    <col min="509" max="509" width="16" style="40" customWidth="1"/>
    <col min="510" max="510" width="5.6640625" style="40" customWidth="1"/>
    <col min="511" max="511" width="6.5546875" style="40" customWidth="1"/>
    <col min="512" max="512" width="9.109375" style="40"/>
    <col min="513" max="513" width="12.33203125" style="40" customWidth="1"/>
    <col min="514" max="514" width="32.5546875" style="40" customWidth="1"/>
    <col min="515" max="515" width="15.5546875" style="40" customWidth="1"/>
    <col min="516" max="516" width="28.88671875" style="40" customWidth="1"/>
    <col min="517" max="517" width="14" style="40" bestFit="1" customWidth="1"/>
    <col min="518" max="519" width="15" style="40" bestFit="1" customWidth="1"/>
    <col min="520" max="520" width="18.109375" style="40" customWidth="1"/>
    <col min="521" max="521" width="20.88671875" style="40" customWidth="1"/>
    <col min="522" max="522" width="15.109375" style="40" customWidth="1"/>
    <col min="523" max="523" width="13.88671875" style="40" bestFit="1" customWidth="1"/>
    <col min="524" max="524" width="12.33203125" style="40" bestFit="1" customWidth="1"/>
    <col min="525" max="525" width="23.44140625" style="40" bestFit="1" customWidth="1"/>
    <col min="526" max="760" width="9.109375" style="40"/>
    <col min="761" max="763" width="1.6640625" style="40" customWidth="1"/>
    <col min="764" max="764" width="12.109375" style="40" customWidth="1"/>
    <col min="765" max="765" width="16" style="40" customWidth="1"/>
    <col min="766" max="766" width="5.6640625" style="40" customWidth="1"/>
    <col min="767" max="767" width="6.5546875" style="40" customWidth="1"/>
    <col min="768" max="768" width="9.109375" style="40"/>
    <col min="769" max="769" width="12.33203125" style="40" customWidth="1"/>
    <col min="770" max="770" width="32.5546875" style="40" customWidth="1"/>
    <col min="771" max="771" width="15.5546875" style="40" customWidth="1"/>
    <col min="772" max="772" width="28.88671875" style="40" customWidth="1"/>
    <col min="773" max="773" width="14" style="40" bestFit="1" customWidth="1"/>
    <col min="774" max="775" width="15" style="40" bestFit="1" customWidth="1"/>
    <col min="776" max="776" width="18.109375" style="40" customWidth="1"/>
    <col min="777" max="777" width="20.88671875" style="40" customWidth="1"/>
    <col min="778" max="778" width="15.109375" style="40" customWidth="1"/>
    <col min="779" max="779" width="13.88671875" style="40" bestFit="1" customWidth="1"/>
    <col min="780" max="780" width="12.33203125" style="40" bestFit="1" customWidth="1"/>
    <col min="781" max="781" width="23.44140625" style="40" bestFit="1" customWidth="1"/>
    <col min="782" max="1016" width="9.109375" style="40"/>
    <col min="1017" max="1019" width="1.6640625" style="40" customWidth="1"/>
    <col min="1020" max="1020" width="12.109375" style="40" customWidth="1"/>
    <col min="1021" max="1021" width="16" style="40" customWidth="1"/>
    <col min="1022" max="1022" width="5.6640625" style="40" customWidth="1"/>
    <col min="1023" max="1023" width="6.5546875" style="40" customWidth="1"/>
    <col min="1024" max="1024" width="9.109375" style="40"/>
    <col min="1025" max="1025" width="12.33203125" style="40" customWidth="1"/>
    <col min="1026" max="1026" width="32.5546875" style="40" customWidth="1"/>
    <col min="1027" max="1027" width="15.5546875" style="40" customWidth="1"/>
    <col min="1028" max="1028" width="28.88671875" style="40" customWidth="1"/>
    <col min="1029" max="1029" width="14" style="40" bestFit="1" customWidth="1"/>
    <col min="1030" max="1031" width="15" style="40" bestFit="1" customWidth="1"/>
    <col min="1032" max="1032" width="18.109375" style="40" customWidth="1"/>
    <col min="1033" max="1033" width="20.88671875" style="40" customWidth="1"/>
    <col min="1034" max="1034" width="15.109375" style="40" customWidth="1"/>
    <col min="1035" max="1035" width="13.88671875" style="40" bestFit="1" customWidth="1"/>
    <col min="1036" max="1036" width="12.33203125" style="40" bestFit="1" customWidth="1"/>
    <col min="1037" max="1037" width="23.44140625" style="40" bestFit="1" customWidth="1"/>
    <col min="1038" max="1272" width="9.109375" style="40"/>
    <col min="1273" max="1275" width="1.6640625" style="40" customWidth="1"/>
    <col min="1276" max="1276" width="12.109375" style="40" customWidth="1"/>
    <col min="1277" max="1277" width="16" style="40" customWidth="1"/>
    <col min="1278" max="1278" width="5.6640625" style="40" customWidth="1"/>
    <col min="1279" max="1279" width="6.5546875" style="40" customWidth="1"/>
    <col min="1280" max="1280" width="9.109375" style="40"/>
    <col min="1281" max="1281" width="12.33203125" style="40" customWidth="1"/>
    <col min="1282" max="1282" width="32.5546875" style="40" customWidth="1"/>
    <col min="1283" max="1283" width="15.5546875" style="40" customWidth="1"/>
    <col min="1284" max="1284" width="28.88671875" style="40" customWidth="1"/>
    <col min="1285" max="1285" width="14" style="40" bestFit="1" customWidth="1"/>
    <col min="1286" max="1287" width="15" style="40" bestFit="1" customWidth="1"/>
    <col min="1288" max="1288" width="18.109375" style="40" customWidth="1"/>
    <col min="1289" max="1289" width="20.88671875" style="40" customWidth="1"/>
    <col min="1290" max="1290" width="15.109375" style="40" customWidth="1"/>
    <col min="1291" max="1291" width="13.88671875" style="40" bestFit="1" customWidth="1"/>
    <col min="1292" max="1292" width="12.33203125" style="40" bestFit="1" customWidth="1"/>
    <col min="1293" max="1293" width="23.44140625" style="40" bestFit="1" customWidth="1"/>
    <col min="1294" max="1528" width="9.109375" style="40"/>
    <col min="1529" max="1531" width="1.6640625" style="40" customWidth="1"/>
    <col min="1532" max="1532" width="12.109375" style="40" customWidth="1"/>
    <col min="1533" max="1533" width="16" style="40" customWidth="1"/>
    <col min="1534" max="1534" width="5.6640625" style="40" customWidth="1"/>
    <col min="1535" max="1535" width="6.5546875" style="40" customWidth="1"/>
    <col min="1536" max="1536" width="9.109375" style="40"/>
    <col min="1537" max="1537" width="12.33203125" style="40" customWidth="1"/>
    <col min="1538" max="1538" width="32.5546875" style="40" customWidth="1"/>
    <col min="1539" max="1539" width="15.5546875" style="40" customWidth="1"/>
    <col min="1540" max="1540" width="28.88671875" style="40" customWidth="1"/>
    <col min="1541" max="1541" width="14" style="40" bestFit="1" customWidth="1"/>
    <col min="1542" max="1543" width="15" style="40" bestFit="1" customWidth="1"/>
    <col min="1544" max="1544" width="18.109375" style="40" customWidth="1"/>
    <col min="1545" max="1545" width="20.88671875" style="40" customWidth="1"/>
    <col min="1546" max="1546" width="15.109375" style="40" customWidth="1"/>
    <col min="1547" max="1547" width="13.88671875" style="40" bestFit="1" customWidth="1"/>
    <col min="1548" max="1548" width="12.33203125" style="40" bestFit="1" customWidth="1"/>
    <col min="1549" max="1549" width="23.44140625" style="40" bestFit="1" customWidth="1"/>
    <col min="1550" max="1784" width="9.109375" style="40"/>
    <col min="1785" max="1787" width="1.6640625" style="40" customWidth="1"/>
    <col min="1788" max="1788" width="12.109375" style="40" customWidth="1"/>
    <col min="1789" max="1789" width="16" style="40" customWidth="1"/>
    <col min="1790" max="1790" width="5.6640625" style="40" customWidth="1"/>
    <col min="1791" max="1791" width="6.5546875" style="40" customWidth="1"/>
    <col min="1792" max="1792" width="9.109375" style="40"/>
    <col min="1793" max="1793" width="12.33203125" style="40" customWidth="1"/>
    <col min="1794" max="1794" width="32.5546875" style="40" customWidth="1"/>
    <col min="1795" max="1795" width="15.5546875" style="40" customWidth="1"/>
    <col min="1796" max="1796" width="28.88671875" style="40" customWidth="1"/>
    <col min="1797" max="1797" width="14" style="40" bestFit="1" customWidth="1"/>
    <col min="1798" max="1799" width="15" style="40" bestFit="1" customWidth="1"/>
    <col min="1800" max="1800" width="18.109375" style="40" customWidth="1"/>
    <col min="1801" max="1801" width="20.88671875" style="40" customWidth="1"/>
    <col min="1802" max="1802" width="15.109375" style="40" customWidth="1"/>
    <col min="1803" max="1803" width="13.88671875" style="40" bestFit="1" customWidth="1"/>
    <col min="1804" max="1804" width="12.33203125" style="40" bestFit="1" customWidth="1"/>
    <col min="1805" max="1805" width="23.44140625" style="40" bestFit="1" customWidth="1"/>
    <col min="1806" max="2040" width="9.109375" style="40"/>
    <col min="2041" max="2043" width="1.6640625" style="40" customWidth="1"/>
    <col min="2044" max="2044" width="12.109375" style="40" customWidth="1"/>
    <col min="2045" max="2045" width="16" style="40" customWidth="1"/>
    <col min="2046" max="2046" width="5.6640625" style="40" customWidth="1"/>
    <col min="2047" max="2047" width="6.5546875" style="40" customWidth="1"/>
    <col min="2048" max="2048" width="9.109375" style="40"/>
    <col min="2049" max="2049" width="12.33203125" style="40" customWidth="1"/>
    <col min="2050" max="2050" width="32.5546875" style="40" customWidth="1"/>
    <col min="2051" max="2051" width="15.5546875" style="40" customWidth="1"/>
    <col min="2052" max="2052" width="28.88671875" style="40" customWidth="1"/>
    <col min="2053" max="2053" width="14" style="40" bestFit="1" customWidth="1"/>
    <col min="2054" max="2055" width="15" style="40" bestFit="1" customWidth="1"/>
    <col min="2056" max="2056" width="18.109375" style="40" customWidth="1"/>
    <col min="2057" max="2057" width="20.88671875" style="40" customWidth="1"/>
    <col min="2058" max="2058" width="15.109375" style="40" customWidth="1"/>
    <col min="2059" max="2059" width="13.88671875" style="40" bestFit="1" customWidth="1"/>
    <col min="2060" max="2060" width="12.33203125" style="40" bestFit="1" customWidth="1"/>
    <col min="2061" max="2061" width="23.44140625" style="40" bestFit="1" customWidth="1"/>
    <col min="2062" max="2296" width="9.109375" style="40"/>
    <col min="2297" max="2299" width="1.6640625" style="40" customWidth="1"/>
    <col min="2300" max="2300" width="12.109375" style="40" customWidth="1"/>
    <col min="2301" max="2301" width="16" style="40" customWidth="1"/>
    <col min="2302" max="2302" width="5.6640625" style="40" customWidth="1"/>
    <col min="2303" max="2303" width="6.5546875" style="40" customWidth="1"/>
    <col min="2304" max="2304" width="9.109375" style="40"/>
    <col min="2305" max="2305" width="12.33203125" style="40" customWidth="1"/>
    <col min="2306" max="2306" width="32.5546875" style="40" customWidth="1"/>
    <col min="2307" max="2307" width="15.5546875" style="40" customWidth="1"/>
    <col min="2308" max="2308" width="28.88671875" style="40" customWidth="1"/>
    <col min="2309" max="2309" width="14" style="40" bestFit="1" customWidth="1"/>
    <col min="2310" max="2311" width="15" style="40" bestFit="1" customWidth="1"/>
    <col min="2312" max="2312" width="18.109375" style="40" customWidth="1"/>
    <col min="2313" max="2313" width="20.88671875" style="40" customWidth="1"/>
    <col min="2314" max="2314" width="15.109375" style="40" customWidth="1"/>
    <col min="2315" max="2315" width="13.88671875" style="40" bestFit="1" customWidth="1"/>
    <col min="2316" max="2316" width="12.33203125" style="40" bestFit="1" customWidth="1"/>
    <col min="2317" max="2317" width="23.44140625" style="40" bestFit="1" customWidth="1"/>
    <col min="2318" max="2552" width="9.109375" style="40"/>
    <col min="2553" max="2555" width="1.6640625" style="40" customWidth="1"/>
    <col min="2556" max="2556" width="12.109375" style="40" customWidth="1"/>
    <col min="2557" max="2557" width="16" style="40" customWidth="1"/>
    <col min="2558" max="2558" width="5.6640625" style="40" customWidth="1"/>
    <col min="2559" max="2559" width="6.5546875" style="40" customWidth="1"/>
    <col min="2560" max="2560" width="9.109375" style="40"/>
    <col min="2561" max="2561" width="12.33203125" style="40" customWidth="1"/>
    <col min="2562" max="2562" width="32.5546875" style="40" customWidth="1"/>
    <col min="2563" max="2563" width="15.5546875" style="40" customWidth="1"/>
    <col min="2564" max="2564" width="28.88671875" style="40" customWidth="1"/>
    <col min="2565" max="2565" width="14" style="40" bestFit="1" customWidth="1"/>
    <col min="2566" max="2567" width="15" style="40" bestFit="1" customWidth="1"/>
    <col min="2568" max="2568" width="18.109375" style="40" customWidth="1"/>
    <col min="2569" max="2569" width="20.88671875" style="40" customWidth="1"/>
    <col min="2570" max="2570" width="15.109375" style="40" customWidth="1"/>
    <col min="2571" max="2571" width="13.88671875" style="40" bestFit="1" customWidth="1"/>
    <col min="2572" max="2572" width="12.33203125" style="40" bestFit="1" customWidth="1"/>
    <col min="2573" max="2573" width="23.44140625" style="40" bestFit="1" customWidth="1"/>
    <col min="2574" max="2808" width="9.109375" style="40"/>
    <col min="2809" max="2811" width="1.6640625" style="40" customWidth="1"/>
    <col min="2812" max="2812" width="12.109375" style="40" customWidth="1"/>
    <col min="2813" max="2813" width="16" style="40" customWidth="1"/>
    <col min="2814" max="2814" width="5.6640625" style="40" customWidth="1"/>
    <col min="2815" max="2815" width="6.5546875" style="40" customWidth="1"/>
    <col min="2816" max="2816" width="9.109375" style="40"/>
    <col min="2817" max="2817" width="12.33203125" style="40" customWidth="1"/>
    <col min="2818" max="2818" width="32.5546875" style="40" customWidth="1"/>
    <col min="2819" max="2819" width="15.5546875" style="40" customWidth="1"/>
    <col min="2820" max="2820" width="28.88671875" style="40" customWidth="1"/>
    <col min="2821" max="2821" width="14" style="40" bestFit="1" customWidth="1"/>
    <col min="2822" max="2823" width="15" style="40" bestFit="1" customWidth="1"/>
    <col min="2824" max="2824" width="18.109375" style="40" customWidth="1"/>
    <col min="2825" max="2825" width="20.88671875" style="40" customWidth="1"/>
    <col min="2826" max="2826" width="15.109375" style="40" customWidth="1"/>
    <col min="2827" max="2827" width="13.88671875" style="40" bestFit="1" customWidth="1"/>
    <col min="2828" max="2828" width="12.33203125" style="40" bestFit="1" customWidth="1"/>
    <col min="2829" max="2829" width="23.44140625" style="40" bestFit="1" customWidth="1"/>
    <col min="2830" max="3064" width="9.109375" style="40"/>
    <col min="3065" max="3067" width="1.6640625" style="40" customWidth="1"/>
    <col min="3068" max="3068" width="12.109375" style="40" customWidth="1"/>
    <col min="3069" max="3069" width="16" style="40" customWidth="1"/>
    <col min="3070" max="3070" width="5.6640625" style="40" customWidth="1"/>
    <col min="3071" max="3071" width="6.5546875" style="40" customWidth="1"/>
    <col min="3072" max="3072" width="9.109375" style="40"/>
    <col min="3073" max="3073" width="12.33203125" style="40" customWidth="1"/>
    <col min="3074" max="3074" width="32.5546875" style="40" customWidth="1"/>
    <col min="3075" max="3075" width="15.5546875" style="40" customWidth="1"/>
    <col min="3076" max="3076" width="28.88671875" style="40" customWidth="1"/>
    <col min="3077" max="3077" width="14" style="40" bestFit="1" customWidth="1"/>
    <col min="3078" max="3079" width="15" style="40" bestFit="1" customWidth="1"/>
    <col min="3080" max="3080" width="18.109375" style="40" customWidth="1"/>
    <col min="3081" max="3081" width="20.88671875" style="40" customWidth="1"/>
    <col min="3082" max="3082" width="15.109375" style="40" customWidth="1"/>
    <col min="3083" max="3083" width="13.88671875" style="40" bestFit="1" customWidth="1"/>
    <col min="3084" max="3084" width="12.33203125" style="40" bestFit="1" customWidth="1"/>
    <col min="3085" max="3085" width="23.44140625" style="40" bestFit="1" customWidth="1"/>
    <col min="3086" max="3320" width="9.109375" style="40"/>
    <col min="3321" max="3323" width="1.6640625" style="40" customWidth="1"/>
    <col min="3324" max="3324" width="12.109375" style="40" customWidth="1"/>
    <col min="3325" max="3325" width="16" style="40" customWidth="1"/>
    <col min="3326" max="3326" width="5.6640625" style="40" customWidth="1"/>
    <col min="3327" max="3327" width="6.5546875" style="40" customWidth="1"/>
    <col min="3328" max="3328" width="9.109375" style="40"/>
    <col min="3329" max="3329" width="12.33203125" style="40" customWidth="1"/>
    <col min="3330" max="3330" width="32.5546875" style="40" customWidth="1"/>
    <col min="3331" max="3331" width="15.5546875" style="40" customWidth="1"/>
    <col min="3332" max="3332" width="28.88671875" style="40" customWidth="1"/>
    <col min="3333" max="3333" width="14" style="40" bestFit="1" customWidth="1"/>
    <col min="3334" max="3335" width="15" style="40" bestFit="1" customWidth="1"/>
    <col min="3336" max="3336" width="18.109375" style="40" customWidth="1"/>
    <col min="3337" max="3337" width="20.88671875" style="40" customWidth="1"/>
    <col min="3338" max="3338" width="15.109375" style="40" customWidth="1"/>
    <col min="3339" max="3339" width="13.88671875" style="40" bestFit="1" customWidth="1"/>
    <col min="3340" max="3340" width="12.33203125" style="40" bestFit="1" customWidth="1"/>
    <col min="3341" max="3341" width="23.44140625" style="40" bestFit="1" customWidth="1"/>
    <col min="3342" max="3576" width="9.109375" style="40"/>
    <col min="3577" max="3579" width="1.6640625" style="40" customWidth="1"/>
    <col min="3580" max="3580" width="12.109375" style="40" customWidth="1"/>
    <col min="3581" max="3581" width="16" style="40" customWidth="1"/>
    <col min="3582" max="3582" width="5.6640625" style="40" customWidth="1"/>
    <col min="3583" max="3583" width="6.5546875" style="40" customWidth="1"/>
    <col min="3584" max="3584" width="9.109375" style="40"/>
    <col min="3585" max="3585" width="12.33203125" style="40" customWidth="1"/>
    <col min="3586" max="3586" width="32.5546875" style="40" customWidth="1"/>
    <col min="3587" max="3587" width="15.5546875" style="40" customWidth="1"/>
    <col min="3588" max="3588" width="28.88671875" style="40" customWidth="1"/>
    <col min="3589" max="3589" width="14" style="40" bestFit="1" customWidth="1"/>
    <col min="3590" max="3591" width="15" style="40" bestFit="1" customWidth="1"/>
    <col min="3592" max="3592" width="18.109375" style="40" customWidth="1"/>
    <col min="3593" max="3593" width="20.88671875" style="40" customWidth="1"/>
    <col min="3594" max="3594" width="15.109375" style="40" customWidth="1"/>
    <col min="3595" max="3595" width="13.88671875" style="40" bestFit="1" customWidth="1"/>
    <col min="3596" max="3596" width="12.33203125" style="40" bestFit="1" customWidth="1"/>
    <col min="3597" max="3597" width="23.44140625" style="40" bestFit="1" customWidth="1"/>
    <col min="3598" max="3832" width="9.109375" style="40"/>
    <col min="3833" max="3835" width="1.6640625" style="40" customWidth="1"/>
    <col min="3836" max="3836" width="12.109375" style="40" customWidth="1"/>
    <col min="3837" max="3837" width="16" style="40" customWidth="1"/>
    <col min="3838" max="3838" width="5.6640625" style="40" customWidth="1"/>
    <col min="3839" max="3839" width="6.5546875" style="40" customWidth="1"/>
    <col min="3840" max="3840" width="9.109375" style="40"/>
    <col min="3841" max="3841" width="12.33203125" style="40" customWidth="1"/>
    <col min="3842" max="3842" width="32.5546875" style="40" customWidth="1"/>
    <col min="3843" max="3843" width="15.5546875" style="40" customWidth="1"/>
    <col min="3844" max="3844" width="28.88671875" style="40" customWidth="1"/>
    <col min="3845" max="3845" width="14" style="40" bestFit="1" customWidth="1"/>
    <col min="3846" max="3847" width="15" style="40" bestFit="1" customWidth="1"/>
    <col min="3848" max="3848" width="18.109375" style="40" customWidth="1"/>
    <col min="3849" max="3849" width="20.88671875" style="40" customWidth="1"/>
    <col min="3850" max="3850" width="15.109375" style="40" customWidth="1"/>
    <col min="3851" max="3851" width="13.88671875" style="40" bestFit="1" customWidth="1"/>
    <col min="3852" max="3852" width="12.33203125" style="40" bestFit="1" customWidth="1"/>
    <col min="3853" max="3853" width="23.44140625" style="40" bestFit="1" customWidth="1"/>
    <col min="3854" max="4088" width="9.109375" style="40"/>
    <col min="4089" max="4091" width="1.6640625" style="40" customWidth="1"/>
    <col min="4092" max="4092" width="12.109375" style="40" customWidth="1"/>
    <col min="4093" max="4093" width="16" style="40" customWidth="1"/>
    <col min="4094" max="4094" width="5.6640625" style="40" customWidth="1"/>
    <col min="4095" max="4095" width="6.5546875" style="40" customWidth="1"/>
    <col min="4096" max="4096" width="9.109375" style="40"/>
    <col min="4097" max="4097" width="12.33203125" style="40" customWidth="1"/>
    <col min="4098" max="4098" width="32.5546875" style="40" customWidth="1"/>
    <col min="4099" max="4099" width="15.5546875" style="40" customWidth="1"/>
    <col min="4100" max="4100" width="28.88671875" style="40" customWidth="1"/>
    <col min="4101" max="4101" width="14" style="40" bestFit="1" customWidth="1"/>
    <col min="4102" max="4103" width="15" style="40" bestFit="1" customWidth="1"/>
    <col min="4104" max="4104" width="18.109375" style="40" customWidth="1"/>
    <col min="4105" max="4105" width="20.88671875" style="40" customWidth="1"/>
    <col min="4106" max="4106" width="15.109375" style="40" customWidth="1"/>
    <col min="4107" max="4107" width="13.88671875" style="40" bestFit="1" customWidth="1"/>
    <col min="4108" max="4108" width="12.33203125" style="40" bestFit="1" customWidth="1"/>
    <col min="4109" max="4109" width="23.44140625" style="40" bestFit="1" customWidth="1"/>
    <col min="4110" max="4344" width="9.109375" style="40"/>
    <col min="4345" max="4347" width="1.6640625" style="40" customWidth="1"/>
    <col min="4348" max="4348" width="12.109375" style="40" customWidth="1"/>
    <col min="4349" max="4349" width="16" style="40" customWidth="1"/>
    <col min="4350" max="4350" width="5.6640625" style="40" customWidth="1"/>
    <col min="4351" max="4351" width="6.5546875" style="40" customWidth="1"/>
    <col min="4352" max="4352" width="9.109375" style="40"/>
    <col min="4353" max="4353" width="12.33203125" style="40" customWidth="1"/>
    <col min="4354" max="4354" width="32.5546875" style="40" customWidth="1"/>
    <col min="4355" max="4355" width="15.5546875" style="40" customWidth="1"/>
    <col min="4356" max="4356" width="28.88671875" style="40" customWidth="1"/>
    <col min="4357" max="4357" width="14" style="40" bestFit="1" customWidth="1"/>
    <col min="4358" max="4359" width="15" style="40" bestFit="1" customWidth="1"/>
    <col min="4360" max="4360" width="18.109375" style="40" customWidth="1"/>
    <col min="4361" max="4361" width="20.88671875" style="40" customWidth="1"/>
    <col min="4362" max="4362" width="15.109375" style="40" customWidth="1"/>
    <col min="4363" max="4363" width="13.88671875" style="40" bestFit="1" customWidth="1"/>
    <col min="4364" max="4364" width="12.33203125" style="40" bestFit="1" customWidth="1"/>
    <col min="4365" max="4365" width="23.44140625" style="40" bestFit="1" customWidth="1"/>
    <col min="4366" max="4600" width="9.109375" style="40"/>
    <col min="4601" max="4603" width="1.6640625" style="40" customWidth="1"/>
    <col min="4604" max="4604" width="12.109375" style="40" customWidth="1"/>
    <col min="4605" max="4605" width="16" style="40" customWidth="1"/>
    <col min="4606" max="4606" width="5.6640625" style="40" customWidth="1"/>
    <col min="4607" max="4607" width="6.5546875" style="40" customWidth="1"/>
    <col min="4608" max="4608" width="9.109375" style="40"/>
    <col min="4609" max="4609" width="12.33203125" style="40" customWidth="1"/>
    <col min="4610" max="4610" width="32.5546875" style="40" customWidth="1"/>
    <col min="4611" max="4611" width="15.5546875" style="40" customWidth="1"/>
    <col min="4612" max="4612" width="28.88671875" style="40" customWidth="1"/>
    <col min="4613" max="4613" width="14" style="40" bestFit="1" customWidth="1"/>
    <col min="4614" max="4615" width="15" style="40" bestFit="1" customWidth="1"/>
    <col min="4616" max="4616" width="18.109375" style="40" customWidth="1"/>
    <col min="4617" max="4617" width="20.88671875" style="40" customWidth="1"/>
    <col min="4618" max="4618" width="15.109375" style="40" customWidth="1"/>
    <col min="4619" max="4619" width="13.88671875" style="40" bestFit="1" customWidth="1"/>
    <col min="4620" max="4620" width="12.33203125" style="40" bestFit="1" customWidth="1"/>
    <col min="4621" max="4621" width="23.44140625" style="40" bestFit="1" customWidth="1"/>
    <col min="4622" max="4856" width="9.109375" style="40"/>
    <col min="4857" max="4859" width="1.6640625" style="40" customWidth="1"/>
    <col min="4860" max="4860" width="12.109375" style="40" customWidth="1"/>
    <col min="4861" max="4861" width="16" style="40" customWidth="1"/>
    <col min="4862" max="4862" width="5.6640625" style="40" customWidth="1"/>
    <col min="4863" max="4863" width="6.5546875" style="40" customWidth="1"/>
    <col min="4864" max="4864" width="9.109375" style="40"/>
    <col min="4865" max="4865" width="12.33203125" style="40" customWidth="1"/>
    <col min="4866" max="4866" width="32.5546875" style="40" customWidth="1"/>
    <col min="4867" max="4867" width="15.5546875" style="40" customWidth="1"/>
    <col min="4868" max="4868" width="28.88671875" style="40" customWidth="1"/>
    <col min="4869" max="4869" width="14" style="40" bestFit="1" customWidth="1"/>
    <col min="4870" max="4871" width="15" style="40" bestFit="1" customWidth="1"/>
    <col min="4872" max="4872" width="18.109375" style="40" customWidth="1"/>
    <col min="4873" max="4873" width="20.88671875" style="40" customWidth="1"/>
    <col min="4874" max="4874" width="15.109375" style="40" customWidth="1"/>
    <col min="4875" max="4875" width="13.88671875" style="40" bestFit="1" customWidth="1"/>
    <col min="4876" max="4876" width="12.33203125" style="40" bestFit="1" customWidth="1"/>
    <col min="4877" max="4877" width="23.44140625" style="40" bestFit="1" customWidth="1"/>
    <col min="4878" max="5112" width="9.109375" style="40"/>
    <col min="5113" max="5115" width="1.6640625" style="40" customWidth="1"/>
    <col min="5116" max="5116" width="12.109375" style="40" customWidth="1"/>
    <col min="5117" max="5117" width="16" style="40" customWidth="1"/>
    <col min="5118" max="5118" width="5.6640625" style="40" customWidth="1"/>
    <col min="5119" max="5119" width="6.5546875" style="40" customWidth="1"/>
    <col min="5120" max="5120" width="9.109375" style="40"/>
    <col min="5121" max="5121" width="12.33203125" style="40" customWidth="1"/>
    <col min="5122" max="5122" width="32.5546875" style="40" customWidth="1"/>
    <col min="5123" max="5123" width="15.5546875" style="40" customWidth="1"/>
    <col min="5124" max="5124" width="28.88671875" style="40" customWidth="1"/>
    <col min="5125" max="5125" width="14" style="40" bestFit="1" customWidth="1"/>
    <col min="5126" max="5127" width="15" style="40" bestFit="1" customWidth="1"/>
    <col min="5128" max="5128" width="18.109375" style="40" customWidth="1"/>
    <col min="5129" max="5129" width="20.88671875" style="40" customWidth="1"/>
    <col min="5130" max="5130" width="15.109375" style="40" customWidth="1"/>
    <col min="5131" max="5131" width="13.88671875" style="40" bestFit="1" customWidth="1"/>
    <col min="5132" max="5132" width="12.33203125" style="40" bestFit="1" customWidth="1"/>
    <col min="5133" max="5133" width="23.44140625" style="40" bestFit="1" customWidth="1"/>
    <col min="5134" max="5368" width="9.109375" style="40"/>
    <col min="5369" max="5371" width="1.6640625" style="40" customWidth="1"/>
    <col min="5372" max="5372" width="12.109375" style="40" customWidth="1"/>
    <col min="5373" max="5373" width="16" style="40" customWidth="1"/>
    <col min="5374" max="5374" width="5.6640625" style="40" customWidth="1"/>
    <col min="5375" max="5375" width="6.5546875" style="40" customWidth="1"/>
    <col min="5376" max="5376" width="9.109375" style="40"/>
    <col min="5377" max="5377" width="12.33203125" style="40" customWidth="1"/>
    <col min="5378" max="5378" width="32.5546875" style="40" customWidth="1"/>
    <col min="5379" max="5379" width="15.5546875" style="40" customWidth="1"/>
    <col min="5380" max="5380" width="28.88671875" style="40" customWidth="1"/>
    <col min="5381" max="5381" width="14" style="40" bestFit="1" customWidth="1"/>
    <col min="5382" max="5383" width="15" style="40" bestFit="1" customWidth="1"/>
    <col min="5384" max="5384" width="18.109375" style="40" customWidth="1"/>
    <col min="5385" max="5385" width="20.88671875" style="40" customWidth="1"/>
    <col min="5386" max="5386" width="15.109375" style="40" customWidth="1"/>
    <col min="5387" max="5387" width="13.88671875" style="40" bestFit="1" customWidth="1"/>
    <col min="5388" max="5388" width="12.33203125" style="40" bestFit="1" customWidth="1"/>
    <col min="5389" max="5389" width="23.44140625" style="40" bestFit="1" customWidth="1"/>
    <col min="5390" max="5624" width="9.109375" style="40"/>
    <col min="5625" max="5627" width="1.6640625" style="40" customWidth="1"/>
    <col min="5628" max="5628" width="12.109375" style="40" customWidth="1"/>
    <col min="5629" max="5629" width="16" style="40" customWidth="1"/>
    <col min="5630" max="5630" width="5.6640625" style="40" customWidth="1"/>
    <col min="5631" max="5631" width="6.5546875" style="40" customWidth="1"/>
    <col min="5632" max="5632" width="9.109375" style="40"/>
    <col min="5633" max="5633" width="12.33203125" style="40" customWidth="1"/>
    <col min="5634" max="5634" width="32.5546875" style="40" customWidth="1"/>
    <col min="5635" max="5635" width="15.5546875" style="40" customWidth="1"/>
    <col min="5636" max="5636" width="28.88671875" style="40" customWidth="1"/>
    <col min="5637" max="5637" width="14" style="40" bestFit="1" customWidth="1"/>
    <col min="5638" max="5639" width="15" style="40" bestFit="1" customWidth="1"/>
    <col min="5640" max="5640" width="18.109375" style="40" customWidth="1"/>
    <col min="5641" max="5641" width="20.88671875" style="40" customWidth="1"/>
    <col min="5642" max="5642" width="15.109375" style="40" customWidth="1"/>
    <col min="5643" max="5643" width="13.88671875" style="40" bestFit="1" customWidth="1"/>
    <col min="5644" max="5644" width="12.33203125" style="40" bestFit="1" customWidth="1"/>
    <col min="5645" max="5645" width="23.44140625" style="40" bestFit="1" customWidth="1"/>
    <col min="5646" max="5880" width="9.109375" style="40"/>
    <col min="5881" max="5883" width="1.6640625" style="40" customWidth="1"/>
    <col min="5884" max="5884" width="12.109375" style="40" customWidth="1"/>
    <col min="5885" max="5885" width="16" style="40" customWidth="1"/>
    <col min="5886" max="5886" width="5.6640625" style="40" customWidth="1"/>
    <col min="5887" max="5887" width="6.5546875" style="40" customWidth="1"/>
    <col min="5888" max="5888" width="9.109375" style="40"/>
    <col min="5889" max="5889" width="12.33203125" style="40" customWidth="1"/>
    <col min="5890" max="5890" width="32.5546875" style="40" customWidth="1"/>
    <col min="5891" max="5891" width="15.5546875" style="40" customWidth="1"/>
    <col min="5892" max="5892" width="28.88671875" style="40" customWidth="1"/>
    <col min="5893" max="5893" width="14" style="40" bestFit="1" customWidth="1"/>
    <col min="5894" max="5895" width="15" style="40" bestFit="1" customWidth="1"/>
    <col min="5896" max="5896" width="18.109375" style="40" customWidth="1"/>
    <col min="5897" max="5897" width="20.88671875" style="40" customWidth="1"/>
    <col min="5898" max="5898" width="15.109375" style="40" customWidth="1"/>
    <col min="5899" max="5899" width="13.88671875" style="40" bestFit="1" customWidth="1"/>
    <col min="5900" max="5900" width="12.33203125" style="40" bestFit="1" customWidth="1"/>
    <col min="5901" max="5901" width="23.44140625" style="40" bestFit="1" customWidth="1"/>
    <col min="5902" max="6136" width="9.109375" style="40"/>
    <col min="6137" max="6139" width="1.6640625" style="40" customWidth="1"/>
    <col min="6140" max="6140" width="12.109375" style="40" customWidth="1"/>
    <col min="6141" max="6141" width="16" style="40" customWidth="1"/>
    <col min="6142" max="6142" width="5.6640625" style="40" customWidth="1"/>
    <col min="6143" max="6143" width="6.5546875" style="40" customWidth="1"/>
    <col min="6144" max="6144" width="9.109375" style="40"/>
    <col min="6145" max="6145" width="12.33203125" style="40" customWidth="1"/>
    <col min="6146" max="6146" width="32.5546875" style="40" customWidth="1"/>
    <col min="6147" max="6147" width="15.5546875" style="40" customWidth="1"/>
    <col min="6148" max="6148" width="28.88671875" style="40" customWidth="1"/>
    <col min="6149" max="6149" width="14" style="40" bestFit="1" customWidth="1"/>
    <col min="6150" max="6151" width="15" style="40" bestFit="1" customWidth="1"/>
    <col min="6152" max="6152" width="18.109375" style="40" customWidth="1"/>
    <col min="6153" max="6153" width="20.88671875" style="40" customWidth="1"/>
    <col min="6154" max="6154" width="15.109375" style="40" customWidth="1"/>
    <col min="6155" max="6155" width="13.88671875" style="40" bestFit="1" customWidth="1"/>
    <col min="6156" max="6156" width="12.33203125" style="40" bestFit="1" customWidth="1"/>
    <col min="6157" max="6157" width="23.44140625" style="40" bestFit="1" customWidth="1"/>
    <col min="6158" max="6392" width="9.109375" style="40"/>
    <col min="6393" max="6395" width="1.6640625" style="40" customWidth="1"/>
    <col min="6396" max="6396" width="12.109375" style="40" customWidth="1"/>
    <col min="6397" max="6397" width="16" style="40" customWidth="1"/>
    <col min="6398" max="6398" width="5.6640625" style="40" customWidth="1"/>
    <col min="6399" max="6399" width="6.5546875" style="40" customWidth="1"/>
    <col min="6400" max="6400" width="9.109375" style="40"/>
    <col min="6401" max="6401" width="12.33203125" style="40" customWidth="1"/>
    <col min="6402" max="6402" width="32.5546875" style="40" customWidth="1"/>
    <col min="6403" max="6403" width="15.5546875" style="40" customWidth="1"/>
    <col min="6404" max="6404" width="28.88671875" style="40" customWidth="1"/>
    <col min="6405" max="6405" width="14" style="40" bestFit="1" customWidth="1"/>
    <col min="6406" max="6407" width="15" style="40" bestFit="1" customWidth="1"/>
    <col min="6408" max="6408" width="18.109375" style="40" customWidth="1"/>
    <col min="6409" max="6409" width="20.88671875" style="40" customWidth="1"/>
    <col min="6410" max="6410" width="15.109375" style="40" customWidth="1"/>
    <col min="6411" max="6411" width="13.88671875" style="40" bestFit="1" customWidth="1"/>
    <col min="6412" max="6412" width="12.33203125" style="40" bestFit="1" customWidth="1"/>
    <col min="6413" max="6413" width="23.44140625" style="40" bestFit="1" customWidth="1"/>
    <col min="6414" max="6648" width="9.109375" style="40"/>
    <col min="6649" max="6651" width="1.6640625" style="40" customWidth="1"/>
    <col min="6652" max="6652" width="12.109375" style="40" customWidth="1"/>
    <col min="6653" max="6653" width="16" style="40" customWidth="1"/>
    <col min="6654" max="6654" width="5.6640625" style="40" customWidth="1"/>
    <col min="6655" max="6655" width="6.5546875" style="40" customWidth="1"/>
    <col min="6656" max="6656" width="9.109375" style="40"/>
    <col min="6657" max="6657" width="12.33203125" style="40" customWidth="1"/>
    <col min="6658" max="6658" width="32.5546875" style="40" customWidth="1"/>
    <col min="6659" max="6659" width="15.5546875" style="40" customWidth="1"/>
    <col min="6660" max="6660" width="28.88671875" style="40" customWidth="1"/>
    <col min="6661" max="6661" width="14" style="40" bestFit="1" customWidth="1"/>
    <col min="6662" max="6663" width="15" style="40" bestFit="1" customWidth="1"/>
    <col min="6664" max="6664" width="18.109375" style="40" customWidth="1"/>
    <col min="6665" max="6665" width="20.88671875" style="40" customWidth="1"/>
    <col min="6666" max="6666" width="15.109375" style="40" customWidth="1"/>
    <col min="6667" max="6667" width="13.88671875" style="40" bestFit="1" customWidth="1"/>
    <col min="6668" max="6668" width="12.33203125" style="40" bestFit="1" customWidth="1"/>
    <col min="6669" max="6669" width="23.44140625" style="40" bestFit="1" customWidth="1"/>
    <col min="6670" max="6904" width="9.109375" style="40"/>
    <col min="6905" max="6907" width="1.6640625" style="40" customWidth="1"/>
    <col min="6908" max="6908" width="12.109375" style="40" customWidth="1"/>
    <col min="6909" max="6909" width="16" style="40" customWidth="1"/>
    <col min="6910" max="6910" width="5.6640625" style="40" customWidth="1"/>
    <col min="6911" max="6911" width="6.5546875" style="40" customWidth="1"/>
    <col min="6912" max="6912" width="9.109375" style="40"/>
    <col min="6913" max="6913" width="12.33203125" style="40" customWidth="1"/>
    <col min="6914" max="6914" width="32.5546875" style="40" customWidth="1"/>
    <col min="6915" max="6915" width="15.5546875" style="40" customWidth="1"/>
    <col min="6916" max="6916" width="28.88671875" style="40" customWidth="1"/>
    <col min="6917" max="6917" width="14" style="40" bestFit="1" customWidth="1"/>
    <col min="6918" max="6919" width="15" style="40" bestFit="1" customWidth="1"/>
    <col min="6920" max="6920" width="18.109375" style="40" customWidth="1"/>
    <col min="6921" max="6921" width="20.88671875" style="40" customWidth="1"/>
    <col min="6922" max="6922" width="15.109375" style="40" customWidth="1"/>
    <col min="6923" max="6923" width="13.88671875" style="40" bestFit="1" customWidth="1"/>
    <col min="6924" max="6924" width="12.33203125" style="40" bestFit="1" customWidth="1"/>
    <col min="6925" max="6925" width="23.44140625" style="40" bestFit="1" customWidth="1"/>
    <col min="6926" max="7160" width="9.109375" style="40"/>
    <col min="7161" max="7163" width="1.6640625" style="40" customWidth="1"/>
    <col min="7164" max="7164" width="12.109375" style="40" customWidth="1"/>
    <col min="7165" max="7165" width="16" style="40" customWidth="1"/>
    <col min="7166" max="7166" width="5.6640625" style="40" customWidth="1"/>
    <col min="7167" max="7167" width="6.5546875" style="40" customWidth="1"/>
    <col min="7168" max="7168" width="9.109375" style="40"/>
    <col min="7169" max="7169" width="12.33203125" style="40" customWidth="1"/>
    <col min="7170" max="7170" width="32.5546875" style="40" customWidth="1"/>
    <col min="7171" max="7171" width="15.5546875" style="40" customWidth="1"/>
    <col min="7172" max="7172" width="28.88671875" style="40" customWidth="1"/>
    <col min="7173" max="7173" width="14" style="40" bestFit="1" customWidth="1"/>
    <col min="7174" max="7175" width="15" style="40" bestFit="1" customWidth="1"/>
    <col min="7176" max="7176" width="18.109375" style="40" customWidth="1"/>
    <col min="7177" max="7177" width="20.88671875" style="40" customWidth="1"/>
    <col min="7178" max="7178" width="15.109375" style="40" customWidth="1"/>
    <col min="7179" max="7179" width="13.88671875" style="40" bestFit="1" customWidth="1"/>
    <col min="7180" max="7180" width="12.33203125" style="40" bestFit="1" customWidth="1"/>
    <col min="7181" max="7181" width="23.44140625" style="40" bestFit="1" customWidth="1"/>
    <col min="7182" max="7416" width="9.109375" style="40"/>
    <col min="7417" max="7419" width="1.6640625" style="40" customWidth="1"/>
    <col min="7420" max="7420" width="12.109375" style="40" customWidth="1"/>
    <col min="7421" max="7421" width="16" style="40" customWidth="1"/>
    <col min="7422" max="7422" width="5.6640625" style="40" customWidth="1"/>
    <col min="7423" max="7423" width="6.5546875" style="40" customWidth="1"/>
    <col min="7424" max="7424" width="9.109375" style="40"/>
    <col min="7425" max="7425" width="12.33203125" style="40" customWidth="1"/>
    <col min="7426" max="7426" width="32.5546875" style="40" customWidth="1"/>
    <col min="7427" max="7427" width="15.5546875" style="40" customWidth="1"/>
    <col min="7428" max="7428" width="28.88671875" style="40" customWidth="1"/>
    <col min="7429" max="7429" width="14" style="40" bestFit="1" customWidth="1"/>
    <col min="7430" max="7431" width="15" style="40" bestFit="1" customWidth="1"/>
    <col min="7432" max="7432" width="18.109375" style="40" customWidth="1"/>
    <col min="7433" max="7433" width="20.88671875" style="40" customWidth="1"/>
    <col min="7434" max="7434" width="15.109375" style="40" customWidth="1"/>
    <col min="7435" max="7435" width="13.88671875" style="40" bestFit="1" customWidth="1"/>
    <col min="7436" max="7436" width="12.33203125" style="40" bestFit="1" customWidth="1"/>
    <col min="7437" max="7437" width="23.44140625" style="40" bestFit="1" customWidth="1"/>
    <col min="7438" max="7672" width="9.109375" style="40"/>
    <col min="7673" max="7675" width="1.6640625" style="40" customWidth="1"/>
    <col min="7676" max="7676" width="12.109375" style="40" customWidth="1"/>
    <col min="7677" max="7677" width="16" style="40" customWidth="1"/>
    <col min="7678" max="7678" width="5.6640625" style="40" customWidth="1"/>
    <col min="7679" max="7679" width="6.5546875" style="40" customWidth="1"/>
    <col min="7680" max="7680" width="9.109375" style="40"/>
    <col min="7681" max="7681" width="12.33203125" style="40" customWidth="1"/>
    <col min="7682" max="7682" width="32.5546875" style="40" customWidth="1"/>
    <col min="7683" max="7683" width="15.5546875" style="40" customWidth="1"/>
    <col min="7684" max="7684" width="28.88671875" style="40" customWidth="1"/>
    <col min="7685" max="7685" width="14" style="40" bestFit="1" customWidth="1"/>
    <col min="7686" max="7687" width="15" style="40" bestFit="1" customWidth="1"/>
    <col min="7688" max="7688" width="18.109375" style="40" customWidth="1"/>
    <col min="7689" max="7689" width="20.88671875" style="40" customWidth="1"/>
    <col min="7690" max="7690" width="15.109375" style="40" customWidth="1"/>
    <col min="7691" max="7691" width="13.88671875" style="40" bestFit="1" customWidth="1"/>
    <col min="7692" max="7692" width="12.33203125" style="40" bestFit="1" customWidth="1"/>
    <col min="7693" max="7693" width="23.44140625" style="40" bestFit="1" customWidth="1"/>
    <col min="7694" max="7928" width="9.109375" style="40"/>
    <col min="7929" max="7931" width="1.6640625" style="40" customWidth="1"/>
    <col min="7932" max="7932" width="12.109375" style="40" customWidth="1"/>
    <col min="7933" max="7933" width="16" style="40" customWidth="1"/>
    <col min="7934" max="7934" width="5.6640625" style="40" customWidth="1"/>
    <col min="7935" max="7935" width="6.5546875" style="40" customWidth="1"/>
    <col min="7936" max="7936" width="9.109375" style="40"/>
    <col min="7937" max="7937" width="12.33203125" style="40" customWidth="1"/>
    <col min="7938" max="7938" width="32.5546875" style="40" customWidth="1"/>
    <col min="7939" max="7939" width="15.5546875" style="40" customWidth="1"/>
    <col min="7940" max="7940" width="28.88671875" style="40" customWidth="1"/>
    <col min="7941" max="7941" width="14" style="40" bestFit="1" customWidth="1"/>
    <col min="7942" max="7943" width="15" style="40" bestFit="1" customWidth="1"/>
    <col min="7944" max="7944" width="18.109375" style="40" customWidth="1"/>
    <col min="7945" max="7945" width="20.88671875" style="40" customWidth="1"/>
    <col min="7946" max="7946" width="15.109375" style="40" customWidth="1"/>
    <col min="7947" max="7947" width="13.88671875" style="40" bestFit="1" customWidth="1"/>
    <col min="7948" max="7948" width="12.33203125" style="40" bestFit="1" customWidth="1"/>
    <col min="7949" max="7949" width="23.44140625" style="40" bestFit="1" customWidth="1"/>
    <col min="7950" max="8184" width="9.109375" style="40"/>
    <col min="8185" max="8187" width="1.6640625" style="40" customWidth="1"/>
    <col min="8188" max="8188" width="12.109375" style="40" customWidth="1"/>
    <col min="8189" max="8189" width="16" style="40" customWidth="1"/>
    <col min="8190" max="8190" width="5.6640625" style="40" customWidth="1"/>
    <col min="8191" max="8191" width="6.5546875" style="40" customWidth="1"/>
    <col min="8192" max="8192" width="9.109375" style="40"/>
    <col min="8193" max="8193" width="12.33203125" style="40" customWidth="1"/>
    <col min="8194" max="8194" width="32.5546875" style="40" customWidth="1"/>
    <col min="8195" max="8195" width="15.5546875" style="40" customWidth="1"/>
    <col min="8196" max="8196" width="28.88671875" style="40" customWidth="1"/>
    <col min="8197" max="8197" width="14" style="40" bestFit="1" customWidth="1"/>
    <col min="8198" max="8199" width="15" style="40" bestFit="1" customWidth="1"/>
    <col min="8200" max="8200" width="18.109375" style="40" customWidth="1"/>
    <col min="8201" max="8201" width="20.88671875" style="40" customWidth="1"/>
    <col min="8202" max="8202" width="15.109375" style="40" customWidth="1"/>
    <col min="8203" max="8203" width="13.88671875" style="40" bestFit="1" customWidth="1"/>
    <col min="8204" max="8204" width="12.33203125" style="40" bestFit="1" customWidth="1"/>
    <col min="8205" max="8205" width="23.44140625" style="40" bestFit="1" customWidth="1"/>
    <col min="8206" max="8440" width="9.109375" style="40"/>
    <col min="8441" max="8443" width="1.6640625" style="40" customWidth="1"/>
    <col min="8444" max="8444" width="12.109375" style="40" customWidth="1"/>
    <col min="8445" max="8445" width="16" style="40" customWidth="1"/>
    <col min="8446" max="8446" width="5.6640625" style="40" customWidth="1"/>
    <col min="8447" max="8447" width="6.5546875" style="40" customWidth="1"/>
    <col min="8448" max="8448" width="9.109375" style="40"/>
    <col min="8449" max="8449" width="12.33203125" style="40" customWidth="1"/>
    <col min="8450" max="8450" width="32.5546875" style="40" customWidth="1"/>
    <col min="8451" max="8451" width="15.5546875" style="40" customWidth="1"/>
    <col min="8452" max="8452" width="28.88671875" style="40" customWidth="1"/>
    <col min="8453" max="8453" width="14" style="40" bestFit="1" customWidth="1"/>
    <col min="8454" max="8455" width="15" style="40" bestFit="1" customWidth="1"/>
    <col min="8456" max="8456" width="18.109375" style="40" customWidth="1"/>
    <col min="8457" max="8457" width="20.88671875" style="40" customWidth="1"/>
    <col min="8458" max="8458" width="15.109375" style="40" customWidth="1"/>
    <col min="8459" max="8459" width="13.88671875" style="40" bestFit="1" customWidth="1"/>
    <col min="8460" max="8460" width="12.33203125" style="40" bestFit="1" customWidth="1"/>
    <col min="8461" max="8461" width="23.44140625" style="40" bestFit="1" customWidth="1"/>
    <col min="8462" max="8696" width="9.109375" style="40"/>
    <col min="8697" max="8699" width="1.6640625" style="40" customWidth="1"/>
    <col min="8700" max="8700" width="12.109375" style="40" customWidth="1"/>
    <col min="8701" max="8701" width="16" style="40" customWidth="1"/>
    <col min="8702" max="8702" width="5.6640625" style="40" customWidth="1"/>
    <col min="8703" max="8703" width="6.5546875" style="40" customWidth="1"/>
    <col min="8704" max="8704" width="9.109375" style="40"/>
    <col min="8705" max="8705" width="12.33203125" style="40" customWidth="1"/>
    <col min="8706" max="8706" width="32.5546875" style="40" customWidth="1"/>
    <col min="8707" max="8707" width="15.5546875" style="40" customWidth="1"/>
    <col min="8708" max="8708" width="28.88671875" style="40" customWidth="1"/>
    <col min="8709" max="8709" width="14" style="40" bestFit="1" customWidth="1"/>
    <col min="8710" max="8711" width="15" style="40" bestFit="1" customWidth="1"/>
    <col min="8712" max="8712" width="18.109375" style="40" customWidth="1"/>
    <col min="8713" max="8713" width="20.88671875" style="40" customWidth="1"/>
    <col min="8714" max="8714" width="15.109375" style="40" customWidth="1"/>
    <col min="8715" max="8715" width="13.88671875" style="40" bestFit="1" customWidth="1"/>
    <col min="8716" max="8716" width="12.33203125" style="40" bestFit="1" customWidth="1"/>
    <col min="8717" max="8717" width="23.44140625" style="40" bestFit="1" customWidth="1"/>
    <col min="8718" max="8952" width="9.109375" style="40"/>
    <col min="8953" max="8955" width="1.6640625" style="40" customWidth="1"/>
    <col min="8956" max="8956" width="12.109375" style="40" customWidth="1"/>
    <col min="8957" max="8957" width="16" style="40" customWidth="1"/>
    <col min="8958" max="8958" width="5.6640625" style="40" customWidth="1"/>
    <col min="8959" max="8959" width="6.5546875" style="40" customWidth="1"/>
    <col min="8960" max="8960" width="9.109375" style="40"/>
    <col min="8961" max="8961" width="12.33203125" style="40" customWidth="1"/>
    <col min="8962" max="8962" width="32.5546875" style="40" customWidth="1"/>
    <col min="8963" max="8963" width="15.5546875" style="40" customWidth="1"/>
    <col min="8964" max="8964" width="28.88671875" style="40" customWidth="1"/>
    <col min="8965" max="8965" width="14" style="40" bestFit="1" customWidth="1"/>
    <col min="8966" max="8967" width="15" style="40" bestFit="1" customWidth="1"/>
    <col min="8968" max="8968" width="18.109375" style="40" customWidth="1"/>
    <col min="8969" max="8969" width="20.88671875" style="40" customWidth="1"/>
    <col min="8970" max="8970" width="15.109375" style="40" customWidth="1"/>
    <col min="8971" max="8971" width="13.88671875" style="40" bestFit="1" customWidth="1"/>
    <col min="8972" max="8972" width="12.33203125" style="40" bestFit="1" customWidth="1"/>
    <col min="8973" max="8973" width="23.44140625" style="40" bestFit="1" customWidth="1"/>
    <col min="8974" max="9208" width="9.109375" style="40"/>
    <col min="9209" max="9211" width="1.6640625" style="40" customWidth="1"/>
    <col min="9212" max="9212" width="12.109375" style="40" customWidth="1"/>
    <col min="9213" max="9213" width="16" style="40" customWidth="1"/>
    <col min="9214" max="9214" width="5.6640625" style="40" customWidth="1"/>
    <col min="9215" max="9215" width="6.5546875" style="40" customWidth="1"/>
    <col min="9216" max="9216" width="9.109375" style="40"/>
    <col min="9217" max="9217" width="12.33203125" style="40" customWidth="1"/>
    <col min="9218" max="9218" width="32.5546875" style="40" customWidth="1"/>
    <col min="9219" max="9219" width="15.5546875" style="40" customWidth="1"/>
    <col min="9220" max="9220" width="28.88671875" style="40" customWidth="1"/>
    <col min="9221" max="9221" width="14" style="40" bestFit="1" customWidth="1"/>
    <col min="9222" max="9223" width="15" style="40" bestFit="1" customWidth="1"/>
    <col min="9224" max="9224" width="18.109375" style="40" customWidth="1"/>
    <col min="9225" max="9225" width="20.88671875" style="40" customWidth="1"/>
    <col min="9226" max="9226" width="15.109375" style="40" customWidth="1"/>
    <col min="9227" max="9227" width="13.88671875" style="40" bestFit="1" customWidth="1"/>
    <col min="9228" max="9228" width="12.33203125" style="40" bestFit="1" customWidth="1"/>
    <col min="9229" max="9229" width="23.44140625" style="40" bestFit="1" customWidth="1"/>
    <col min="9230" max="9464" width="9.109375" style="40"/>
    <col min="9465" max="9467" width="1.6640625" style="40" customWidth="1"/>
    <col min="9468" max="9468" width="12.109375" style="40" customWidth="1"/>
    <col min="9469" max="9469" width="16" style="40" customWidth="1"/>
    <col min="9470" max="9470" width="5.6640625" style="40" customWidth="1"/>
    <col min="9471" max="9471" width="6.5546875" style="40" customWidth="1"/>
    <col min="9472" max="9472" width="9.109375" style="40"/>
    <col min="9473" max="9473" width="12.33203125" style="40" customWidth="1"/>
    <col min="9474" max="9474" width="32.5546875" style="40" customWidth="1"/>
    <col min="9475" max="9475" width="15.5546875" style="40" customWidth="1"/>
    <col min="9476" max="9476" width="28.88671875" style="40" customWidth="1"/>
    <col min="9477" max="9477" width="14" style="40" bestFit="1" customWidth="1"/>
    <col min="9478" max="9479" width="15" style="40" bestFit="1" customWidth="1"/>
    <col min="9480" max="9480" width="18.109375" style="40" customWidth="1"/>
    <col min="9481" max="9481" width="20.88671875" style="40" customWidth="1"/>
    <col min="9482" max="9482" width="15.109375" style="40" customWidth="1"/>
    <col min="9483" max="9483" width="13.88671875" style="40" bestFit="1" customWidth="1"/>
    <col min="9484" max="9484" width="12.33203125" style="40" bestFit="1" customWidth="1"/>
    <col min="9485" max="9485" width="23.44140625" style="40" bestFit="1" customWidth="1"/>
    <col min="9486" max="9720" width="9.109375" style="40"/>
    <col min="9721" max="9723" width="1.6640625" style="40" customWidth="1"/>
    <col min="9724" max="9724" width="12.109375" style="40" customWidth="1"/>
    <col min="9725" max="9725" width="16" style="40" customWidth="1"/>
    <col min="9726" max="9726" width="5.6640625" style="40" customWidth="1"/>
    <col min="9727" max="9727" width="6.5546875" style="40" customWidth="1"/>
    <col min="9728" max="9728" width="9.109375" style="40"/>
    <col min="9729" max="9729" width="12.33203125" style="40" customWidth="1"/>
    <col min="9730" max="9730" width="32.5546875" style="40" customWidth="1"/>
    <col min="9731" max="9731" width="15.5546875" style="40" customWidth="1"/>
    <col min="9732" max="9732" width="28.88671875" style="40" customWidth="1"/>
    <col min="9733" max="9733" width="14" style="40" bestFit="1" customWidth="1"/>
    <col min="9734" max="9735" width="15" style="40" bestFit="1" customWidth="1"/>
    <col min="9736" max="9736" width="18.109375" style="40" customWidth="1"/>
    <col min="9737" max="9737" width="20.88671875" style="40" customWidth="1"/>
    <col min="9738" max="9738" width="15.109375" style="40" customWidth="1"/>
    <col min="9739" max="9739" width="13.88671875" style="40" bestFit="1" customWidth="1"/>
    <col min="9740" max="9740" width="12.33203125" style="40" bestFit="1" customWidth="1"/>
    <col min="9741" max="9741" width="23.44140625" style="40" bestFit="1" customWidth="1"/>
    <col min="9742" max="9976" width="9.109375" style="40"/>
    <col min="9977" max="9979" width="1.6640625" style="40" customWidth="1"/>
    <col min="9980" max="9980" width="12.109375" style="40" customWidth="1"/>
    <col min="9981" max="9981" width="16" style="40" customWidth="1"/>
    <col min="9982" max="9982" width="5.6640625" style="40" customWidth="1"/>
    <col min="9983" max="9983" width="6.5546875" style="40" customWidth="1"/>
    <col min="9984" max="9984" width="9.109375" style="40"/>
    <col min="9985" max="9985" width="12.33203125" style="40" customWidth="1"/>
    <col min="9986" max="9986" width="32.5546875" style="40" customWidth="1"/>
    <col min="9987" max="9987" width="15.5546875" style="40" customWidth="1"/>
    <col min="9988" max="9988" width="28.88671875" style="40" customWidth="1"/>
    <col min="9989" max="9989" width="14" style="40" bestFit="1" customWidth="1"/>
    <col min="9990" max="9991" width="15" style="40" bestFit="1" customWidth="1"/>
    <col min="9992" max="9992" width="18.109375" style="40" customWidth="1"/>
    <col min="9993" max="9993" width="20.88671875" style="40" customWidth="1"/>
    <col min="9994" max="9994" width="15.109375" style="40" customWidth="1"/>
    <col min="9995" max="9995" width="13.88671875" style="40" bestFit="1" customWidth="1"/>
    <col min="9996" max="9996" width="12.33203125" style="40" bestFit="1" customWidth="1"/>
    <col min="9997" max="9997" width="23.44140625" style="40" bestFit="1" customWidth="1"/>
    <col min="9998" max="10232" width="9.109375" style="40"/>
    <col min="10233" max="10235" width="1.6640625" style="40" customWidth="1"/>
    <col min="10236" max="10236" width="12.109375" style="40" customWidth="1"/>
    <col min="10237" max="10237" width="16" style="40" customWidth="1"/>
    <col min="10238" max="10238" width="5.6640625" style="40" customWidth="1"/>
    <col min="10239" max="10239" width="6.5546875" style="40" customWidth="1"/>
    <col min="10240" max="10240" width="9.109375" style="40"/>
    <col min="10241" max="10241" width="12.33203125" style="40" customWidth="1"/>
    <col min="10242" max="10242" width="32.5546875" style="40" customWidth="1"/>
    <col min="10243" max="10243" width="15.5546875" style="40" customWidth="1"/>
    <col min="10244" max="10244" width="28.88671875" style="40" customWidth="1"/>
    <col min="10245" max="10245" width="14" style="40" bestFit="1" customWidth="1"/>
    <col min="10246" max="10247" width="15" style="40" bestFit="1" customWidth="1"/>
    <col min="10248" max="10248" width="18.109375" style="40" customWidth="1"/>
    <col min="10249" max="10249" width="20.88671875" style="40" customWidth="1"/>
    <col min="10250" max="10250" width="15.109375" style="40" customWidth="1"/>
    <col min="10251" max="10251" width="13.88671875" style="40" bestFit="1" customWidth="1"/>
    <col min="10252" max="10252" width="12.33203125" style="40" bestFit="1" customWidth="1"/>
    <col min="10253" max="10253" width="23.44140625" style="40" bestFit="1" customWidth="1"/>
    <col min="10254" max="10488" width="9.109375" style="40"/>
    <col min="10489" max="10491" width="1.6640625" style="40" customWidth="1"/>
    <col min="10492" max="10492" width="12.109375" style="40" customWidth="1"/>
    <col min="10493" max="10493" width="16" style="40" customWidth="1"/>
    <col min="10494" max="10494" width="5.6640625" style="40" customWidth="1"/>
    <col min="10495" max="10495" width="6.5546875" style="40" customWidth="1"/>
    <col min="10496" max="10496" width="9.109375" style="40"/>
    <col min="10497" max="10497" width="12.33203125" style="40" customWidth="1"/>
    <col min="10498" max="10498" width="32.5546875" style="40" customWidth="1"/>
    <col min="10499" max="10499" width="15.5546875" style="40" customWidth="1"/>
    <col min="10500" max="10500" width="28.88671875" style="40" customWidth="1"/>
    <col min="10501" max="10501" width="14" style="40" bestFit="1" customWidth="1"/>
    <col min="10502" max="10503" width="15" style="40" bestFit="1" customWidth="1"/>
    <col min="10504" max="10504" width="18.109375" style="40" customWidth="1"/>
    <col min="10505" max="10505" width="20.88671875" style="40" customWidth="1"/>
    <col min="10506" max="10506" width="15.109375" style="40" customWidth="1"/>
    <col min="10507" max="10507" width="13.88671875" style="40" bestFit="1" customWidth="1"/>
    <col min="10508" max="10508" width="12.33203125" style="40" bestFit="1" customWidth="1"/>
    <col min="10509" max="10509" width="23.44140625" style="40" bestFit="1" customWidth="1"/>
    <col min="10510" max="10744" width="9.109375" style="40"/>
    <col min="10745" max="10747" width="1.6640625" style="40" customWidth="1"/>
    <col min="10748" max="10748" width="12.109375" style="40" customWidth="1"/>
    <col min="10749" max="10749" width="16" style="40" customWidth="1"/>
    <col min="10750" max="10750" width="5.6640625" style="40" customWidth="1"/>
    <col min="10751" max="10751" width="6.5546875" style="40" customWidth="1"/>
    <col min="10752" max="10752" width="9.109375" style="40"/>
    <col min="10753" max="10753" width="12.33203125" style="40" customWidth="1"/>
    <col min="10754" max="10754" width="32.5546875" style="40" customWidth="1"/>
    <col min="10755" max="10755" width="15.5546875" style="40" customWidth="1"/>
    <col min="10756" max="10756" width="28.88671875" style="40" customWidth="1"/>
    <col min="10757" max="10757" width="14" style="40" bestFit="1" customWidth="1"/>
    <col min="10758" max="10759" width="15" style="40" bestFit="1" customWidth="1"/>
    <col min="10760" max="10760" width="18.109375" style="40" customWidth="1"/>
    <col min="10761" max="10761" width="20.88671875" style="40" customWidth="1"/>
    <col min="10762" max="10762" width="15.109375" style="40" customWidth="1"/>
    <col min="10763" max="10763" width="13.88671875" style="40" bestFit="1" customWidth="1"/>
    <col min="10764" max="10764" width="12.33203125" style="40" bestFit="1" customWidth="1"/>
    <col min="10765" max="10765" width="23.44140625" style="40" bestFit="1" customWidth="1"/>
    <col min="10766" max="11000" width="9.109375" style="40"/>
    <col min="11001" max="11003" width="1.6640625" style="40" customWidth="1"/>
    <col min="11004" max="11004" width="12.109375" style="40" customWidth="1"/>
    <col min="11005" max="11005" width="16" style="40" customWidth="1"/>
    <col min="11006" max="11006" width="5.6640625" style="40" customWidth="1"/>
    <col min="11007" max="11007" width="6.5546875" style="40" customWidth="1"/>
    <col min="11008" max="11008" width="9.109375" style="40"/>
    <col min="11009" max="11009" width="12.33203125" style="40" customWidth="1"/>
    <col min="11010" max="11010" width="32.5546875" style="40" customWidth="1"/>
    <col min="11011" max="11011" width="15.5546875" style="40" customWidth="1"/>
    <col min="11012" max="11012" width="28.88671875" style="40" customWidth="1"/>
    <col min="11013" max="11013" width="14" style="40" bestFit="1" customWidth="1"/>
    <col min="11014" max="11015" width="15" style="40" bestFit="1" customWidth="1"/>
    <col min="11016" max="11016" width="18.109375" style="40" customWidth="1"/>
    <col min="11017" max="11017" width="20.88671875" style="40" customWidth="1"/>
    <col min="11018" max="11018" width="15.109375" style="40" customWidth="1"/>
    <col min="11019" max="11019" width="13.88671875" style="40" bestFit="1" customWidth="1"/>
    <col min="11020" max="11020" width="12.33203125" style="40" bestFit="1" customWidth="1"/>
    <col min="11021" max="11021" width="23.44140625" style="40" bestFit="1" customWidth="1"/>
    <col min="11022" max="11256" width="9.109375" style="40"/>
    <col min="11257" max="11259" width="1.6640625" style="40" customWidth="1"/>
    <col min="11260" max="11260" width="12.109375" style="40" customWidth="1"/>
    <col min="11261" max="11261" width="16" style="40" customWidth="1"/>
    <col min="11262" max="11262" width="5.6640625" style="40" customWidth="1"/>
    <col min="11263" max="11263" width="6.5546875" style="40" customWidth="1"/>
    <col min="11264" max="11264" width="9.109375" style="40"/>
    <col min="11265" max="11265" width="12.33203125" style="40" customWidth="1"/>
    <col min="11266" max="11266" width="32.5546875" style="40" customWidth="1"/>
    <col min="11267" max="11267" width="15.5546875" style="40" customWidth="1"/>
    <col min="11268" max="11268" width="28.88671875" style="40" customWidth="1"/>
    <col min="11269" max="11269" width="14" style="40" bestFit="1" customWidth="1"/>
    <col min="11270" max="11271" width="15" style="40" bestFit="1" customWidth="1"/>
    <col min="11272" max="11272" width="18.109375" style="40" customWidth="1"/>
    <col min="11273" max="11273" width="20.88671875" style="40" customWidth="1"/>
    <col min="11274" max="11274" width="15.109375" style="40" customWidth="1"/>
    <col min="11275" max="11275" width="13.88671875" style="40" bestFit="1" customWidth="1"/>
    <col min="11276" max="11276" width="12.33203125" style="40" bestFit="1" customWidth="1"/>
    <col min="11277" max="11277" width="23.44140625" style="40" bestFit="1" customWidth="1"/>
    <col min="11278" max="11512" width="9.109375" style="40"/>
    <col min="11513" max="11515" width="1.6640625" style="40" customWidth="1"/>
    <col min="11516" max="11516" width="12.109375" style="40" customWidth="1"/>
    <col min="11517" max="11517" width="16" style="40" customWidth="1"/>
    <col min="11518" max="11518" width="5.6640625" style="40" customWidth="1"/>
    <col min="11519" max="11519" width="6.5546875" style="40" customWidth="1"/>
    <col min="11520" max="11520" width="9.109375" style="40"/>
    <col min="11521" max="11521" width="12.33203125" style="40" customWidth="1"/>
    <col min="11522" max="11522" width="32.5546875" style="40" customWidth="1"/>
    <col min="11523" max="11523" width="15.5546875" style="40" customWidth="1"/>
    <col min="11524" max="11524" width="28.88671875" style="40" customWidth="1"/>
    <col min="11525" max="11525" width="14" style="40" bestFit="1" customWidth="1"/>
    <col min="11526" max="11527" width="15" style="40" bestFit="1" customWidth="1"/>
    <col min="11528" max="11528" width="18.109375" style="40" customWidth="1"/>
    <col min="11529" max="11529" width="20.88671875" style="40" customWidth="1"/>
    <col min="11530" max="11530" width="15.109375" style="40" customWidth="1"/>
    <col min="11531" max="11531" width="13.88671875" style="40" bestFit="1" customWidth="1"/>
    <col min="11532" max="11532" width="12.33203125" style="40" bestFit="1" customWidth="1"/>
    <col min="11533" max="11533" width="23.44140625" style="40" bestFit="1" customWidth="1"/>
    <col min="11534" max="11768" width="9.109375" style="40"/>
    <col min="11769" max="11771" width="1.6640625" style="40" customWidth="1"/>
    <col min="11772" max="11772" width="12.109375" style="40" customWidth="1"/>
    <col min="11773" max="11773" width="16" style="40" customWidth="1"/>
    <col min="11774" max="11774" width="5.6640625" style="40" customWidth="1"/>
    <col min="11775" max="11775" width="6.5546875" style="40" customWidth="1"/>
    <col min="11776" max="11776" width="9.109375" style="40"/>
    <col min="11777" max="11777" width="12.33203125" style="40" customWidth="1"/>
    <col min="11778" max="11778" width="32.5546875" style="40" customWidth="1"/>
    <col min="11779" max="11779" width="15.5546875" style="40" customWidth="1"/>
    <col min="11780" max="11780" width="28.88671875" style="40" customWidth="1"/>
    <col min="11781" max="11781" width="14" style="40" bestFit="1" customWidth="1"/>
    <col min="11782" max="11783" width="15" style="40" bestFit="1" customWidth="1"/>
    <col min="11784" max="11784" width="18.109375" style="40" customWidth="1"/>
    <col min="11785" max="11785" width="20.88671875" style="40" customWidth="1"/>
    <col min="11786" max="11786" width="15.109375" style="40" customWidth="1"/>
    <col min="11787" max="11787" width="13.88671875" style="40" bestFit="1" customWidth="1"/>
    <col min="11788" max="11788" width="12.33203125" style="40" bestFit="1" customWidth="1"/>
    <col min="11789" max="11789" width="23.44140625" style="40" bestFit="1" customWidth="1"/>
    <col min="11790" max="12024" width="9.109375" style="40"/>
    <col min="12025" max="12027" width="1.6640625" style="40" customWidth="1"/>
    <col min="12028" max="12028" width="12.109375" style="40" customWidth="1"/>
    <col min="12029" max="12029" width="16" style="40" customWidth="1"/>
    <col min="12030" max="12030" width="5.6640625" style="40" customWidth="1"/>
    <col min="12031" max="12031" width="6.5546875" style="40" customWidth="1"/>
    <col min="12032" max="12032" width="9.109375" style="40"/>
    <col min="12033" max="12033" width="12.33203125" style="40" customWidth="1"/>
    <col min="12034" max="12034" width="32.5546875" style="40" customWidth="1"/>
    <col min="12035" max="12035" width="15.5546875" style="40" customWidth="1"/>
    <col min="12036" max="12036" width="28.88671875" style="40" customWidth="1"/>
    <col min="12037" max="12037" width="14" style="40" bestFit="1" customWidth="1"/>
    <col min="12038" max="12039" width="15" style="40" bestFit="1" customWidth="1"/>
    <col min="12040" max="12040" width="18.109375" style="40" customWidth="1"/>
    <col min="12041" max="12041" width="20.88671875" style="40" customWidth="1"/>
    <col min="12042" max="12042" width="15.109375" style="40" customWidth="1"/>
    <col min="12043" max="12043" width="13.88671875" style="40" bestFit="1" customWidth="1"/>
    <col min="12044" max="12044" width="12.33203125" style="40" bestFit="1" customWidth="1"/>
    <col min="12045" max="12045" width="23.44140625" style="40" bestFit="1" customWidth="1"/>
    <col min="12046" max="12280" width="9.109375" style="40"/>
    <col min="12281" max="12283" width="1.6640625" style="40" customWidth="1"/>
    <col min="12284" max="12284" width="12.109375" style="40" customWidth="1"/>
    <col min="12285" max="12285" width="16" style="40" customWidth="1"/>
    <col min="12286" max="12286" width="5.6640625" style="40" customWidth="1"/>
    <col min="12287" max="12287" width="6.5546875" style="40" customWidth="1"/>
    <col min="12288" max="12288" width="9.109375" style="40"/>
    <col min="12289" max="12289" width="12.33203125" style="40" customWidth="1"/>
    <col min="12290" max="12290" width="32.5546875" style="40" customWidth="1"/>
    <col min="12291" max="12291" width="15.5546875" style="40" customWidth="1"/>
    <col min="12292" max="12292" width="28.88671875" style="40" customWidth="1"/>
    <col min="12293" max="12293" width="14" style="40" bestFit="1" customWidth="1"/>
    <col min="12294" max="12295" width="15" style="40" bestFit="1" customWidth="1"/>
    <col min="12296" max="12296" width="18.109375" style="40" customWidth="1"/>
    <col min="12297" max="12297" width="20.88671875" style="40" customWidth="1"/>
    <col min="12298" max="12298" width="15.109375" style="40" customWidth="1"/>
    <col min="12299" max="12299" width="13.88671875" style="40" bestFit="1" customWidth="1"/>
    <col min="12300" max="12300" width="12.33203125" style="40" bestFit="1" customWidth="1"/>
    <col min="12301" max="12301" width="23.44140625" style="40" bestFit="1" customWidth="1"/>
    <col min="12302" max="12536" width="9.109375" style="40"/>
    <col min="12537" max="12539" width="1.6640625" style="40" customWidth="1"/>
    <col min="12540" max="12540" width="12.109375" style="40" customWidth="1"/>
    <col min="12541" max="12541" width="16" style="40" customWidth="1"/>
    <col min="12542" max="12542" width="5.6640625" style="40" customWidth="1"/>
    <col min="12543" max="12543" width="6.5546875" style="40" customWidth="1"/>
    <col min="12544" max="12544" width="9.109375" style="40"/>
    <col min="12545" max="12545" width="12.33203125" style="40" customWidth="1"/>
    <col min="12546" max="12546" width="32.5546875" style="40" customWidth="1"/>
    <col min="12547" max="12547" width="15.5546875" style="40" customWidth="1"/>
    <col min="12548" max="12548" width="28.88671875" style="40" customWidth="1"/>
    <col min="12549" max="12549" width="14" style="40" bestFit="1" customWidth="1"/>
    <col min="12550" max="12551" width="15" style="40" bestFit="1" customWidth="1"/>
    <col min="12552" max="12552" width="18.109375" style="40" customWidth="1"/>
    <col min="12553" max="12553" width="20.88671875" style="40" customWidth="1"/>
    <col min="12554" max="12554" width="15.109375" style="40" customWidth="1"/>
    <col min="12555" max="12555" width="13.88671875" style="40" bestFit="1" customWidth="1"/>
    <col min="12556" max="12556" width="12.33203125" style="40" bestFit="1" customWidth="1"/>
    <col min="12557" max="12557" width="23.44140625" style="40" bestFit="1" customWidth="1"/>
    <col min="12558" max="12792" width="9.109375" style="40"/>
    <col min="12793" max="12795" width="1.6640625" style="40" customWidth="1"/>
    <col min="12796" max="12796" width="12.109375" style="40" customWidth="1"/>
    <col min="12797" max="12797" width="16" style="40" customWidth="1"/>
    <col min="12798" max="12798" width="5.6640625" style="40" customWidth="1"/>
    <col min="12799" max="12799" width="6.5546875" style="40" customWidth="1"/>
    <col min="12800" max="12800" width="9.109375" style="40"/>
    <col min="12801" max="12801" width="12.33203125" style="40" customWidth="1"/>
    <col min="12802" max="12802" width="32.5546875" style="40" customWidth="1"/>
    <col min="12803" max="12803" width="15.5546875" style="40" customWidth="1"/>
    <col min="12804" max="12804" width="28.88671875" style="40" customWidth="1"/>
    <col min="12805" max="12805" width="14" style="40" bestFit="1" customWidth="1"/>
    <col min="12806" max="12807" width="15" style="40" bestFit="1" customWidth="1"/>
    <col min="12808" max="12808" width="18.109375" style="40" customWidth="1"/>
    <col min="12809" max="12809" width="20.88671875" style="40" customWidth="1"/>
    <col min="12810" max="12810" width="15.109375" style="40" customWidth="1"/>
    <col min="12811" max="12811" width="13.88671875" style="40" bestFit="1" customWidth="1"/>
    <col min="12812" max="12812" width="12.33203125" style="40" bestFit="1" customWidth="1"/>
    <col min="12813" max="12813" width="23.44140625" style="40" bestFit="1" customWidth="1"/>
    <col min="12814" max="13048" width="9.109375" style="40"/>
    <col min="13049" max="13051" width="1.6640625" style="40" customWidth="1"/>
    <col min="13052" max="13052" width="12.109375" style="40" customWidth="1"/>
    <col min="13053" max="13053" width="16" style="40" customWidth="1"/>
    <col min="13054" max="13054" width="5.6640625" style="40" customWidth="1"/>
    <col min="13055" max="13055" width="6.5546875" style="40" customWidth="1"/>
    <col min="13056" max="13056" width="9.109375" style="40"/>
    <col min="13057" max="13057" width="12.33203125" style="40" customWidth="1"/>
    <col min="13058" max="13058" width="32.5546875" style="40" customWidth="1"/>
    <col min="13059" max="13059" width="15.5546875" style="40" customWidth="1"/>
    <col min="13060" max="13060" width="28.88671875" style="40" customWidth="1"/>
    <col min="13061" max="13061" width="14" style="40" bestFit="1" customWidth="1"/>
    <col min="13062" max="13063" width="15" style="40" bestFit="1" customWidth="1"/>
    <col min="13064" max="13064" width="18.109375" style="40" customWidth="1"/>
    <col min="13065" max="13065" width="20.88671875" style="40" customWidth="1"/>
    <col min="13066" max="13066" width="15.109375" style="40" customWidth="1"/>
    <col min="13067" max="13067" width="13.88671875" style="40" bestFit="1" customWidth="1"/>
    <col min="13068" max="13068" width="12.33203125" style="40" bestFit="1" customWidth="1"/>
    <col min="13069" max="13069" width="23.44140625" style="40" bestFit="1" customWidth="1"/>
    <col min="13070" max="13304" width="9.109375" style="40"/>
    <col min="13305" max="13307" width="1.6640625" style="40" customWidth="1"/>
    <col min="13308" max="13308" width="12.109375" style="40" customWidth="1"/>
    <col min="13309" max="13309" width="16" style="40" customWidth="1"/>
    <col min="13310" max="13310" width="5.6640625" style="40" customWidth="1"/>
    <col min="13311" max="13311" width="6.5546875" style="40" customWidth="1"/>
    <col min="13312" max="13312" width="9.109375" style="40"/>
    <col min="13313" max="13313" width="12.33203125" style="40" customWidth="1"/>
    <col min="13314" max="13314" width="32.5546875" style="40" customWidth="1"/>
    <col min="13315" max="13315" width="15.5546875" style="40" customWidth="1"/>
    <col min="13316" max="13316" width="28.88671875" style="40" customWidth="1"/>
    <col min="13317" max="13317" width="14" style="40" bestFit="1" customWidth="1"/>
    <col min="13318" max="13319" width="15" style="40" bestFit="1" customWidth="1"/>
    <col min="13320" max="13320" width="18.109375" style="40" customWidth="1"/>
    <col min="13321" max="13321" width="20.88671875" style="40" customWidth="1"/>
    <col min="13322" max="13322" width="15.109375" style="40" customWidth="1"/>
    <col min="13323" max="13323" width="13.88671875" style="40" bestFit="1" customWidth="1"/>
    <col min="13324" max="13324" width="12.33203125" style="40" bestFit="1" customWidth="1"/>
    <col min="13325" max="13325" width="23.44140625" style="40" bestFit="1" customWidth="1"/>
    <col min="13326" max="13560" width="9.109375" style="40"/>
    <col min="13561" max="13563" width="1.6640625" style="40" customWidth="1"/>
    <col min="13564" max="13564" width="12.109375" style="40" customWidth="1"/>
    <col min="13565" max="13565" width="16" style="40" customWidth="1"/>
    <col min="13566" max="13566" width="5.6640625" style="40" customWidth="1"/>
    <col min="13567" max="13567" width="6.5546875" style="40" customWidth="1"/>
    <col min="13568" max="13568" width="9.109375" style="40"/>
    <col min="13569" max="13569" width="12.33203125" style="40" customWidth="1"/>
    <col min="13570" max="13570" width="32.5546875" style="40" customWidth="1"/>
    <col min="13571" max="13571" width="15.5546875" style="40" customWidth="1"/>
    <col min="13572" max="13572" width="28.88671875" style="40" customWidth="1"/>
    <col min="13573" max="13573" width="14" style="40" bestFit="1" customWidth="1"/>
    <col min="13574" max="13575" width="15" style="40" bestFit="1" customWidth="1"/>
    <col min="13576" max="13576" width="18.109375" style="40" customWidth="1"/>
    <col min="13577" max="13577" width="20.88671875" style="40" customWidth="1"/>
    <col min="13578" max="13578" width="15.109375" style="40" customWidth="1"/>
    <col min="13579" max="13579" width="13.88671875" style="40" bestFit="1" customWidth="1"/>
    <col min="13580" max="13580" width="12.33203125" style="40" bestFit="1" customWidth="1"/>
    <col min="13581" max="13581" width="23.44140625" style="40" bestFit="1" customWidth="1"/>
    <col min="13582" max="13816" width="9.109375" style="40"/>
    <col min="13817" max="13819" width="1.6640625" style="40" customWidth="1"/>
    <col min="13820" max="13820" width="12.109375" style="40" customWidth="1"/>
    <col min="13821" max="13821" width="16" style="40" customWidth="1"/>
    <col min="13822" max="13822" width="5.6640625" style="40" customWidth="1"/>
    <col min="13823" max="13823" width="6.5546875" style="40" customWidth="1"/>
    <col min="13824" max="13824" width="9.109375" style="40"/>
    <col min="13825" max="13825" width="12.33203125" style="40" customWidth="1"/>
    <col min="13826" max="13826" width="32.5546875" style="40" customWidth="1"/>
    <col min="13827" max="13827" width="15.5546875" style="40" customWidth="1"/>
    <col min="13828" max="13828" width="28.88671875" style="40" customWidth="1"/>
    <col min="13829" max="13829" width="14" style="40" bestFit="1" customWidth="1"/>
    <col min="13830" max="13831" width="15" style="40" bestFit="1" customWidth="1"/>
    <col min="13832" max="13832" width="18.109375" style="40" customWidth="1"/>
    <col min="13833" max="13833" width="20.88671875" style="40" customWidth="1"/>
    <col min="13834" max="13834" width="15.109375" style="40" customWidth="1"/>
    <col min="13835" max="13835" width="13.88671875" style="40" bestFit="1" customWidth="1"/>
    <col min="13836" max="13836" width="12.33203125" style="40" bestFit="1" customWidth="1"/>
    <col min="13837" max="13837" width="23.44140625" style="40" bestFit="1" customWidth="1"/>
    <col min="13838" max="14072" width="9.109375" style="40"/>
    <col min="14073" max="14075" width="1.6640625" style="40" customWidth="1"/>
    <col min="14076" max="14076" width="12.109375" style="40" customWidth="1"/>
    <col min="14077" max="14077" width="16" style="40" customWidth="1"/>
    <col min="14078" max="14078" width="5.6640625" style="40" customWidth="1"/>
    <col min="14079" max="14079" width="6.5546875" style="40" customWidth="1"/>
    <col min="14080" max="14080" width="9.109375" style="40"/>
    <col min="14081" max="14081" width="12.33203125" style="40" customWidth="1"/>
    <col min="14082" max="14082" width="32.5546875" style="40" customWidth="1"/>
    <col min="14083" max="14083" width="15.5546875" style="40" customWidth="1"/>
    <col min="14084" max="14084" width="28.88671875" style="40" customWidth="1"/>
    <col min="14085" max="14085" width="14" style="40" bestFit="1" customWidth="1"/>
    <col min="14086" max="14087" width="15" style="40" bestFit="1" customWidth="1"/>
    <col min="14088" max="14088" width="18.109375" style="40" customWidth="1"/>
    <col min="14089" max="14089" width="20.88671875" style="40" customWidth="1"/>
    <col min="14090" max="14090" width="15.109375" style="40" customWidth="1"/>
    <col min="14091" max="14091" width="13.88671875" style="40" bestFit="1" customWidth="1"/>
    <col min="14092" max="14092" width="12.33203125" style="40" bestFit="1" customWidth="1"/>
    <col min="14093" max="14093" width="23.44140625" style="40" bestFit="1" customWidth="1"/>
    <col min="14094" max="14328" width="9.109375" style="40"/>
    <col min="14329" max="14331" width="1.6640625" style="40" customWidth="1"/>
    <col min="14332" max="14332" width="12.109375" style="40" customWidth="1"/>
    <col min="14333" max="14333" width="16" style="40" customWidth="1"/>
    <col min="14334" max="14334" width="5.6640625" style="40" customWidth="1"/>
    <col min="14335" max="14335" width="6.5546875" style="40" customWidth="1"/>
    <col min="14336" max="14336" width="9.109375" style="40"/>
    <col min="14337" max="14337" width="12.33203125" style="40" customWidth="1"/>
    <col min="14338" max="14338" width="32.5546875" style="40" customWidth="1"/>
    <col min="14339" max="14339" width="15.5546875" style="40" customWidth="1"/>
    <col min="14340" max="14340" width="28.88671875" style="40" customWidth="1"/>
    <col min="14341" max="14341" width="14" style="40" bestFit="1" customWidth="1"/>
    <col min="14342" max="14343" width="15" style="40" bestFit="1" customWidth="1"/>
    <col min="14344" max="14344" width="18.109375" style="40" customWidth="1"/>
    <col min="14345" max="14345" width="20.88671875" style="40" customWidth="1"/>
    <col min="14346" max="14346" width="15.109375" style="40" customWidth="1"/>
    <col min="14347" max="14347" width="13.88671875" style="40" bestFit="1" customWidth="1"/>
    <col min="14348" max="14348" width="12.33203125" style="40" bestFit="1" customWidth="1"/>
    <col min="14349" max="14349" width="23.44140625" style="40" bestFit="1" customWidth="1"/>
    <col min="14350" max="14584" width="9.109375" style="40"/>
    <col min="14585" max="14587" width="1.6640625" style="40" customWidth="1"/>
    <col min="14588" max="14588" width="12.109375" style="40" customWidth="1"/>
    <col min="14589" max="14589" width="16" style="40" customWidth="1"/>
    <col min="14590" max="14590" width="5.6640625" style="40" customWidth="1"/>
    <col min="14591" max="14591" width="6.5546875" style="40" customWidth="1"/>
    <col min="14592" max="14592" width="9.109375" style="40"/>
    <col min="14593" max="14593" width="12.33203125" style="40" customWidth="1"/>
    <col min="14594" max="14594" width="32.5546875" style="40" customWidth="1"/>
    <col min="14595" max="14595" width="15.5546875" style="40" customWidth="1"/>
    <col min="14596" max="14596" width="28.88671875" style="40" customWidth="1"/>
    <col min="14597" max="14597" width="14" style="40" bestFit="1" customWidth="1"/>
    <col min="14598" max="14599" width="15" style="40" bestFit="1" customWidth="1"/>
    <col min="14600" max="14600" width="18.109375" style="40" customWidth="1"/>
    <col min="14601" max="14601" width="20.88671875" style="40" customWidth="1"/>
    <col min="14602" max="14602" width="15.109375" style="40" customWidth="1"/>
    <col min="14603" max="14603" width="13.88671875" style="40" bestFit="1" customWidth="1"/>
    <col min="14604" max="14604" width="12.33203125" style="40" bestFit="1" customWidth="1"/>
    <col min="14605" max="14605" width="23.44140625" style="40" bestFit="1" customWidth="1"/>
    <col min="14606" max="14840" width="9.109375" style="40"/>
    <col min="14841" max="14843" width="1.6640625" style="40" customWidth="1"/>
    <col min="14844" max="14844" width="12.109375" style="40" customWidth="1"/>
    <col min="14845" max="14845" width="16" style="40" customWidth="1"/>
    <col min="14846" max="14846" width="5.6640625" style="40" customWidth="1"/>
    <col min="14847" max="14847" width="6.5546875" style="40" customWidth="1"/>
    <col min="14848" max="14848" width="9.109375" style="40"/>
    <col min="14849" max="14849" width="12.33203125" style="40" customWidth="1"/>
    <col min="14850" max="14850" width="32.5546875" style="40" customWidth="1"/>
    <col min="14851" max="14851" width="15.5546875" style="40" customWidth="1"/>
    <col min="14852" max="14852" width="28.88671875" style="40" customWidth="1"/>
    <col min="14853" max="14853" width="14" style="40" bestFit="1" customWidth="1"/>
    <col min="14854" max="14855" width="15" style="40" bestFit="1" customWidth="1"/>
    <col min="14856" max="14856" width="18.109375" style="40" customWidth="1"/>
    <col min="14857" max="14857" width="20.88671875" style="40" customWidth="1"/>
    <col min="14858" max="14858" width="15.109375" style="40" customWidth="1"/>
    <col min="14859" max="14859" width="13.88671875" style="40" bestFit="1" customWidth="1"/>
    <col min="14860" max="14860" width="12.33203125" style="40" bestFit="1" customWidth="1"/>
    <col min="14861" max="14861" width="23.44140625" style="40" bestFit="1" customWidth="1"/>
    <col min="14862" max="15096" width="9.109375" style="40"/>
    <col min="15097" max="15099" width="1.6640625" style="40" customWidth="1"/>
    <col min="15100" max="15100" width="12.109375" style="40" customWidth="1"/>
    <col min="15101" max="15101" width="16" style="40" customWidth="1"/>
    <col min="15102" max="15102" width="5.6640625" style="40" customWidth="1"/>
    <col min="15103" max="15103" width="6.5546875" style="40" customWidth="1"/>
    <col min="15104" max="15104" width="9.109375" style="40"/>
    <col min="15105" max="15105" width="12.33203125" style="40" customWidth="1"/>
    <col min="15106" max="15106" width="32.5546875" style="40" customWidth="1"/>
    <col min="15107" max="15107" width="15.5546875" style="40" customWidth="1"/>
    <col min="15108" max="15108" width="28.88671875" style="40" customWidth="1"/>
    <col min="15109" max="15109" width="14" style="40" bestFit="1" customWidth="1"/>
    <col min="15110" max="15111" width="15" style="40" bestFit="1" customWidth="1"/>
    <col min="15112" max="15112" width="18.109375" style="40" customWidth="1"/>
    <col min="15113" max="15113" width="20.88671875" style="40" customWidth="1"/>
    <col min="15114" max="15114" width="15.109375" style="40" customWidth="1"/>
    <col min="15115" max="15115" width="13.88671875" style="40" bestFit="1" customWidth="1"/>
    <col min="15116" max="15116" width="12.33203125" style="40" bestFit="1" customWidth="1"/>
    <col min="15117" max="15117" width="23.44140625" style="40" bestFit="1" customWidth="1"/>
    <col min="15118" max="15352" width="9.109375" style="40"/>
    <col min="15353" max="15355" width="1.6640625" style="40" customWidth="1"/>
    <col min="15356" max="15356" width="12.109375" style="40" customWidth="1"/>
    <col min="15357" max="15357" width="16" style="40" customWidth="1"/>
    <col min="15358" max="15358" width="5.6640625" style="40" customWidth="1"/>
    <col min="15359" max="15359" width="6.5546875" style="40" customWidth="1"/>
    <col min="15360" max="15360" width="9.109375" style="40"/>
    <col min="15361" max="15361" width="12.33203125" style="40" customWidth="1"/>
    <col min="15362" max="15362" width="32.5546875" style="40" customWidth="1"/>
    <col min="15363" max="15363" width="15.5546875" style="40" customWidth="1"/>
    <col min="15364" max="15364" width="28.88671875" style="40" customWidth="1"/>
    <col min="15365" max="15365" width="14" style="40" bestFit="1" customWidth="1"/>
    <col min="15366" max="15367" width="15" style="40" bestFit="1" customWidth="1"/>
    <col min="15368" max="15368" width="18.109375" style="40" customWidth="1"/>
    <col min="15369" max="15369" width="20.88671875" style="40" customWidth="1"/>
    <col min="15370" max="15370" width="15.109375" style="40" customWidth="1"/>
    <col min="15371" max="15371" width="13.88671875" style="40" bestFit="1" customWidth="1"/>
    <col min="15372" max="15372" width="12.33203125" style="40" bestFit="1" customWidth="1"/>
    <col min="15373" max="15373" width="23.44140625" style="40" bestFit="1" customWidth="1"/>
    <col min="15374" max="15608" width="9.109375" style="40"/>
    <col min="15609" max="15611" width="1.6640625" style="40" customWidth="1"/>
    <col min="15612" max="15612" width="12.109375" style="40" customWidth="1"/>
    <col min="15613" max="15613" width="16" style="40" customWidth="1"/>
    <col min="15614" max="15614" width="5.6640625" style="40" customWidth="1"/>
    <col min="15615" max="15615" width="6.5546875" style="40" customWidth="1"/>
    <col min="15616" max="15616" width="9.109375" style="40"/>
    <col min="15617" max="15617" width="12.33203125" style="40" customWidth="1"/>
    <col min="15618" max="15618" width="32.5546875" style="40" customWidth="1"/>
    <col min="15619" max="15619" width="15.5546875" style="40" customWidth="1"/>
    <col min="15620" max="15620" width="28.88671875" style="40" customWidth="1"/>
    <col min="15621" max="15621" width="14" style="40" bestFit="1" customWidth="1"/>
    <col min="15622" max="15623" width="15" style="40" bestFit="1" customWidth="1"/>
    <col min="15624" max="15624" width="18.109375" style="40" customWidth="1"/>
    <col min="15625" max="15625" width="20.88671875" style="40" customWidth="1"/>
    <col min="15626" max="15626" width="15.109375" style="40" customWidth="1"/>
    <col min="15627" max="15627" width="13.88671875" style="40" bestFit="1" customWidth="1"/>
    <col min="15628" max="15628" width="12.33203125" style="40" bestFit="1" customWidth="1"/>
    <col min="15629" max="15629" width="23.44140625" style="40" bestFit="1" customWidth="1"/>
    <col min="15630" max="15864" width="9.109375" style="40"/>
    <col min="15865" max="15867" width="1.6640625" style="40" customWidth="1"/>
    <col min="15868" max="15868" width="12.109375" style="40" customWidth="1"/>
    <col min="15869" max="15869" width="16" style="40" customWidth="1"/>
    <col min="15870" max="15870" width="5.6640625" style="40" customWidth="1"/>
    <col min="15871" max="15871" width="6.5546875" style="40" customWidth="1"/>
    <col min="15872" max="15872" width="9.109375" style="40"/>
    <col min="15873" max="15873" width="12.33203125" style="40" customWidth="1"/>
    <col min="15874" max="15874" width="32.5546875" style="40" customWidth="1"/>
    <col min="15875" max="15875" width="15.5546875" style="40" customWidth="1"/>
    <col min="15876" max="15876" width="28.88671875" style="40" customWidth="1"/>
    <col min="15877" max="15877" width="14" style="40" bestFit="1" customWidth="1"/>
    <col min="15878" max="15879" width="15" style="40" bestFit="1" customWidth="1"/>
    <col min="15880" max="15880" width="18.109375" style="40" customWidth="1"/>
    <col min="15881" max="15881" width="20.88671875" style="40" customWidth="1"/>
    <col min="15882" max="15882" width="15.109375" style="40" customWidth="1"/>
    <col min="15883" max="15883" width="13.88671875" style="40" bestFit="1" customWidth="1"/>
    <col min="15884" max="15884" width="12.33203125" style="40" bestFit="1" customWidth="1"/>
    <col min="15885" max="15885" width="23.44140625" style="40" bestFit="1" customWidth="1"/>
    <col min="15886" max="16120" width="9.109375" style="40"/>
    <col min="16121" max="16123" width="1.6640625" style="40" customWidth="1"/>
    <col min="16124" max="16124" width="12.109375" style="40" customWidth="1"/>
    <col min="16125" max="16125" width="16" style="40" customWidth="1"/>
    <col min="16126" max="16126" width="5.6640625" style="40" customWidth="1"/>
    <col min="16127" max="16127" width="6.5546875" style="40" customWidth="1"/>
    <col min="16128" max="16128" width="9.109375" style="40"/>
    <col min="16129" max="16129" width="12.33203125" style="40" customWidth="1"/>
    <col min="16130" max="16130" width="32.5546875" style="40" customWidth="1"/>
    <col min="16131" max="16131" width="15.5546875" style="40" customWidth="1"/>
    <col min="16132" max="16132" width="28.88671875" style="40" customWidth="1"/>
    <col min="16133" max="16133" width="14" style="40" bestFit="1" customWidth="1"/>
    <col min="16134" max="16135" width="15" style="40" bestFit="1" customWidth="1"/>
    <col min="16136" max="16136" width="18.109375" style="40" customWidth="1"/>
    <col min="16137" max="16137" width="20.88671875" style="40" customWidth="1"/>
    <col min="16138" max="16138" width="15.109375" style="40" customWidth="1"/>
    <col min="16139" max="16139" width="13.88671875" style="40" bestFit="1" customWidth="1"/>
    <col min="16140" max="16140" width="12.33203125" style="40" bestFit="1" customWidth="1"/>
    <col min="16141" max="16141" width="23.44140625" style="40" bestFit="1" customWidth="1"/>
    <col min="16142" max="16384" width="9.109375" style="40"/>
  </cols>
  <sheetData>
    <row r="1" spans="2:26" s="2" customFormat="1" x14ac:dyDescent="0.3">
      <c r="B1" s="719"/>
      <c r="C1" s="719"/>
      <c r="D1" s="719"/>
      <c r="E1" s="719"/>
      <c r="F1" s="719"/>
      <c r="G1" s="719"/>
      <c r="H1" s="719"/>
      <c r="I1" s="719"/>
      <c r="J1" s="37"/>
      <c r="K1" s="37"/>
      <c r="L1" s="37"/>
      <c r="M1" s="37"/>
      <c r="N1" s="37"/>
      <c r="O1" s="37"/>
      <c r="P1" s="37"/>
      <c r="Q1" s="37"/>
      <c r="R1" s="37"/>
      <c r="S1" s="38"/>
      <c r="Z1" s="199"/>
    </row>
    <row r="2" spans="2:26" s="2" customFormat="1" ht="14.4" customHeight="1" x14ac:dyDescent="0.3">
      <c r="B2" s="742"/>
      <c r="C2" s="742"/>
      <c r="D2" s="742"/>
      <c r="E2" s="742"/>
      <c r="F2" s="742"/>
      <c r="G2" s="742"/>
      <c r="H2" s="742"/>
      <c r="I2" s="742"/>
      <c r="J2" s="37"/>
      <c r="K2" s="37"/>
      <c r="L2" s="37"/>
      <c r="M2" s="37"/>
      <c r="N2" s="37"/>
      <c r="O2" s="37"/>
      <c r="P2" s="37"/>
      <c r="Q2" s="37"/>
      <c r="R2" s="37"/>
      <c r="S2" s="38"/>
      <c r="Z2" s="199"/>
    </row>
    <row r="3" spans="2:26" s="2" customFormat="1" ht="14.4" customHeight="1" x14ac:dyDescent="0.3">
      <c r="B3" s="417"/>
      <c r="C3" s="417"/>
      <c r="D3" s="417"/>
      <c r="E3" s="417"/>
      <c r="F3" s="52"/>
      <c r="G3" s="417"/>
      <c r="H3" s="417"/>
      <c r="I3" s="417"/>
      <c r="J3" s="37"/>
      <c r="K3" s="37"/>
      <c r="L3" s="37"/>
      <c r="M3" s="37"/>
      <c r="N3" s="37"/>
      <c r="O3" s="37"/>
      <c r="P3" s="37"/>
      <c r="Q3" s="37"/>
      <c r="R3" s="37"/>
      <c r="S3" s="38"/>
      <c r="Z3" s="199"/>
    </row>
    <row r="4" spans="2:26" s="2" customFormat="1" ht="14.4" customHeight="1" x14ac:dyDescent="0.3">
      <c r="B4" s="417"/>
      <c r="C4" s="417"/>
      <c r="D4" s="417"/>
      <c r="E4" s="417"/>
      <c r="F4" s="52"/>
      <c r="G4" s="417"/>
      <c r="H4" s="417"/>
      <c r="I4" s="417"/>
      <c r="J4" s="37"/>
      <c r="K4" s="37"/>
      <c r="L4" s="37"/>
      <c r="M4" s="37"/>
      <c r="N4" s="37"/>
      <c r="O4" s="37"/>
      <c r="P4" s="37"/>
      <c r="Q4" s="37"/>
      <c r="R4" s="37"/>
      <c r="S4" s="38"/>
      <c r="Z4" s="199"/>
    </row>
    <row r="5" spans="2:26" s="2" customFormat="1" ht="14.4" customHeight="1" x14ac:dyDescent="0.3">
      <c r="B5" s="417"/>
      <c r="C5" s="417"/>
      <c r="D5" s="417"/>
      <c r="E5" s="417"/>
      <c r="F5" s="52"/>
      <c r="G5" s="417"/>
      <c r="H5" s="417"/>
      <c r="I5" s="417"/>
      <c r="J5" s="37"/>
      <c r="K5" s="37"/>
      <c r="L5" s="37"/>
      <c r="M5" s="37"/>
      <c r="N5" s="37"/>
      <c r="O5" s="37"/>
      <c r="P5" s="37"/>
      <c r="Q5" s="37"/>
      <c r="R5" s="37"/>
      <c r="S5" s="38"/>
      <c r="Z5" s="199"/>
    </row>
    <row r="6" spans="2:26" s="2" customFormat="1" ht="14.4" customHeight="1" x14ac:dyDescent="0.3">
      <c r="B6" s="741" t="s">
        <v>4963</v>
      </c>
      <c r="C6" s="741"/>
      <c r="D6" s="741"/>
      <c r="E6" s="741"/>
      <c r="F6" s="741"/>
      <c r="G6" s="741"/>
      <c r="H6" s="741"/>
      <c r="I6" s="417"/>
      <c r="J6" s="37"/>
      <c r="K6" s="37"/>
      <c r="L6" s="37"/>
      <c r="M6" s="37"/>
      <c r="N6" s="37"/>
      <c r="O6" s="37"/>
      <c r="P6" s="37"/>
      <c r="Q6" s="37"/>
      <c r="R6" s="37"/>
      <c r="S6" s="38"/>
      <c r="Z6" s="199"/>
    </row>
    <row r="7" spans="2:26" x14ac:dyDescent="0.3">
      <c r="B7" s="741" t="s">
        <v>2399</v>
      </c>
      <c r="C7" s="741"/>
      <c r="D7" s="741"/>
      <c r="E7" s="741"/>
      <c r="F7" s="741"/>
      <c r="G7" s="741"/>
      <c r="H7" s="741"/>
      <c r="I7" s="39"/>
      <c r="J7" s="39"/>
      <c r="K7" s="39"/>
      <c r="L7" s="39"/>
      <c r="M7" s="39"/>
      <c r="N7" s="39"/>
      <c r="O7" s="75"/>
      <c r="P7" s="39"/>
      <c r="Q7" s="39"/>
      <c r="R7" s="39"/>
      <c r="U7" s="39"/>
      <c r="W7" s="39"/>
    </row>
    <row r="8" spans="2:26" x14ac:dyDescent="0.3">
      <c r="B8" s="437"/>
      <c r="C8" s="437"/>
      <c r="D8" s="437"/>
      <c r="E8" s="437"/>
      <c r="F8" s="625"/>
      <c r="G8" s="437"/>
      <c r="H8" s="437"/>
      <c r="I8" s="39"/>
      <c r="J8" s="39"/>
      <c r="K8" s="39"/>
      <c r="L8" s="39"/>
      <c r="M8" s="39"/>
      <c r="N8" s="39"/>
      <c r="O8" s="75"/>
      <c r="P8" s="39"/>
      <c r="Q8" s="39"/>
      <c r="R8" s="39"/>
      <c r="U8" s="39"/>
      <c r="W8" s="39"/>
    </row>
    <row r="9" spans="2:26" x14ac:dyDescent="0.3">
      <c r="B9" s="707" t="s">
        <v>2497</v>
      </c>
      <c r="C9" s="707"/>
      <c r="D9" s="707"/>
      <c r="E9" s="707"/>
      <c r="F9" s="707"/>
      <c r="G9" s="707"/>
      <c r="H9" s="707"/>
      <c r="I9" s="707"/>
      <c r="J9" s="41"/>
      <c r="K9" s="41"/>
      <c r="L9" s="41"/>
      <c r="M9" s="41"/>
      <c r="N9" s="41"/>
      <c r="O9" s="41"/>
      <c r="P9" s="41"/>
      <c r="Q9" s="41"/>
      <c r="R9" s="41"/>
    </row>
    <row r="10" spans="2:26" x14ac:dyDescent="0.3">
      <c r="B10" s="707" t="s">
        <v>5900</v>
      </c>
      <c r="C10" s="707"/>
      <c r="D10" s="707"/>
      <c r="E10" s="707"/>
      <c r="F10" s="707"/>
      <c r="G10" s="707"/>
      <c r="H10" s="707"/>
      <c r="I10" s="707"/>
      <c r="K10" s="40"/>
      <c r="O10" s="40"/>
    </row>
    <row r="11" spans="2:26" x14ac:dyDescent="0.3">
      <c r="D11" s="41"/>
      <c r="E11" s="41"/>
      <c r="F11" s="38"/>
      <c r="G11" s="41"/>
      <c r="H11" s="41"/>
      <c r="I11" s="41"/>
      <c r="J11" s="41"/>
      <c r="K11" s="41"/>
      <c r="L11" s="41"/>
      <c r="M11" s="41"/>
      <c r="N11" s="41"/>
      <c r="O11" s="76"/>
      <c r="P11" s="41"/>
      <c r="Q11" s="41"/>
      <c r="R11" s="41"/>
      <c r="U11" s="41"/>
      <c r="W11" s="41"/>
    </row>
    <row r="12" spans="2:26" x14ac:dyDescent="0.3">
      <c r="D12" s="41"/>
      <c r="E12" s="41"/>
      <c r="F12" s="38"/>
      <c r="G12" s="41"/>
      <c r="H12" s="41"/>
      <c r="I12" s="41"/>
      <c r="J12" s="41"/>
      <c r="K12" s="41"/>
      <c r="L12" s="41"/>
      <c r="M12" s="41"/>
      <c r="N12" s="41"/>
      <c r="O12" s="76"/>
      <c r="P12" s="41"/>
      <c r="Q12" s="41"/>
      <c r="R12" s="41"/>
      <c r="U12" s="41"/>
      <c r="W12" s="41"/>
    </row>
    <row r="13" spans="2:26" x14ac:dyDescent="0.3">
      <c r="B13" s="41" t="s">
        <v>2499</v>
      </c>
      <c r="C13" s="41"/>
      <c r="H13" s="77"/>
      <c r="K13" s="40"/>
      <c r="L13" s="38"/>
      <c r="O13" s="210" t="s">
        <v>3343</v>
      </c>
      <c r="P13" s="210"/>
      <c r="Q13" s="210" t="s">
        <v>2453</v>
      </c>
      <c r="S13" s="40"/>
      <c r="T13" s="204" t="e">
        <f>'[2]DFs - IQUEGO - 2022BALANÇO 2022'!I43-'[2]DFs - IQUEGO - 2022BALANÇO 2022'!H43</f>
        <v>#REF!</v>
      </c>
      <c r="U13" s="215" t="s">
        <v>3334</v>
      </c>
      <c r="Z13" s="40"/>
    </row>
    <row r="14" spans="2:26" x14ac:dyDescent="0.3">
      <c r="E14" s="209" t="s">
        <v>5899</v>
      </c>
      <c r="F14" s="209" t="s">
        <v>5935</v>
      </c>
      <c r="G14" s="209" t="s">
        <v>3693</v>
      </c>
      <c r="H14" s="209" t="s">
        <v>2060</v>
      </c>
      <c r="J14" s="209" t="s">
        <v>2061</v>
      </c>
      <c r="K14" s="3"/>
      <c r="L14" s="38"/>
      <c r="O14" s="86">
        <v>2022</v>
      </c>
      <c r="Q14" s="87">
        <v>2022</v>
      </c>
      <c r="S14" s="40"/>
      <c r="T14" s="70">
        <v>0</v>
      </c>
      <c r="U14" s="40" t="s">
        <v>3342</v>
      </c>
      <c r="Z14" s="40"/>
    </row>
    <row r="15" spans="2:26" x14ac:dyDescent="0.3">
      <c r="C15" s="71" t="s">
        <v>2500</v>
      </c>
      <c r="D15" s="41"/>
      <c r="E15" s="71">
        <f>'DRE 2023_2024'!F31</f>
        <v>-185231.32000000981</v>
      </c>
      <c r="F15" s="71">
        <f>'BP 2023_2024'!F51</f>
        <v>-15101025.089999996</v>
      </c>
      <c r="G15" s="71">
        <f>'DRE 2023_2024'!H31</f>
        <v>-9891446.1899999939</v>
      </c>
      <c r="H15" s="78">
        <f>DRE!$D$27</f>
        <v>-17323206.559999999</v>
      </c>
      <c r="I15" s="280"/>
      <c r="J15" s="71">
        <v>-6283183.71</v>
      </c>
      <c r="K15" s="71">
        <f>G15-F15</f>
        <v>5209578.9000000022</v>
      </c>
      <c r="L15" s="38"/>
      <c r="N15" s="492"/>
      <c r="O15" s="71">
        <v>0</v>
      </c>
      <c r="Q15" s="71">
        <f>H15-O15</f>
        <v>-17323206.559999999</v>
      </c>
      <c r="S15" s="40">
        <v>936593.76999999909</v>
      </c>
      <c r="T15" s="53">
        <v>1539595.85</v>
      </c>
      <c r="U15" s="40" t="s">
        <v>3335</v>
      </c>
      <c r="V15" s="40">
        <v>-2400530.61</v>
      </c>
      <c r="Z15" s="40"/>
    </row>
    <row r="16" spans="2:26" x14ac:dyDescent="0.3">
      <c r="F16" s="40"/>
      <c r="H16" s="77"/>
      <c r="K16" s="71">
        <f t="shared" ref="K16:K58" si="0">G16-F16</f>
        <v>0</v>
      </c>
      <c r="L16" s="38"/>
      <c r="N16" s="492"/>
      <c r="O16" s="70"/>
      <c r="Q16" s="71"/>
      <c r="S16" s="40"/>
      <c r="T16" s="53">
        <v>-15177736.26</v>
      </c>
      <c r="U16" s="40" t="s">
        <v>3354</v>
      </c>
      <c r="Z16" s="40"/>
    </row>
    <row r="17" spans="3:26" x14ac:dyDescent="0.3">
      <c r="C17" s="41" t="s">
        <v>2501</v>
      </c>
      <c r="D17" s="70"/>
      <c r="E17" s="70"/>
      <c r="F17" s="70"/>
      <c r="G17" s="70"/>
      <c r="H17" s="79"/>
      <c r="I17" s="70"/>
      <c r="J17" s="70"/>
      <c r="K17" s="71">
        <f t="shared" si="0"/>
        <v>0</v>
      </c>
      <c r="L17" s="38"/>
      <c r="N17" s="492"/>
      <c r="O17" s="70"/>
      <c r="Q17" s="71"/>
      <c r="S17" s="40"/>
      <c r="T17" s="213">
        <v>0</v>
      </c>
      <c r="U17" s="214" t="s">
        <v>3340</v>
      </c>
      <c r="Z17" s="40"/>
    </row>
    <row r="18" spans="3:26" x14ac:dyDescent="0.3">
      <c r="D18" s="72" t="s">
        <v>2097</v>
      </c>
      <c r="E18" s="643">
        <f>SUM('BALANCETE 2024'!G545+'BALANCETE 2024'!G619)</f>
        <v>4133008.38</v>
      </c>
      <c r="F18" s="644">
        <f>SUM('Representado 2023'!M648+'Representado 2023'!M552)</f>
        <v>522372.55000000005</v>
      </c>
      <c r="G18" s="643">
        <f>SUM('BALANCETE 2023'!L499+'BALANCETE 2023'!L577)</f>
        <v>522372.55000000005</v>
      </c>
      <c r="H18" s="195">
        <f>SUM('BALANCETE 2022'!F501+'BALANCETE 2022'!F563)</f>
        <v>376090.91</v>
      </c>
      <c r="I18" s="276"/>
      <c r="J18" s="70">
        <f>SUM('BALANCETE 2021'!I551+'BALANCETE 2021'!I607)</f>
        <v>604881.28</v>
      </c>
      <c r="K18" s="71">
        <f t="shared" si="0"/>
        <v>0</v>
      </c>
      <c r="L18" s="38"/>
      <c r="N18" s="492"/>
      <c r="O18" s="70">
        <f>SUMIFS(BP!J:J,BP!K:K,DFC!C13)</f>
        <v>0</v>
      </c>
      <c r="Q18" s="70">
        <f t="shared" ref="Q18:Q56" si="1">H18-O18</f>
        <v>376090.91</v>
      </c>
      <c r="S18" s="40"/>
      <c r="T18" s="283">
        <v>-13138407.439999999</v>
      </c>
      <c r="U18" s="40" t="s">
        <v>3355</v>
      </c>
      <c r="Z18" s="40"/>
    </row>
    <row r="19" spans="3:26" x14ac:dyDescent="0.3">
      <c r="D19" s="70" t="s">
        <v>4971</v>
      </c>
      <c r="E19" s="511">
        <f>'DMPL 2023_2024'!D47</f>
        <v>0</v>
      </c>
      <c r="F19" s="516">
        <f>'DMPL 2023_2024'!D38</f>
        <v>0</v>
      </c>
      <c r="G19" s="511">
        <f>'DMPL 2023_2024'!D29</f>
        <v>0</v>
      </c>
      <c r="H19" s="80">
        <f>DMPL!D32</f>
        <v>-15177736.26</v>
      </c>
      <c r="I19" s="70"/>
      <c r="J19" s="70"/>
      <c r="K19" s="71">
        <f t="shared" si="0"/>
        <v>0</v>
      </c>
      <c r="L19" s="38"/>
      <c r="N19" s="492"/>
      <c r="O19" s="70"/>
      <c r="Q19" s="70"/>
      <c r="S19" s="40" t="s">
        <v>3359</v>
      </c>
      <c r="T19" s="70">
        <v>-1351846.32</v>
      </c>
      <c r="U19" s="47">
        <f>+T22</f>
        <v>-17323206.559999999</v>
      </c>
      <c r="Z19" s="40"/>
    </row>
    <row r="20" spans="3:26" x14ac:dyDescent="0.3">
      <c r="D20" s="70" t="s">
        <v>2441</v>
      </c>
      <c r="E20" s="348">
        <f>'BP 2023_2024'!E44</f>
        <v>0</v>
      </c>
      <c r="F20" s="348">
        <f>'BP 2023_2024'!F44</f>
        <v>0</v>
      </c>
      <c r="G20" s="348">
        <f>'BP 2023_2024'!G44</f>
        <v>0</v>
      </c>
      <c r="H20" s="79">
        <f>BP!$J$41</f>
        <v>-13465360.65</v>
      </c>
      <c r="I20" s="276"/>
      <c r="J20" s="70">
        <f>SUM('BALANCETE 2021'!I507)</f>
        <v>13465360.65</v>
      </c>
      <c r="K20" s="71">
        <f t="shared" si="0"/>
        <v>0</v>
      </c>
      <c r="L20" s="38"/>
      <c r="N20" s="492"/>
      <c r="O20" s="70">
        <f>SUMIFS(BP!J:J,BP!K:K,DFC!C18)</f>
        <v>0</v>
      </c>
      <c r="Q20" s="70">
        <f>H20-O20</f>
        <v>-13465360.65</v>
      </c>
      <c r="S20" s="40"/>
      <c r="T20" s="283">
        <v>2098384.59</v>
      </c>
      <c r="U20" s="285" t="e">
        <f>-#REF!+U19</f>
        <v>#REF!</v>
      </c>
      <c r="V20" s="285" t="e">
        <f>U20-#REF!</f>
        <v>#REF!</v>
      </c>
      <c r="Z20" s="40"/>
    </row>
    <row r="21" spans="3:26" x14ac:dyDescent="0.3">
      <c r="D21" s="70" t="s">
        <v>2503</v>
      </c>
      <c r="E21" s="488">
        <v>0</v>
      </c>
      <c r="F21" s="348">
        <f>'DMPL 2023_2024'!E38</f>
        <v>-5098404.45</v>
      </c>
      <c r="G21" s="348">
        <f>'DMPL 2023_2024'!E29</f>
        <v>-5098404.45</v>
      </c>
      <c r="H21" s="81">
        <f>DMPL!E32</f>
        <v>3638625.42</v>
      </c>
      <c r="I21" s="70"/>
      <c r="J21" s="70">
        <v>18568448.399999999</v>
      </c>
      <c r="K21" s="71">
        <f t="shared" si="0"/>
        <v>0</v>
      </c>
      <c r="L21" s="38"/>
      <c r="N21" s="492"/>
      <c r="O21" s="70">
        <f>SUMIFS(BP!J:J,BP!K:K,DFC!C19)</f>
        <v>0</v>
      </c>
      <c r="Q21" s="70">
        <f>H21-O21</f>
        <v>3638625.42</v>
      </c>
      <c r="S21" s="40"/>
      <c r="T21" s="70"/>
      <c r="U21" s="285" t="e">
        <f>+U20-#REF!</f>
        <v>#REF!</v>
      </c>
      <c r="V21" s="285" t="e">
        <f>+V20-T15</f>
        <v>#REF!</v>
      </c>
      <c r="Z21" s="40"/>
    </row>
    <row r="22" spans="3:26" x14ac:dyDescent="0.3">
      <c r="D22" s="70" t="s">
        <v>2504</v>
      </c>
      <c r="E22" s="348">
        <v>0</v>
      </c>
      <c r="F22" s="348">
        <v>0</v>
      </c>
      <c r="G22" s="348">
        <v>0</v>
      </c>
      <c r="H22" s="195">
        <f>T38</f>
        <v>26534665.100000001</v>
      </c>
      <c r="I22" s="276"/>
      <c r="J22" s="70">
        <v>-13720126.17</v>
      </c>
      <c r="K22" s="71">
        <f t="shared" si="0"/>
        <v>0</v>
      </c>
      <c r="L22" s="38"/>
      <c r="N22" s="492"/>
      <c r="O22" s="70">
        <f>SUMIFS(BP!J:J,BP!K:K,DFC!C20)</f>
        <v>0</v>
      </c>
      <c r="Q22" s="70">
        <f t="shared" si="1"/>
        <v>26534665.100000001</v>
      </c>
      <c r="S22" s="40"/>
      <c r="T22" s="70">
        <f>H15</f>
        <v>-17323206.559999999</v>
      </c>
      <c r="U22" s="40" t="s">
        <v>3360</v>
      </c>
      <c r="Z22" s="40"/>
    </row>
    <row r="23" spans="3:26" x14ac:dyDescent="0.3">
      <c r="D23" s="70" t="s">
        <v>3338</v>
      </c>
      <c r="E23" s="348">
        <f>'BALANCETE 2024'!G630</f>
        <v>762306.03</v>
      </c>
      <c r="F23" s="348">
        <f>'Representado 2023'!M660</f>
        <v>2361532.64</v>
      </c>
      <c r="G23" s="348">
        <f>'BALANCETE 2023'!L589</f>
        <v>3785775.87</v>
      </c>
      <c r="H23" s="195">
        <f>T39</f>
        <v>6016200.1799999997</v>
      </c>
      <c r="I23" s="276"/>
      <c r="J23" s="70">
        <v>0</v>
      </c>
      <c r="K23" s="71">
        <f t="shared" si="0"/>
        <v>1424243.23</v>
      </c>
      <c r="L23" s="38"/>
      <c r="N23" s="492"/>
      <c r="O23" s="70"/>
      <c r="Q23" s="70"/>
      <c r="S23" s="40"/>
      <c r="T23" s="70"/>
      <c r="Z23" s="40"/>
    </row>
    <row r="24" spans="3:26" x14ac:dyDescent="0.3">
      <c r="C24" s="41" t="s">
        <v>4970</v>
      </c>
      <c r="E24" s="662">
        <f>SUM(E15:E23)</f>
        <v>4710083.0899999905</v>
      </c>
      <c r="F24" s="509">
        <f>SUM(F15:F23)</f>
        <v>-17315524.349999994</v>
      </c>
      <c r="G24" s="509">
        <f>SUM(G15:G23)</f>
        <v>-10681702.219999991</v>
      </c>
      <c r="H24" s="78">
        <f>SUM(H15:H23)</f>
        <v>-9400721.859999992</v>
      </c>
      <c r="I24" s="70"/>
      <c r="J24" s="78">
        <f>SUM(J15:J23)</f>
        <v>12635380.449999997</v>
      </c>
      <c r="K24" s="71">
        <f t="shared" si="0"/>
        <v>6633822.1300000027</v>
      </c>
      <c r="L24" s="38"/>
      <c r="N24" s="492"/>
      <c r="O24" s="71">
        <f>SUM(O15:O22)</f>
        <v>0</v>
      </c>
      <c r="Q24" s="71">
        <f t="shared" si="1"/>
        <v>-9400721.859999992</v>
      </c>
      <c r="S24" s="40"/>
      <c r="T24" s="70">
        <f>'Balancete 2022 DMPL (Zerado)'!$N$473</f>
        <v>-1413188.0199999996</v>
      </c>
      <c r="U24" s="40" t="s">
        <v>3335</v>
      </c>
      <c r="Z24" s="40"/>
    </row>
    <row r="25" spans="3:26" x14ac:dyDescent="0.3">
      <c r="C25" s="41"/>
      <c r="F25" s="40"/>
      <c r="G25" s="70"/>
      <c r="H25" s="79"/>
      <c r="I25" s="70"/>
      <c r="J25" s="70"/>
      <c r="K25" s="71">
        <f t="shared" si="0"/>
        <v>0</v>
      </c>
      <c r="L25" s="38"/>
      <c r="N25" s="492"/>
      <c r="O25" s="70"/>
      <c r="Q25" s="71"/>
      <c r="S25" s="40"/>
      <c r="T25" s="70" t="e">
        <f>'BALANCETE 2022'!#REF!</f>
        <v>#REF!</v>
      </c>
      <c r="U25" s="40" t="s">
        <v>3336</v>
      </c>
      <c r="V25" s="285">
        <f>+T20+T18+V15</f>
        <v>-13440553.459999999</v>
      </c>
      <c r="Z25" s="40"/>
    </row>
    <row r="26" spans="3:26" x14ac:dyDescent="0.3">
      <c r="C26" s="41" t="s">
        <v>5922</v>
      </c>
      <c r="E26" s="664">
        <f>SUM(E27:E32)</f>
        <v>-4310161.1500000041</v>
      </c>
      <c r="F26" s="78">
        <f>SUM(F27:F32)</f>
        <v>7600313.480000006</v>
      </c>
      <c r="G26" s="78">
        <f>SUM(G27:G32)</f>
        <v>-1455505.3100000015</v>
      </c>
      <c r="H26" s="78">
        <f>SUM(H27:H32)</f>
        <v>-4357426.9619999994</v>
      </c>
      <c r="I26" s="70"/>
      <c r="J26" s="71">
        <f>SUM(J27:J32)</f>
        <v>9350193.0519999973</v>
      </c>
      <c r="K26" s="71">
        <f t="shared" si="0"/>
        <v>-9055818.7900000066</v>
      </c>
      <c r="L26" s="38"/>
      <c r="N26" s="492"/>
      <c r="O26" s="71">
        <f>SUM(O27:O32)</f>
        <v>-4357426.9619999994</v>
      </c>
      <c r="Q26" s="71">
        <f t="shared" si="1"/>
        <v>0</v>
      </c>
      <c r="S26" s="40"/>
      <c r="T26" s="70"/>
      <c r="V26" s="47">
        <f>+T16</f>
        <v>-15177736.26</v>
      </c>
      <c r="Y26" s="492"/>
      <c r="Z26" s="40"/>
    </row>
    <row r="27" spans="3:26" x14ac:dyDescent="0.3">
      <c r="D27" s="40" t="s">
        <v>5923</v>
      </c>
      <c r="E27" s="348">
        <f>'BP 2023_2024'!L17</f>
        <v>-339287.95999999996</v>
      </c>
      <c r="F27" s="348">
        <f>'BP 2023_2024'!M17</f>
        <v>1850100.3800000001</v>
      </c>
      <c r="G27" s="70">
        <f>'BP 2023_2024'!N17</f>
        <v>1850100.3800000001</v>
      </c>
      <c r="H27" s="79">
        <f>BP!J16</f>
        <v>5707987.5999999996</v>
      </c>
      <c r="I27" s="276"/>
      <c r="J27" s="70">
        <f>SUM('BALANCETE 2021'!H30-'BALANCETE 2021'!G30)</f>
        <v>-2467860.0500000007</v>
      </c>
      <c r="K27" s="71">
        <f t="shared" si="0"/>
        <v>0</v>
      </c>
      <c r="L27" s="38"/>
      <c r="N27" s="492"/>
      <c r="O27" s="70">
        <f>SUMIFS(BP!J:J,BP!K:K,DFC!C25)</f>
        <v>5707987.5999999996</v>
      </c>
      <c r="Q27" s="71">
        <f t="shared" si="1"/>
        <v>0</v>
      </c>
      <c r="S27" s="40"/>
      <c r="T27" s="70">
        <f>+T22+T19+T16+S15</f>
        <v>-32916195.370000001</v>
      </c>
      <c r="Z27" s="40"/>
    </row>
    <row r="28" spans="3:26" x14ac:dyDescent="0.3">
      <c r="D28" s="40" t="s">
        <v>5934</v>
      </c>
      <c r="E28" s="488">
        <f>'BP 2023_2024'!L18</f>
        <v>-758609.48999999953</v>
      </c>
      <c r="F28" s="70">
        <f>'BP 2023_2024'!M18</f>
        <v>2036477.9899999995</v>
      </c>
      <c r="G28" s="70">
        <f>'BP 2023_2024'!N18</f>
        <v>-7019718.3399999999</v>
      </c>
      <c r="H28" s="79">
        <f>BP!J17</f>
        <v>-1062196.77</v>
      </c>
      <c r="I28" s="276"/>
      <c r="J28" s="70">
        <f>SUM('BALANCETE 2021'!H168-'BALANCETE 2021'!G168)</f>
        <v>840414.39999999991</v>
      </c>
      <c r="K28" s="71">
        <f t="shared" si="0"/>
        <v>-9056196.3300000001</v>
      </c>
      <c r="L28" s="38"/>
      <c r="N28" s="492"/>
      <c r="O28" s="70">
        <f>SUMIFS(BP!J:J,BP!K:K,DFC!C26)</f>
        <v>-1062196.77</v>
      </c>
      <c r="Q28" s="71">
        <f t="shared" si="1"/>
        <v>0</v>
      </c>
      <c r="S28" s="40"/>
      <c r="T28" s="70"/>
      <c r="Z28" s="40"/>
    </row>
    <row r="29" spans="3:26" x14ac:dyDescent="0.3">
      <c r="D29" s="40" t="s">
        <v>5924</v>
      </c>
      <c r="E29" s="488">
        <f>'BP 2023_2024'!L19</f>
        <v>282738.58</v>
      </c>
      <c r="F29" s="70">
        <f>'BP 2023_2024'!M19</f>
        <v>-184689.58</v>
      </c>
      <c r="G29" s="70">
        <f>'BP 2023_2024'!N19</f>
        <v>-184689.58</v>
      </c>
      <c r="H29" s="81">
        <f>BP!J18</f>
        <v>387500.99</v>
      </c>
      <c r="I29" s="276"/>
      <c r="J29" s="70">
        <v>12447045.789999999</v>
      </c>
      <c r="K29" s="71">
        <f t="shared" si="0"/>
        <v>0</v>
      </c>
      <c r="L29" s="38"/>
      <c r="N29" s="492"/>
      <c r="O29" s="70">
        <f>SUMIFS(BP!J:J,BP!K:K,DFC!C27)</f>
        <v>387500.99</v>
      </c>
      <c r="Q29" s="71">
        <f t="shared" si="1"/>
        <v>0</v>
      </c>
      <c r="S29" s="40"/>
      <c r="T29" s="70">
        <v>1539595.85</v>
      </c>
      <c r="Z29" s="40"/>
    </row>
    <row r="30" spans="3:26" x14ac:dyDescent="0.3">
      <c r="D30" s="40" t="s">
        <v>5925</v>
      </c>
      <c r="E30" s="348">
        <f>'BP 2023_2024'!L21</f>
        <v>50283.770000000019</v>
      </c>
      <c r="F30" s="70">
        <f>'BP 2023_2024'!M21</f>
        <v>3330825.25</v>
      </c>
      <c r="G30" s="70">
        <f>'BP 2023_2024'!N21</f>
        <v>3330825.25</v>
      </c>
      <c r="H30" s="81">
        <f>BP!J20</f>
        <v>-2049492.5700000003</v>
      </c>
      <c r="I30" s="276"/>
      <c r="J30" s="70">
        <v>208591.79</v>
      </c>
      <c r="K30" s="71">
        <f t="shared" si="0"/>
        <v>0</v>
      </c>
      <c r="L30" s="38"/>
      <c r="N30" s="492"/>
      <c r="O30" s="70">
        <f>SUMIFS(BP!J:J,BP!K:K,DFC!C28)</f>
        <v>-2049492.5700000003</v>
      </c>
      <c r="Q30" s="71">
        <f t="shared" si="1"/>
        <v>0</v>
      </c>
      <c r="S30" s="40"/>
      <c r="T30" s="70">
        <f>+T19-T29</f>
        <v>-2891442.17</v>
      </c>
      <c r="Z30" s="40"/>
    </row>
    <row r="31" spans="3:26" x14ac:dyDescent="0.3">
      <c r="D31" s="40" t="s">
        <v>5926</v>
      </c>
      <c r="E31" s="488">
        <f>'BP 2023_2024'!L20</f>
        <v>-2189515.9099999992</v>
      </c>
      <c r="F31" s="70">
        <f>'BP 2023_2024'!M20</f>
        <v>5577434.0499999998</v>
      </c>
      <c r="G31" s="70">
        <f>'BP 2023_2024'!N20</f>
        <v>5635112.4500000002</v>
      </c>
      <c r="H31" s="79">
        <f>BP!J19</f>
        <v>-6105422.2119999994</v>
      </c>
      <c r="I31" s="276"/>
      <c r="J31" s="70">
        <f>SUM('BALANCETE 2021'!E187-'BALANCETE 2021'!I187+'BALANCETE 2021'!E201-'BALANCETE 2021'!I201+'BALANCETE 2021'!E204-'BALANCETE 2021'!I204+'BALANCETE 2021'!E208-'BALANCETE 2021'!I208)+0.01</f>
        <v>-1552387.5180000002</v>
      </c>
      <c r="K31" s="71">
        <f t="shared" si="0"/>
        <v>57678.400000000373</v>
      </c>
      <c r="L31" s="38"/>
      <c r="N31" s="492"/>
      <c r="O31" s="70">
        <f>SUMIFS(BP!J:J,BP!K:K,DFC!C29)</f>
        <v>-6105422.2119999994</v>
      </c>
      <c r="Q31" s="71">
        <f t="shared" si="1"/>
        <v>0</v>
      </c>
      <c r="S31" s="40"/>
      <c r="T31" s="70"/>
      <c r="Z31" s="40"/>
    </row>
    <row r="32" spans="3:26" x14ac:dyDescent="0.3">
      <c r="D32" s="40" t="s">
        <v>5927</v>
      </c>
      <c r="E32" s="663">
        <f>'BP 2023_2024'!L24+'BP 2023_2024'!L25+'BP 2023_2024'!L26+'BP 2023_2024'!L27-'DFC 2023_2024'!E18-E23-E47</f>
        <v>-1355770.1400000057</v>
      </c>
      <c r="F32" s="70">
        <f>'BP 2023_2024'!M24+'BP 2023_2024'!M25+'BP 2023_2024'!M26+'BP 2023_2024'!M27-'DFC 2023_2024'!F18-'DFC 2023_2024'!F23-'DFC 2023_2024'!F47</f>
        <v>-5009834.6099999938</v>
      </c>
      <c r="G32" s="70">
        <f>'BP 2023_2024'!N24+'BP 2023_2024'!N25+'BP 2023_2024'!N26+'BP 2023_2024'!I27-'DFC 2023_2024'!G18-G23-G47</f>
        <v>-5067135.4700000016</v>
      </c>
      <c r="H32" s="79">
        <f>BP!J23</f>
        <v>-1235804</v>
      </c>
      <c r="I32" s="276"/>
      <c r="J32" s="70">
        <f>SUM('BALANCETE 2021'!H220-'BALANCETE 2021'!G220)</f>
        <v>-125611.35999999999</v>
      </c>
      <c r="K32" s="71">
        <f t="shared" si="0"/>
        <v>-57300.860000007786</v>
      </c>
      <c r="L32" s="38"/>
      <c r="N32" s="492"/>
      <c r="O32" s="70">
        <f>SUMIFS(BP!J:J,BP!K:K,DFC!C31)</f>
        <v>-1235804</v>
      </c>
      <c r="Q32" s="71">
        <f t="shared" si="1"/>
        <v>0</v>
      </c>
      <c r="S32" s="40"/>
      <c r="T32" s="70"/>
      <c r="Z32" s="40"/>
    </row>
    <row r="33" spans="2:26" x14ac:dyDescent="0.3">
      <c r="F33" s="40"/>
      <c r="G33" s="70"/>
      <c r="H33" s="79"/>
      <c r="I33" s="276"/>
      <c r="J33" s="70"/>
      <c r="K33" s="71">
        <f t="shared" si="0"/>
        <v>0</v>
      </c>
      <c r="L33" s="38"/>
      <c r="N33" s="492"/>
      <c r="O33" s="70"/>
      <c r="Q33" s="71"/>
      <c r="S33" s="40"/>
      <c r="T33" s="70"/>
      <c r="Z33" s="40"/>
    </row>
    <row r="34" spans="2:26" x14ac:dyDescent="0.3">
      <c r="F34" s="40"/>
      <c r="G34" s="70"/>
      <c r="H34" s="79"/>
      <c r="I34" s="70"/>
      <c r="J34" s="70"/>
      <c r="K34" s="71">
        <f t="shared" si="0"/>
        <v>0</v>
      </c>
      <c r="L34" s="38"/>
      <c r="N34" s="492"/>
      <c r="O34" s="70"/>
      <c r="Q34" s="71"/>
      <c r="S34" s="40"/>
      <c r="T34" s="70"/>
      <c r="Z34" s="40"/>
    </row>
    <row r="35" spans="2:26" x14ac:dyDescent="0.3">
      <c r="C35" s="41" t="s">
        <v>5928</v>
      </c>
      <c r="D35" s="72"/>
      <c r="E35" s="664">
        <f>SUM(E36:E41)</f>
        <v>5933080.3199999928</v>
      </c>
      <c r="F35" s="78">
        <f>SUM(F36:F41)</f>
        <v>9786749.8500000015</v>
      </c>
      <c r="G35" s="78">
        <f>SUM(G36:G41)</f>
        <v>12208746.510000002</v>
      </c>
      <c r="H35" s="78">
        <f>SUM(H36:H41)</f>
        <v>9724606.1000000034</v>
      </c>
      <c r="I35" s="70"/>
      <c r="J35" s="71">
        <f>SUM(J36:J41)</f>
        <v>3524739.8099999982</v>
      </c>
      <c r="K35" s="71">
        <f t="shared" si="0"/>
        <v>2421996.66</v>
      </c>
      <c r="L35" s="38"/>
      <c r="N35" s="492"/>
      <c r="O35" s="71">
        <f>SUM(O36:O41)</f>
        <v>9724606.1000000034</v>
      </c>
      <c r="Q35" s="71">
        <f t="shared" si="1"/>
        <v>0</v>
      </c>
      <c r="S35" s="40"/>
      <c r="T35" s="200">
        <f>-BP!$J$25</f>
        <v>-32917878.189999998</v>
      </c>
      <c r="U35" s="196" t="s">
        <v>3333</v>
      </c>
      <c r="Z35" s="40"/>
    </row>
    <row r="36" spans="2:26" x14ac:dyDescent="0.3">
      <c r="D36" s="40" t="s">
        <v>5929</v>
      </c>
      <c r="E36" s="663">
        <f>'BP 2023_2024'!L34+'BP 2023_2024'!L38</f>
        <v>43099317.299999997</v>
      </c>
      <c r="F36" s="70">
        <f>'BP 2023_2024'!M34+'BP 2023_2024'!M38</f>
        <v>-11143553.030000001</v>
      </c>
      <c r="G36" s="70">
        <f>'BP 2023_2024'!N34+'BP 2023_2024'!N38</f>
        <v>-8725850.660000002</v>
      </c>
      <c r="H36" s="82">
        <f>BP!J31+BP!J35</f>
        <v>-491637.4300000011</v>
      </c>
      <c r="I36" s="276"/>
      <c r="J36" s="70">
        <v>10051358.189999999</v>
      </c>
      <c r="K36" s="71">
        <f t="shared" si="0"/>
        <v>2417702.3699999992</v>
      </c>
      <c r="L36" s="38"/>
      <c r="N36" s="492"/>
      <c r="O36" s="70">
        <f>SUMIFS(BP!J:J,BP!K:K,DFC!C34)</f>
        <v>-491637.4300000011</v>
      </c>
      <c r="Q36" s="71">
        <f t="shared" si="1"/>
        <v>0</v>
      </c>
      <c r="S36" s="40"/>
      <c r="T36" s="201">
        <f>H18</f>
        <v>376090.91</v>
      </c>
      <c r="U36" s="197" t="s">
        <v>2097</v>
      </c>
      <c r="V36" s="179">
        <f>SUM(T35,T36)</f>
        <v>-32541787.279999997</v>
      </c>
      <c r="Z36" s="40"/>
    </row>
    <row r="37" spans="2:26" hidden="1" x14ac:dyDescent="0.3">
      <c r="D37" s="40" t="s">
        <v>2509</v>
      </c>
      <c r="E37" s="70"/>
      <c r="F37" s="70"/>
      <c r="G37" s="70"/>
      <c r="H37" s="81"/>
      <c r="I37" s="70"/>
      <c r="J37" s="70"/>
      <c r="K37" s="71">
        <f t="shared" si="0"/>
        <v>0</v>
      </c>
      <c r="L37" s="38"/>
      <c r="N37" s="492"/>
      <c r="O37" s="70">
        <f>SUMIFS(BP!J:J,BP!K:K,DFC!C35)</f>
        <v>0</v>
      </c>
      <c r="Q37" s="71">
        <f t="shared" si="1"/>
        <v>0</v>
      </c>
      <c r="S37" s="40"/>
      <c r="T37" s="70"/>
      <c r="Z37" s="40"/>
    </row>
    <row r="38" spans="2:26" x14ac:dyDescent="0.3">
      <c r="D38" s="40" t="s">
        <v>5930</v>
      </c>
      <c r="E38" s="70">
        <f>'BP 2023_2024'!L35</f>
        <v>1987305.120000001</v>
      </c>
      <c r="F38" s="70">
        <f>'BP 2023_2024'!M35</f>
        <v>5902965.0499999998</v>
      </c>
      <c r="G38" s="70">
        <f>'BP 2023_2024'!N35</f>
        <v>5902965.0499999998</v>
      </c>
      <c r="H38" s="81">
        <f>BP!J32</f>
        <v>56741.800000000163</v>
      </c>
      <c r="I38" s="276"/>
      <c r="J38" s="70">
        <v>-714527.8</v>
      </c>
      <c r="K38" s="71">
        <f t="shared" si="0"/>
        <v>0</v>
      </c>
      <c r="N38" s="492"/>
      <c r="O38" s="70">
        <f>SUMIFS(BP!J:J,BP!K:K,DFC!C36)</f>
        <v>56741.800000000163</v>
      </c>
      <c r="Q38" s="71">
        <f t="shared" si="1"/>
        <v>0</v>
      </c>
      <c r="S38" s="40"/>
      <c r="T38" s="202">
        <v>26534665.100000001</v>
      </c>
      <c r="U38" s="198" t="s">
        <v>2504</v>
      </c>
      <c r="V38" s="44" t="s">
        <v>3341</v>
      </c>
      <c r="Z38" s="40"/>
    </row>
    <row r="39" spans="2:26" x14ac:dyDescent="0.3">
      <c r="D39" s="40" t="s">
        <v>5931</v>
      </c>
      <c r="E39" s="663">
        <f>'BP 2023_2024'!L36</f>
        <v>-131378.89000000001</v>
      </c>
      <c r="F39" s="70">
        <f>'BP 2023_2024'!M36</f>
        <v>-141945.42000000004</v>
      </c>
      <c r="G39" s="70">
        <f>'BP 2023_2024'!N36</f>
        <v>-137651.13000000012</v>
      </c>
      <c r="H39" s="79">
        <f>BP!J33</f>
        <v>243988.96000000008</v>
      </c>
      <c r="I39" s="276"/>
      <c r="J39" s="70">
        <f>SUM('BALANCETE 2021'!H441-'BALANCETE 2021'!G441)</f>
        <v>-2020917.4000000004</v>
      </c>
      <c r="K39" s="71">
        <f t="shared" si="0"/>
        <v>4294.2899999999208</v>
      </c>
      <c r="N39" s="492"/>
      <c r="O39" s="70">
        <f>SUMIFS(BP!J:J,BP!K:K,DFC!C37)</f>
        <v>243988.96000000008</v>
      </c>
      <c r="Q39" s="71">
        <f t="shared" si="1"/>
        <v>0</v>
      </c>
      <c r="S39" s="40"/>
      <c r="T39" s="201">
        <v>6016200.1799999997</v>
      </c>
      <c r="U39" s="197" t="s">
        <v>3338</v>
      </c>
      <c r="V39" s="208">
        <f>SUM(T38,T39)</f>
        <v>32550865.280000001</v>
      </c>
      <c r="Z39" s="40"/>
    </row>
    <row r="40" spans="2:26" x14ac:dyDescent="0.3">
      <c r="D40" s="40" t="s">
        <v>5932</v>
      </c>
      <c r="E40" s="70">
        <f>'BP 2023_2024'!L37</f>
        <v>-2349335.6999999997</v>
      </c>
      <c r="F40" s="70">
        <f>'BP 2023_2024'!M37</f>
        <v>-2774115.5200000005</v>
      </c>
      <c r="G40" s="70">
        <f>'BP 2023_2024'!N37</f>
        <v>-2774115.5200000005</v>
      </c>
      <c r="H40" s="79">
        <f>BP!J34</f>
        <v>2795183.63</v>
      </c>
      <c r="I40" s="276"/>
      <c r="J40" s="70">
        <f>SUM(-'BALANCETE 2021'!G462)</f>
        <v>-29237</v>
      </c>
      <c r="K40" s="71">
        <f t="shared" si="0"/>
        <v>0</v>
      </c>
      <c r="N40" s="492"/>
      <c r="O40" s="70">
        <f>SUMIFS(BP!J:J,BP!K:K,DFC!C38)</f>
        <v>2795183.63</v>
      </c>
      <c r="Q40" s="71">
        <f t="shared" si="1"/>
        <v>0</v>
      </c>
      <c r="S40" s="40"/>
      <c r="T40" s="205">
        <v>-9078</v>
      </c>
      <c r="U40" s="206" t="s">
        <v>3339</v>
      </c>
      <c r="V40" s="179">
        <f>SUM(V36,V39)</f>
        <v>9078.0000000037253</v>
      </c>
      <c r="Z40" s="40"/>
    </row>
    <row r="41" spans="2:26" x14ac:dyDescent="0.3">
      <c r="D41" s="40" t="s">
        <v>5933</v>
      </c>
      <c r="E41" s="70">
        <f>'BP 2023_2024'!L41+'BP 2023_2024'!L42+'BP 2023_2024'!L43</f>
        <v>-36672827.510000005</v>
      </c>
      <c r="F41" s="70">
        <f>'BP 2023_2024'!M41+'BP 2023_2024'!M42+'BP 2023_2024'!M43</f>
        <v>17943398.770000003</v>
      </c>
      <c r="G41" s="70">
        <f>'BP 2023_2024'!N41+'BP 2023_2024'!N42+'BP 2023_2024'!N43</f>
        <v>17943398.770000003</v>
      </c>
      <c r="H41" s="81">
        <f>BP!J38+BP!J39+BP!J40</f>
        <v>7120329.1400000043</v>
      </c>
      <c r="I41" s="276"/>
      <c r="J41" s="70">
        <v>-3761936.18</v>
      </c>
      <c r="K41" s="71">
        <f t="shared" si="0"/>
        <v>0</v>
      </c>
      <c r="N41" s="492"/>
      <c r="O41" s="70">
        <f>SUMIFS(BP!J:J,BP!K:K,DFC!C39)</f>
        <v>7120329.1400000043</v>
      </c>
      <c r="Q41" s="71">
        <f t="shared" si="1"/>
        <v>0</v>
      </c>
      <c r="S41" s="40"/>
      <c r="T41" s="207">
        <f>SUM(T35:T40)</f>
        <v>3.7252902984619141E-9</v>
      </c>
      <c r="Z41" s="40"/>
    </row>
    <row r="42" spans="2:26" x14ac:dyDescent="0.3">
      <c r="F42" s="40"/>
      <c r="G42" s="70"/>
      <c r="H42" s="79"/>
      <c r="I42" s="70"/>
      <c r="J42" s="70"/>
      <c r="K42" s="71">
        <f t="shared" si="0"/>
        <v>0</v>
      </c>
      <c r="L42" s="38"/>
      <c r="N42" s="492"/>
      <c r="O42" s="70"/>
      <c r="Q42" s="71"/>
      <c r="S42" s="40"/>
      <c r="T42" s="207"/>
      <c r="Z42" s="40"/>
    </row>
    <row r="43" spans="2:26" x14ac:dyDescent="0.3">
      <c r="C43" s="41" t="s">
        <v>5936</v>
      </c>
      <c r="E43" s="78">
        <f>SUM(E24+E26+E35)</f>
        <v>6333002.2599999793</v>
      </c>
      <c r="F43" s="78">
        <f>SUM(F24+F26+F35)</f>
        <v>71538.980000013486</v>
      </c>
      <c r="G43" s="78">
        <f>SUM(G24+G26+G35)</f>
        <v>71538.980000007898</v>
      </c>
      <c r="H43" s="78">
        <f>SUM(H24+H26+H35)</f>
        <v>-4033542.721999988</v>
      </c>
      <c r="I43" s="70"/>
      <c r="J43" s="71">
        <f>SUM(J24+J26+J35)</f>
        <v>25510313.311999995</v>
      </c>
      <c r="K43" s="71">
        <f t="shared" si="0"/>
        <v>-5.5879354476928711E-9</v>
      </c>
      <c r="L43" s="38"/>
      <c r="N43" s="492"/>
      <c r="O43" s="71">
        <f>SUM(O24+O26+O35)</f>
        <v>5367179.138000004</v>
      </c>
      <c r="Q43" s="71">
        <f t="shared" si="1"/>
        <v>-9400721.859999992</v>
      </c>
      <c r="S43" s="40"/>
      <c r="T43" s="70"/>
      <c r="Z43" s="40"/>
    </row>
    <row r="44" spans="2:26" hidden="1" x14ac:dyDescent="0.3">
      <c r="D44" s="70" t="s">
        <v>2511</v>
      </c>
      <c r="E44" s="70"/>
      <c r="F44" s="70"/>
      <c r="G44" s="70"/>
      <c r="H44" s="79"/>
      <c r="I44" s="70"/>
      <c r="J44" s="70"/>
      <c r="K44" s="71">
        <f t="shared" si="0"/>
        <v>0</v>
      </c>
      <c r="L44" s="38"/>
      <c r="N44" s="492"/>
      <c r="O44" s="70">
        <f>SUMIFS(BP!J:J,BP!K:K,DFC!C42)</f>
        <v>0</v>
      </c>
      <c r="Q44" s="71">
        <f t="shared" si="1"/>
        <v>0</v>
      </c>
      <c r="S44" s="40"/>
      <c r="T44" s="70"/>
      <c r="Z44" s="40"/>
    </row>
    <row r="45" spans="2:26" x14ac:dyDescent="0.3">
      <c r="C45" s="43" t="s">
        <v>2513</v>
      </c>
      <c r="E45" s="78">
        <f>SUM(E43:E44)</f>
        <v>6333002.2599999793</v>
      </c>
      <c r="F45" s="78">
        <f>SUM(F43:F44)</f>
        <v>71538.980000013486</v>
      </c>
      <c r="G45" s="78">
        <f>SUM(G43:G44)</f>
        <v>71538.980000007898</v>
      </c>
      <c r="H45" s="78">
        <f>SUM(H43:H44)</f>
        <v>-4033542.721999988</v>
      </c>
      <c r="I45" s="70"/>
      <c r="J45" s="71">
        <f>SUM(J43:J44)</f>
        <v>25510313.311999995</v>
      </c>
      <c r="K45" s="71">
        <f t="shared" si="0"/>
        <v>-5.5879354476928711E-9</v>
      </c>
      <c r="L45" s="38"/>
      <c r="N45" s="492"/>
      <c r="O45" s="71">
        <f>SUM(O43:O44)</f>
        <v>5367179.138000004</v>
      </c>
      <c r="Q45" s="71">
        <f t="shared" si="1"/>
        <v>-9400721.859999992</v>
      </c>
      <c r="S45" s="40"/>
      <c r="T45" s="201">
        <f>G18</f>
        <v>522372.55000000005</v>
      </c>
      <c r="U45" s="197" t="s">
        <v>2097</v>
      </c>
      <c r="V45" s="179" t="e">
        <f>SUM(#REF!,T45)</f>
        <v>#REF!</v>
      </c>
      <c r="Z45" s="40"/>
    </row>
    <row r="46" spans="2:26" x14ac:dyDescent="0.3">
      <c r="C46" s="41"/>
      <c r="F46" s="40"/>
      <c r="G46" s="70"/>
      <c r="H46" s="79"/>
      <c r="I46" s="70"/>
      <c r="J46" s="70"/>
      <c r="K46" s="71">
        <f t="shared" si="0"/>
        <v>0</v>
      </c>
      <c r="L46" s="38"/>
      <c r="N46" s="492"/>
      <c r="O46" s="70"/>
      <c r="Q46" s="71"/>
      <c r="S46" s="40"/>
      <c r="T46" s="70"/>
      <c r="Z46" s="40"/>
    </row>
    <row r="47" spans="2:26" x14ac:dyDescent="0.3">
      <c r="B47" s="41" t="s">
        <v>2514</v>
      </c>
      <c r="E47" s="78">
        <f>SUM(E48:E48)</f>
        <v>197084.99000000002</v>
      </c>
      <c r="F47" s="78">
        <f>SUM(F48:F48)</f>
        <v>176530</v>
      </c>
      <c r="G47" s="78">
        <f>SUM(G48:G48)</f>
        <v>176530</v>
      </c>
      <c r="H47" s="78">
        <f>SUM(H48:H48)</f>
        <v>-9078.0000000074506</v>
      </c>
      <c r="I47" s="71"/>
      <c r="J47" s="71">
        <f>SUM(J48:J48)</f>
        <v>0</v>
      </c>
      <c r="K47" s="71">
        <f t="shared" si="0"/>
        <v>0</v>
      </c>
      <c r="L47" s="38"/>
      <c r="N47" s="492"/>
      <c r="O47" s="71"/>
      <c r="Q47" s="71">
        <f t="shared" si="1"/>
        <v>-9078.0000000074506</v>
      </c>
      <c r="S47" s="40"/>
      <c r="T47" s="202"/>
      <c r="U47" s="198" t="s">
        <v>2504</v>
      </c>
      <c r="V47" s="44" t="s">
        <v>3341</v>
      </c>
      <c r="Z47" s="40"/>
    </row>
    <row r="48" spans="2:26" x14ac:dyDescent="0.3">
      <c r="D48" s="40" t="s">
        <v>3339</v>
      </c>
      <c r="E48" s="179">
        <f>'BALANCETE 2024'!K11</f>
        <v>197084.99000000002</v>
      </c>
      <c r="F48" s="70">
        <v>176530</v>
      </c>
      <c r="G48" s="70">
        <f>'BALANCETE 2023'!J231+'BALANCETE 2023'!J202</f>
        <v>176530</v>
      </c>
      <c r="H48" s="195">
        <v>-9078.0000000074506</v>
      </c>
      <c r="I48" s="276"/>
      <c r="J48" s="70">
        <v>0</v>
      </c>
      <c r="K48" s="71">
        <f t="shared" si="0"/>
        <v>0</v>
      </c>
      <c r="L48" s="211"/>
      <c r="N48" s="492"/>
      <c r="O48" s="70">
        <f>SUMIFS(BP!J:J,BP!K:K,DFC!C52)</f>
        <v>0</v>
      </c>
      <c r="Q48" s="70">
        <f t="shared" si="1"/>
        <v>-9078.0000000074506</v>
      </c>
      <c r="S48" s="40"/>
      <c r="T48" s="70"/>
      <c r="Z48" s="40"/>
    </row>
    <row r="49" spans="2:26" x14ac:dyDescent="0.3">
      <c r="F49" s="40"/>
      <c r="G49" s="70"/>
      <c r="H49" s="79"/>
      <c r="I49" s="70"/>
      <c r="J49" s="70"/>
      <c r="K49" s="71">
        <f t="shared" si="0"/>
        <v>0</v>
      </c>
      <c r="L49" s="38"/>
      <c r="N49" s="492"/>
      <c r="O49" s="70"/>
      <c r="Q49" s="71"/>
      <c r="S49" s="40"/>
      <c r="T49" s="70"/>
      <c r="Z49" s="40"/>
    </row>
    <row r="50" spans="2:26" x14ac:dyDescent="0.3">
      <c r="B50" s="41" t="s">
        <v>2518</v>
      </c>
      <c r="E50" s="492">
        <v>0</v>
      </c>
      <c r="F50" s="492">
        <v>0</v>
      </c>
      <c r="G50" s="70">
        <v>0</v>
      </c>
      <c r="H50" s="78">
        <f>H51</f>
        <v>0</v>
      </c>
      <c r="I50" s="71"/>
      <c r="J50" s="71" t="e">
        <f>SUM(#REF!)</f>
        <v>#REF!</v>
      </c>
      <c r="K50" s="71">
        <f t="shared" si="0"/>
        <v>0</v>
      </c>
      <c r="L50" s="38"/>
      <c r="N50" s="492"/>
      <c r="O50" s="78">
        <f>O51</f>
        <v>0</v>
      </c>
      <c r="Q50" s="71">
        <f t="shared" si="1"/>
        <v>0</v>
      </c>
      <c r="S50" s="40"/>
      <c r="T50" s="70"/>
      <c r="Z50" s="40"/>
    </row>
    <row r="51" spans="2:26" s="41" customFormat="1" x14ac:dyDescent="0.3">
      <c r="B51" s="40"/>
      <c r="C51" s="40" t="s">
        <v>2524</v>
      </c>
      <c r="D51" s="40"/>
      <c r="E51" s="492">
        <v>0</v>
      </c>
      <c r="F51" s="492">
        <v>0</v>
      </c>
      <c r="G51" s="70">
        <v>0</v>
      </c>
      <c r="H51" s="78">
        <v>0</v>
      </c>
      <c r="I51" s="70"/>
      <c r="J51" s="71">
        <v>0</v>
      </c>
      <c r="K51" s="71">
        <f t="shared" si="0"/>
        <v>0</v>
      </c>
      <c r="L51" s="38"/>
      <c r="N51" s="497"/>
      <c r="O51" s="70">
        <f>SUMIFS(BP!J:J,BP!K:K,DFC!C60)</f>
        <v>0</v>
      </c>
      <c r="Q51" s="71">
        <f t="shared" si="1"/>
        <v>0</v>
      </c>
      <c r="T51" s="71"/>
    </row>
    <row r="52" spans="2:26" x14ac:dyDescent="0.3">
      <c r="C52" s="43"/>
      <c r="F52" s="40"/>
      <c r="G52" s="70"/>
      <c r="H52" s="79"/>
      <c r="I52" s="70"/>
      <c r="J52" s="70"/>
      <c r="K52" s="71">
        <f t="shared" si="0"/>
        <v>0</v>
      </c>
      <c r="L52" s="38"/>
      <c r="N52" s="492"/>
      <c r="O52" s="70"/>
      <c r="Q52" s="71"/>
      <c r="S52" s="40"/>
      <c r="T52" s="70"/>
      <c r="Z52" s="40"/>
    </row>
    <row r="53" spans="2:26" x14ac:dyDescent="0.3">
      <c r="B53" s="41" t="s">
        <v>2525</v>
      </c>
      <c r="C53" s="43"/>
      <c r="D53" s="41"/>
      <c r="E53" s="78">
        <f>SUM(E45+E50)+E47</f>
        <v>6530087.2499999795</v>
      </c>
      <c r="F53" s="78">
        <f>SUM(F45+F50)+F47</f>
        <v>248068.98000001349</v>
      </c>
      <c r="G53" s="78">
        <f>SUM(G45+G50)+G47</f>
        <v>248068.9800000079</v>
      </c>
      <c r="H53" s="78">
        <f>SUM(H45+H50)+H47</f>
        <v>-4042620.7219999954</v>
      </c>
      <c r="I53" s="71"/>
      <c r="J53" s="71">
        <f>SUM(J45+J47)</f>
        <v>25510313.311999995</v>
      </c>
      <c r="K53" s="71">
        <f t="shared" si="0"/>
        <v>-5.5879354476928711E-9</v>
      </c>
      <c r="L53" s="38"/>
      <c r="O53" s="71">
        <f>SUM(O45+O50)</f>
        <v>5367179.138000004</v>
      </c>
      <c r="Q53" s="71">
        <f t="shared" si="1"/>
        <v>-9409799.8599999994</v>
      </c>
      <c r="S53" s="40"/>
      <c r="T53" s="70"/>
      <c r="Z53" s="40"/>
    </row>
    <row r="54" spans="2:26" x14ac:dyDescent="0.3">
      <c r="C54" s="40" t="s">
        <v>2400</v>
      </c>
      <c r="E54" s="179">
        <f>'BALANCETE 2024'!D6</f>
        <v>3109267.35</v>
      </c>
      <c r="F54" s="70">
        <f>'Representado 2023'!I14</f>
        <v>2861198.37</v>
      </c>
      <c r="G54" s="70">
        <f>'BALANCETE 2023'!I14</f>
        <v>2861198.37</v>
      </c>
      <c r="H54" s="79">
        <f>SUM('BALANCETE 2022'!C14)</f>
        <v>6903819.0899999999</v>
      </c>
      <c r="I54" s="276"/>
      <c r="J54" s="70">
        <f>SUM('BALANCETE 2021'!E12)</f>
        <v>10042027.689999999</v>
      </c>
      <c r="K54" s="71">
        <f t="shared" si="0"/>
        <v>0</v>
      </c>
      <c r="L54" s="38"/>
      <c r="O54" s="70">
        <f>SUMIFS(BP!J:J,BP!K:K,DFC!A65)</f>
        <v>6903819.0899999999</v>
      </c>
      <c r="Q54" s="70">
        <f t="shared" si="1"/>
        <v>0</v>
      </c>
      <c r="S54" s="40"/>
      <c r="T54" s="70"/>
      <c r="Z54" s="40"/>
    </row>
    <row r="55" spans="2:26" x14ac:dyDescent="0.3">
      <c r="C55" s="40" t="s">
        <v>2402</v>
      </c>
      <c r="E55" s="179">
        <f>'BALANCETE 2024'!G6</f>
        <v>9639354.5999999996</v>
      </c>
      <c r="F55" s="70">
        <f>'Representado 2023'!M14</f>
        <v>3109267.35</v>
      </c>
      <c r="G55" s="70">
        <f>'BALANCETE 2023'!L14</f>
        <v>3109267.35</v>
      </c>
      <c r="H55" s="79">
        <f>SUM('BALANCETE 2022'!F14)</f>
        <v>2861198.37</v>
      </c>
      <c r="I55" s="276"/>
      <c r="J55" s="70">
        <f>SUM('BALANCETE 2021'!I12)</f>
        <v>6903819.0899999999</v>
      </c>
      <c r="K55" s="71">
        <f t="shared" si="0"/>
        <v>0</v>
      </c>
      <c r="L55" s="38"/>
      <c r="O55" s="70">
        <f>SUMIFS(BP!J:J,BP!K:K,DFC!A66)</f>
        <v>2861198.37</v>
      </c>
      <c r="Q55" s="70">
        <f t="shared" si="1"/>
        <v>0</v>
      </c>
      <c r="S55" s="40"/>
      <c r="T55" s="70"/>
      <c r="Z55" s="40"/>
    </row>
    <row r="56" spans="2:26" x14ac:dyDescent="0.3">
      <c r="B56" s="41" t="s">
        <v>2525</v>
      </c>
      <c r="E56" s="78">
        <f>SUM(E55-E54)</f>
        <v>6530087.25</v>
      </c>
      <c r="F56" s="78">
        <f>SUM(F55-F54)</f>
        <v>248068.97999999998</v>
      </c>
      <c r="G56" s="78">
        <f>SUM(G55-G54)</f>
        <v>248068.97999999998</v>
      </c>
      <c r="H56" s="78">
        <f>SUM(H55-H54)</f>
        <v>-4042620.7199999997</v>
      </c>
      <c r="I56" s="276"/>
      <c r="J56" s="71">
        <f>SUM(J55-J54)</f>
        <v>-3138208.5999999996</v>
      </c>
      <c r="K56" s="71">
        <f t="shared" si="0"/>
        <v>0</v>
      </c>
      <c r="L56" s="38"/>
      <c r="O56" s="71">
        <f>SUM(O55-O54)</f>
        <v>-4042620.7199999997</v>
      </c>
      <c r="Q56" s="71">
        <f t="shared" si="1"/>
        <v>0</v>
      </c>
      <c r="S56" s="40"/>
      <c r="T56" s="70"/>
      <c r="Z56" s="40"/>
    </row>
    <row r="57" spans="2:26" x14ac:dyDescent="0.3">
      <c r="B57" s="41"/>
      <c r="F57" s="40"/>
      <c r="G57" s="70"/>
      <c r="H57" s="78"/>
      <c r="I57" s="70"/>
      <c r="J57" s="71"/>
      <c r="K57" s="71">
        <f t="shared" si="0"/>
        <v>0</v>
      </c>
      <c r="L57" s="38"/>
      <c r="O57" s="71"/>
      <c r="Q57" s="71"/>
      <c r="S57" s="40"/>
      <c r="T57" s="70"/>
      <c r="Z57" s="40"/>
    </row>
    <row r="58" spans="2:26" x14ac:dyDescent="0.3">
      <c r="B58" s="41"/>
      <c r="E58" s="192">
        <f>(E56-E53)*-1</f>
        <v>-2.0489096641540527E-8</v>
      </c>
      <c r="F58" s="192">
        <f>(F56-F53)*-1</f>
        <v>1.3504177331924438E-8</v>
      </c>
      <c r="G58" s="192">
        <f>(G56-G53)*-1</f>
        <v>7.9162418842315674E-9</v>
      </c>
      <c r="H58" s="192">
        <f>H56-H53</f>
        <v>1.9999956712126732E-3</v>
      </c>
      <c r="I58" s="70"/>
      <c r="J58" s="192">
        <f>J56-J53</f>
        <v>-28648521.911999993</v>
      </c>
      <c r="K58" s="71">
        <f t="shared" si="0"/>
        <v>-5.5879354476928711E-9</v>
      </c>
      <c r="L58" s="38"/>
      <c r="O58" s="71"/>
      <c r="Q58" s="71"/>
      <c r="S58" s="40"/>
      <c r="T58" s="70"/>
      <c r="Z58" s="40"/>
    </row>
    <row r="59" spans="2:26" x14ac:dyDescent="0.3">
      <c r="B59" s="41"/>
      <c r="F59" s="40"/>
      <c r="H59" s="70"/>
      <c r="I59" s="282"/>
      <c r="J59" s="70"/>
      <c r="K59" s="71">
        <f>J56-J53</f>
        <v>-28648521.911999993</v>
      </c>
      <c r="L59" s="70"/>
      <c r="M59" s="38"/>
      <c r="N59" s="38"/>
      <c r="O59" s="40"/>
      <c r="P59" s="71">
        <f>O56-O53</f>
        <v>-9409799.8580000028</v>
      </c>
      <c r="R59" s="71">
        <f>H58-P59</f>
        <v>9409799.8599999994</v>
      </c>
      <c r="S59" s="40"/>
      <c r="U59" s="70"/>
      <c r="Z59" s="40"/>
    </row>
    <row r="60" spans="2:26" x14ac:dyDescent="0.3">
      <c r="B60" s="41"/>
      <c r="H60" s="70"/>
      <c r="I60" s="212"/>
      <c r="J60" s="70"/>
      <c r="K60" s="71"/>
      <c r="L60" s="70"/>
      <c r="M60" s="38"/>
      <c r="N60" s="38"/>
      <c r="O60" s="40"/>
      <c r="P60" s="71"/>
      <c r="R60" s="71"/>
      <c r="S60" s="40"/>
      <c r="U60" s="70"/>
      <c r="Z60" s="40"/>
    </row>
    <row r="61" spans="2:26" ht="10.5" customHeight="1" x14ac:dyDescent="0.3">
      <c r="B61" s="41"/>
      <c r="H61" s="70"/>
      <c r="I61" s="79"/>
      <c r="J61" s="70"/>
      <c r="L61" s="70"/>
      <c r="M61" s="38"/>
      <c r="N61" s="38"/>
      <c r="O61" s="40"/>
      <c r="P61" s="70"/>
      <c r="R61" s="70"/>
      <c r="S61" s="40"/>
      <c r="U61" s="70"/>
      <c r="Z61" s="40"/>
    </row>
    <row r="64" spans="2:26" x14ac:dyDescent="0.3">
      <c r="D64" s="738" t="s">
        <v>4957</v>
      </c>
      <c r="E64" s="738"/>
      <c r="F64" s="738"/>
      <c r="G64" s="738"/>
      <c r="H64" s="738"/>
      <c r="I64" s="334"/>
      <c r="J64" s="334"/>
      <c r="K64" s="334"/>
      <c r="L64" s="334"/>
      <c r="M64" s="334"/>
      <c r="N64" s="334"/>
      <c r="O64" s="334"/>
      <c r="P64" s="334"/>
    </row>
    <row r="65" spans="4:16" x14ac:dyDescent="0.3">
      <c r="D65" s="738" t="s">
        <v>5903</v>
      </c>
      <c r="E65" s="738"/>
      <c r="F65" s="738"/>
      <c r="G65" s="738"/>
      <c r="H65" s="738"/>
      <c r="I65" s="738"/>
      <c r="J65" s="738"/>
      <c r="K65" s="738"/>
      <c r="L65" s="738"/>
      <c r="M65" s="738"/>
      <c r="N65" s="738"/>
      <c r="O65" s="738"/>
      <c r="P65" s="360"/>
    </row>
    <row r="66" spans="4:16" x14ac:dyDescent="0.3">
      <c r="D66" s="738" t="s">
        <v>4956</v>
      </c>
      <c r="E66" s="738"/>
      <c r="F66" s="738"/>
      <c r="G66" s="738"/>
      <c r="H66" s="738"/>
      <c r="I66" s="738"/>
      <c r="J66" s="738"/>
      <c r="K66" s="738"/>
      <c r="L66" s="738"/>
      <c r="M66" s="738"/>
      <c r="N66" s="738"/>
      <c r="O66" s="738"/>
      <c r="P66" s="360"/>
    </row>
    <row r="67" spans="4:16" x14ac:dyDescent="0.3">
      <c r="D67" s="738" t="s">
        <v>5904</v>
      </c>
      <c r="E67" s="738"/>
      <c r="F67" s="738"/>
      <c r="G67" s="738"/>
      <c r="H67" s="738"/>
      <c r="I67" s="738"/>
      <c r="J67" s="738"/>
      <c r="K67" s="738"/>
      <c r="L67" s="738"/>
      <c r="M67" s="738"/>
      <c r="N67" s="738"/>
      <c r="O67" s="738"/>
      <c r="P67" s="359"/>
    </row>
  </sheetData>
  <mergeCells count="16">
    <mergeCell ref="B1:I1"/>
    <mergeCell ref="B2:I2"/>
    <mergeCell ref="B9:I9"/>
    <mergeCell ref="B10:I10"/>
    <mergeCell ref="D64:H64"/>
    <mergeCell ref="D67:H67"/>
    <mergeCell ref="I67:K67"/>
    <mergeCell ref="L67:O67"/>
    <mergeCell ref="B6:H6"/>
    <mergeCell ref="B7:H7"/>
    <mergeCell ref="D65:H65"/>
    <mergeCell ref="I65:K65"/>
    <mergeCell ref="L65:O65"/>
    <mergeCell ref="D66:H66"/>
    <mergeCell ref="I66:K66"/>
    <mergeCell ref="L66:O66"/>
  </mergeCells>
  <pageMargins left="0.511811024" right="0.511811024" top="0.78740157499999996" bottom="0.78740157499999996" header="0.31496062000000002" footer="0.31496062000000002"/>
  <ignoredErrors>
    <ignoredError sqref="T13" evalError="1"/>
  </ignoredErrors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CF56A-6385-42DE-ABA6-94C08CB26B87}">
  <sheetPr>
    <tabColor rgb="FFFFC000"/>
  </sheetPr>
  <dimension ref="E3:E6"/>
  <sheetViews>
    <sheetView workbookViewId="0">
      <selection activeCell="K13" sqref="K13"/>
    </sheetView>
  </sheetViews>
  <sheetFormatPr defaultRowHeight="14.4" x14ac:dyDescent="0.3"/>
  <cols>
    <col min="5" max="5" width="19.88671875" customWidth="1"/>
  </cols>
  <sheetData>
    <row r="3" spans="5:5" x14ac:dyDescent="0.3">
      <c r="E3" s="641"/>
    </row>
    <row r="5" spans="5:5" x14ac:dyDescent="0.3">
      <c r="E5" s="642"/>
    </row>
    <row r="6" spans="5:5" x14ac:dyDescent="0.3">
      <c r="E6" s="642"/>
    </row>
  </sheetData>
  <pageMargins left="0.511811024" right="0.511811024" top="0.78740157499999996" bottom="0.78740157499999996" header="0.31496062000000002" footer="0.3149606200000000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D1649-DD1A-40E5-844F-70B20E268349}">
  <dimension ref="F8:L36"/>
  <sheetViews>
    <sheetView topLeftCell="A19" zoomScale="85" zoomScaleNormal="85" workbookViewId="0">
      <selection activeCell="I36" sqref="I36"/>
    </sheetView>
  </sheetViews>
  <sheetFormatPr defaultRowHeight="14.4" x14ac:dyDescent="0.3"/>
  <cols>
    <col min="6" max="6" width="30.33203125" style="36" customWidth="1"/>
    <col min="7" max="7" width="14.33203125" bestFit="1" customWidth="1"/>
    <col min="9" max="9" width="25.6640625" customWidth="1"/>
    <col min="12" max="12" width="14.33203125" style="630" bestFit="1" customWidth="1"/>
  </cols>
  <sheetData>
    <row r="8" spans="6:12" x14ac:dyDescent="0.3">
      <c r="F8" s="632" t="s">
        <v>5918</v>
      </c>
      <c r="G8" s="631"/>
      <c r="H8" s="631"/>
      <c r="I8" s="631" t="s">
        <v>5919</v>
      </c>
      <c r="L8" s="637">
        <v>2151906.86</v>
      </c>
    </row>
    <row r="9" spans="6:12" x14ac:dyDescent="0.3">
      <c r="F9" s="636">
        <v>3109267.3499999996</v>
      </c>
      <c r="I9" s="638">
        <v>2151906.8599999994</v>
      </c>
      <c r="L9" s="630">
        <v>3068167.8600000003</v>
      </c>
    </row>
    <row r="10" spans="6:12" x14ac:dyDescent="0.3">
      <c r="F10" s="36">
        <v>39286.400000000023</v>
      </c>
      <c r="I10" s="36">
        <v>3068167.8600000003</v>
      </c>
      <c r="L10" s="637">
        <v>1015979.43</v>
      </c>
    </row>
    <row r="11" spans="6:12" x14ac:dyDescent="0.3">
      <c r="F11" s="36">
        <v>295546.66000000032</v>
      </c>
      <c r="I11" s="638">
        <v>1015979.43</v>
      </c>
      <c r="L11" s="637">
        <v>6041959.0499999998</v>
      </c>
    </row>
    <row r="12" spans="6:12" x14ac:dyDescent="0.3">
      <c r="F12" s="36">
        <v>285609.68</v>
      </c>
      <c r="I12" s="638">
        <v>6041959.0499999998</v>
      </c>
      <c r="L12" s="637">
        <v>12414629.859999999</v>
      </c>
    </row>
    <row r="13" spans="6:12" x14ac:dyDescent="0.3">
      <c r="F13" s="36">
        <v>4898050.790000001</v>
      </c>
      <c r="I13" s="639">
        <v>12414629.859999999</v>
      </c>
    </row>
    <row r="14" spans="6:12" x14ac:dyDescent="0.3">
      <c r="F14" s="36">
        <v>1368018</v>
      </c>
      <c r="I14" s="638">
        <v>34961276.490000002</v>
      </c>
    </row>
    <row r="15" spans="6:12" x14ac:dyDescent="0.3">
      <c r="F15" s="36">
        <v>259070.18</v>
      </c>
      <c r="I15" s="638">
        <v>1286183.6399999999</v>
      </c>
      <c r="L15" s="637">
        <v>34961276.490000002</v>
      </c>
    </row>
    <row r="16" spans="6:12" x14ac:dyDescent="0.3">
      <c r="F16" s="36">
        <v>244035.20000000001</v>
      </c>
      <c r="I16" s="639">
        <v>30411159.600000001</v>
      </c>
      <c r="L16" s="637">
        <v>1286183.6399999999</v>
      </c>
    </row>
    <row r="17" spans="6:12" x14ac:dyDescent="0.3">
      <c r="F17" s="36">
        <v>9778944.2600000016</v>
      </c>
      <c r="L17" s="637">
        <v>30411159.600000001</v>
      </c>
    </row>
    <row r="18" spans="6:12" x14ac:dyDescent="0.3">
      <c r="F18" s="633">
        <v>8863.4</v>
      </c>
    </row>
    <row r="19" spans="6:12" x14ac:dyDescent="0.3">
      <c r="F19" s="36">
        <f>56944102.99-G19</f>
        <v>27788849.07</v>
      </c>
      <c r="G19" s="36">
        <v>29155253.920000002</v>
      </c>
    </row>
    <row r="20" spans="6:12" x14ac:dyDescent="0.3">
      <c r="G20" s="36"/>
    </row>
    <row r="22" spans="6:12" x14ac:dyDescent="0.3">
      <c r="F22" s="185">
        <f>SUM(F9:F19)</f>
        <v>48075540.990000002</v>
      </c>
      <c r="I22" s="16">
        <f>SUM(I9:I20)</f>
        <v>91351262.789999992</v>
      </c>
    </row>
    <row r="24" spans="6:12" x14ac:dyDescent="0.3">
      <c r="I24" s="16"/>
    </row>
    <row r="28" spans="6:12" ht="15" thickBot="1" x14ac:dyDescent="0.35">
      <c r="F28" s="36">
        <v>6927754.3300000001</v>
      </c>
    </row>
    <row r="29" spans="6:12" ht="15.6" thickTop="1" thickBot="1" x14ac:dyDescent="0.35">
      <c r="F29" s="36">
        <v>34503066.549999997</v>
      </c>
      <c r="I29" s="634">
        <v>5888264.9000000004</v>
      </c>
    </row>
    <row r="30" spans="6:12" ht="15" thickTop="1" x14ac:dyDescent="0.3">
      <c r="F30" s="36">
        <v>399196.55</v>
      </c>
      <c r="I30" s="36">
        <v>29568466.289999999</v>
      </c>
    </row>
    <row r="31" spans="6:12" x14ac:dyDescent="0.3">
      <c r="F31" s="36">
        <v>343258.95</v>
      </c>
      <c r="I31" s="36">
        <v>729017.29</v>
      </c>
    </row>
    <row r="33" spans="6:9" x14ac:dyDescent="0.3">
      <c r="F33" s="16">
        <f>SUM(F28:F31)</f>
        <v>42173276.379999995</v>
      </c>
      <c r="I33" s="16">
        <f>SUM(I29:I31)</f>
        <v>36185748.479999997</v>
      </c>
    </row>
    <row r="36" spans="6:9" x14ac:dyDescent="0.3">
      <c r="I36" s="16">
        <f>F33-I33</f>
        <v>5987527.8999999985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14D70-34C7-45F9-9726-92C691062E7B}">
  <sheetPr>
    <tabColor rgb="FFFF0000"/>
  </sheetPr>
  <dimension ref="A1:W78"/>
  <sheetViews>
    <sheetView showGridLines="0" zoomScale="85" zoomScaleNormal="85" workbookViewId="0">
      <selection activeCell="R29" sqref="R29"/>
    </sheetView>
  </sheetViews>
  <sheetFormatPr defaultRowHeight="14.4" x14ac:dyDescent="0.3"/>
  <cols>
    <col min="1" max="3" width="1.6640625" style="40" customWidth="1"/>
    <col min="4" max="4" width="12.109375" style="40" customWidth="1"/>
    <col min="5" max="5" width="16" style="40" customWidth="1"/>
    <col min="6" max="6" width="5.6640625" style="40" customWidth="1"/>
    <col min="7" max="7" width="6.5546875" style="40" customWidth="1"/>
    <col min="8" max="8" width="9.109375" style="70" bestFit="1"/>
    <col min="9" max="9" width="12.33203125" style="40" customWidth="1"/>
    <col min="10" max="10" width="18.109375" style="77" customWidth="1"/>
    <col min="11" max="11" width="4" style="40" customWidth="1"/>
    <col min="12" max="12" width="20" style="40" customWidth="1"/>
    <col min="13" max="13" width="6" style="40" customWidth="1"/>
    <col min="14" max="14" width="9.109375" style="38" customWidth="1"/>
    <col min="15" max="15" width="9.109375" style="40" customWidth="1"/>
    <col min="16" max="16" width="18.109375" style="40" customWidth="1"/>
    <col min="17" max="17" width="1.33203125" style="40" customWidth="1"/>
    <col min="18" max="18" width="18.109375" style="40" customWidth="1"/>
    <col min="19" max="19" width="9.109375" style="40" customWidth="1"/>
    <col min="20" max="20" width="9.109375" style="40" bestFit="1"/>
    <col min="21" max="21" width="21.44140625" style="70" customWidth="1"/>
    <col min="22" max="22" width="32.33203125" style="40" bestFit="1" customWidth="1"/>
    <col min="23" max="23" width="16.5546875" style="40" customWidth="1"/>
    <col min="24" max="24" width="9" style="40" customWidth="1"/>
    <col min="25" max="246" width="9.109375" style="40" bestFit="1"/>
    <col min="247" max="249" width="1.6640625" style="40" customWidth="1"/>
    <col min="250" max="250" width="12.109375" style="40" customWidth="1"/>
    <col min="251" max="251" width="16" style="40" customWidth="1"/>
    <col min="252" max="252" width="5.6640625" style="40" customWidth="1"/>
    <col min="253" max="253" width="6.5546875" style="40" customWidth="1"/>
    <col min="254" max="254" width="9.109375" style="40" bestFit="1"/>
    <col min="255" max="255" width="12.33203125" style="40" customWidth="1"/>
    <col min="256" max="256" width="32.5546875" style="40" customWidth="1"/>
    <col min="257" max="257" width="15.5546875" style="40" customWidth="1"/>
    <col min="258" max="258" width="28.88671875" style="40" customWidth="1"/>
    <col min="259" max="259" width="14" style="40" bestFit="1" customWidth="1"/>
    <col min="260" max="261" width="15" style="40" bestFit="1" customWidth="1"/>
    <col min="262" max="262" width="18.109375" style="40" customWidth="1"/>
    <col min="263" max="263" width="20.88671875" style="40" customWidth="1"/>
    <col min="264" max="264" width="15.109375" style="40" customWidth="1"/>
    <col min="265" max="265" width="13.88671875" style="40" bestFit="1" customWidth="1"/>
    <col min="266" max="266" width="12.33203125" style="40" bestFit="1" customWidth="1"/>
    <col min="267" max="267" width="23.44140625" style="40" bestFit="1" customWidth="1"/>
    <col min="268" max="502" width="9.109375" style="40" bestFit="1"/>
    <col min="503" max="505" width="1.6640625" style="40" customWidth="1"/>
    <col min="506" max="506" width="12.109375" style="40" customWidth="1"/>
    <col min="507" max="507" width="16" style="40" customWidth="1"/>
    <col min="508" max="508" width="5.6640625" style="40" customWidth="1"/>
    <col min="509" max="509" width="6.5546875" style="40" customWidth="1"/>
    <col min="510" max="510" width="9.109375" style="40" bestFit="1"/>
    <col min="511" max="511" width="12.33203125" style="40" customWidth="1"/>
    <col min="512" max="512" width="32.5546875" style="40" customWidth="1"/>
    <col min="513" max="513" width="15.5546875" style="40" customWidth="1"/>
    <col min="514" max="514" width="28.88671875" style="40" customWidth="1"/>
    <col min="515" max="515" width="14" style="40" bestFit="1" customWidth="1"/>
    <col min="516" max="517" width="15" style="40" bestFit="1" customWidth="1"/>
    <col min="518" max="518" width="18.109375" style="40" customWidth="1"/>
    <col min="519" max="519" width="20.88671875" style="40" customWidth="1"/>
    <col min="520" max="520" width="15.109375" style="40" customWidth="1"/>
    <col min="521" max="521" width="13.88671875" style="40" bestFit="1" customWidth="1"/>
    <col min="522" max="522" width="12.33203125" style="40" bestFit="1" customWidth="1"/>
    <col min="523" max="523" width="23.44140625" style="40" bestFit="1" customWidth="1"/>
    <col min="524" max="758" width="9.109375" style="40" bestFit="1"/>
    <col min="759" max="761" width="1.6640625" style="40" customWidth="1"/>
    <col min="762" max="762" width="12.109375" style="40" customWidth="1"/>
    <col min="763" max="763" width="16" style="40" customWidth="1"/>
    <col min="764" max="764" width="5.6640625" style="40" customWidth="1"/>
    <col min="765" max="765" width="6.5546875" style="40" customWidth="1"/>
    <col min="766" max="766" width="9.109375" style="40" bestFit="1"/>
    <col min="767" max="767" width="12.33203125" style="40" customWidth="1"/>
    <col min="768" max="768" width="32.5546875" style="40" customWidth="1"/>
    <col min="769" max="769" width="15.5546875" style="40" customWidth="1"/>
    <col min="770" max="770" width="28.88671875" style="40" customWidth="1"/>
    <col min="771" max="771" width="14" style="40" bestFit="1" customWidth="1"/>
    <col min="772" max="773" width="15" style="40" bestFit="1" customWidth="1"/>
    <col min="774" max="774" width="18.109375" style="40" customWidth="1"/>
    <col min="775" max="775" width="20.88671875" style="40" customWidth="1"/>
    <col min="776" max="776" width="15.109375" style="40" customWidth="1"/>
    <col min="777" max="777" width="13.88671875" style="40" bestFit="1" customWidth="1"/>
    <col min="778" max="778" width="12.33203125" style="40" bestFit="1" customWidth="1"/>
    <col min="779" max="779" width="23.44140625" style="40" bestFit="1" customWidth="1"/>
    <col min="780" max="1014" width="9.109375" style="40" bestFit="1"/>
    <col min="1015" max="1017" width="1.6640625" style="40" customWidth="1"/>
    <col min="1018" max="1018" width="12.109375" style="40" customWidth="1"/>
    <col min="1019" max="1019" width="16" style="40" customWidth="1"/>
    <col min="1020" max="1020" width="5.6640625" style="40" customWidth="1"/>
    <col min="1021" max="1021" width="6.5546875" style="40" customWidth="1"/>
    <col min="1022" max="1022" width="9.109375" style="40" bestFit="1"/>
    <col min="1023" max="1023" width="12.33203125" style="40" customWidth="1"/>
    <col min="1024" max="1024" width="32.5546875" style="40" customWidth="1"/>
    <col min="1025" max="1025" width="15.5546875" style="40" customWidth="1"/>
    <col min="1026" max="1026" width="28.88671875" style="40" customWidth="1"/>
    <col min="1027" max="1027" width="14" style="40" bestFit="1" customWidth="1"/>
    <col min="1028" max="1029" width="15" style="40" bestFit="1" customWidth="1"/>
    <col min="1030" max="1030" width="18.109375" style="40" customWidth="1"/>
    <col min="1031" max="1031" width="20.88671875" style="40" customWidth="1"/>
    <col min="1032" max="1032" width="15.109375" style="40" customWidth="1"/>
    <col min="1033" max="1033" width="13.88671875" style="40" bestFit="1" customWidth="1"/>
    <col min="1034" max="1034" width="12.33203125" style="40" bestFit="1" customWidth="1"/>
    <col min="1035" max="1035" width="23.44140625" style="40" bestFit="1" customWidth="1"/>
    <col min="1036" max="1270" width="9.109375" style="40" bestFit="1"/>
    <col min="1271" max="1273" width="1.6640625" style="40" customWidth="1"/>
    <col min="1274" max="1274" width="12.109375" style="40" customWidth="1"/>
    <col min="1275" max="1275" width="16" style="40" customWidth="1"/>
    <col min="1276" max="1276" width="5.6640625" style="40" customWidth="1"/>
    <col min="1277" max="1277" width="6.5546875" style="40" customWidth="1"/>
    <col min="1278" max="1278" width="9.109375" style="40" bestFit="1"/>
    <col min="1279" max="1279" width="12.33203125" style="40" customWidth="1"/>
    <col min="1280" max="1280" width="32.5546875" style="40" customWidth="1"/>
    <col min="1281" max="1281" width="15.5546875" style="40" customWidth="1"/>
    <col min="1282" max="1282" width="28.88671875" style="40" customWidth="1"/>
    <col min="1283" max="1283" width="14" style="40" bestFit="1" customWidth="1"/>
    <col min="1284" max="1285" width="15" style="40" bestFit="1" customWidth="1"/>
    <col min="1286" max="1286" width="18.109375" style="40" customWidth="1"/>
    <col min="1287" max="1287" width="20.88671875" style="40" customWidth="1"/>
    <col min="1288" max="1288" width="15.109375" style="40" customWidth="1"/>
    <col min="1289" max="1289" width="13.88671875" style="40" bestFit="1" customWidth="1"/>
    <col min="1290" max="1290" width="12.33203125" style="40" bestFit="1" customWidth="1"/>
    <col min="1291" max="1291" width="23.44140625" style="40" bestFit="1" customWidth="1"/>
    <col min="1292" max="1526" width="9.109375" style="40" bestFit="1"/>
    <col min="1527" max="1529" width="1.6640625" style="40" customWidth="1"/>
    <col min="1530" max="1530" width="12.109375" style="40" customWidth="1"/>
    <col min="1531" max="1531" width="16" style="40" customWidth="1"/>
    <col min="1532" max="1532" width="5.6640625" style="40" customWidth="1"/>
    <col min="1533" max="1533" width="6.5546875" style="40" customWidth="1"/>
    <col min="1534" max="1534" width="9.109375" style="40" bestFit="1"/>
    <col min="1535" max="1535" width="12.33203125" style="40" customWidth="1"/>
    <col min="1536" max="1536" width="32.5546875" style="40" customWidth="1"/>
    <col min="1537" max="1537" width="15.5546875" style="40" customWidth="1"/>
    <col min="1538" max="1538" width="28.88671875" style="40" customWidth="1"/>
    <col min="1539" max="1539" width="14" style="40" bestFit="1" customWidth="1"/>
    <col min="1540" max="1541" width="15" style="40" bestFit="1" customWidth="1"/>
    <col min="1542" max="1542" width="18.109375" style="40" customWidth="1"/>
    <col min="1543" max="1543" width="20.88671875" style="40" customWidth="1"/>
    <col min="1544" max="1544" width="15.109375" style="40" customWidth="1"/>
    <col min="1545" max="1545" width="13.88671875" style="40" bestFit="1" customWidth="1"/>
    <col min="1546" max="1546" width="12.33203125" style="40" bestFit="1" customWidth="1"/>
    <col min="1547" max="1547" width="23.44140625" style="40" bestFit="1" customWidth="1"/>
    <col min="1548" max="1782" width="9.109375" style="40" bestFit="1"/>
    <col min="1783" max="1785" width="1.6640625" style="40" customWidth="1"/>
    <col min="1786" max="1786" width="12.109375" style="40" customWidth="1"/>
    <col min="1787" max="1787" width="16" style="40" customWidth="1"/>
    <col min="1788" max="1788" width="5.6640625" style="40" customWidth="1"/>
    <col min="1789" max="1789" width="6.5546875" style="40" customWidth="1"/>
    <col min="1790" max="1790" width="9.109375" style="40" bestFit="1"/>
    <col min="1791" max="1791" width="12.33203125" style="40" customWidth="1"/>
    <col min="1792" max="1792" width="32.5546875" style="40" customWidth="1"/>
    <col min="1793" max="1793" width="15.5546875" style="40" customWidth="1"/>
    <col min="1794" max="1794" width="28.88671875" style="40" customWidth="1"/>
    <col min="1795" max="1795" width="14" style="40" bestFit="1" customWidth="1"/>
    <col min="1796" max="1797" width="15" style="40" bestFit="1" customWidth="1"/>
    <col min="1798" max="1798" width="18.109375" style="40" customWidth="1"/>
    <col min="1799" max="1799" width="20.88671875" style="40" customWidth="1"/>
    <col min="1800" max="1800" width="15.109375" style="40" customWidth="1"/>
    <col min="1801" max="1801" width="13.88671875" style="40" bestFit="1" customWidth="1"/>
    <col min="1802" max="1802" width="12.33203125" style="40" bestFit="1" customWidth="1"/>
    <col min="1803" max="1803" width="23.44140625" style="40" bestFit="1" customWidth="1"/>
    <col min="1804" max="2038" width="9.109375" style="40" bestFit="1"/>
    <col min="2039" max="2041" width="1.6640625" style="40" customWidth="1"/>
    <col min="2042" max="2042" width="12.109375" style="40" customWidth="1"/>
    <col min="2043" max="2043" width="16" style="40" customWidth="1"/>
    <col min="2044" max="2044" width="5.6640625" style="40" customWidth="1"/>
    <col min="2045" max="2045" width="6.5546875" style="40" customWidth="1"/>
    <col min="2046" max="2046" width="9.109375" style="40" bestFit="1"/>
    <col min="2047" max="2047" width="12.33203125" style="40" customWidth="1"/>
    <col min="2048" max="2048" width="32.5546875" style="40" customWidth="1"/>
    <col min="2049" max="2049" width="15.5546875" style="40" customWidth="1"/>
    <col min="2050" max="2050" width="28.88671875" style="40" customWidth="1"/>
    <col min="2051" max="2051" width="14" style="40" bestFit="1" customWidth="1"/>
    <col min="2052" max="2053" width="15" style="40" bestFit="1" customWidth="1"/>
    <col min="2054" max="2054" width="18.109375" style="40" customWidth="1"/>
    <col min="2055" max="2055" width="20.88671875" style="40" customWidth="1"/>
    <col min="2056" max="2056" width="15.109375" style="40" customWidth="1"/>
    <col min="2057" max="2057" width="13.88671875" style="40" bestFit="1" customWidth="1"/>
    <col min="2058" max="2058" width="12.33203125" style="40" bestFit="1" customWidth="1"/>
    <col min="2059" max="2059" width="23.44140625" style="40" bestFit="1" customWidth="1"/>
    <col min="2060" max="2294" width="9.109375" style="40" bestFit="1"/>
    <col min="2295" max="2297" width="1.6640625" style="40" customWidth="1"/>
    <col min="2298" max="2298" width="12.109375" style="40" customWidth="1"/>
    <col min="2299" max="2299" width="16" style="40" customWidth="1"/>
    <col min="2300" max="2300" width="5.6640625" style="40" customWidth="1"/>
    <col min="2301" max="2301" width="6.5546875" style="40" customWidth="1"/>
    <col min="2302" max="2302" width="9.109375" style="40" bestFit="1"/>
    <col min="2303" max="2303" width="12.33203125" style="40" customWidth="1"/>
    <col min="2304" max="2304" width="32.5546875" style="40" customWidth="1"/>
    <col min="2305" max="2305" width="15.5546875" style="40" customWidth="1"/>
    <col min="2306" max="2306" width="28.88671875" style="40" customWidth="1"/>
    <col min="2307" max="2307" width="14" style="40" bestFit="1" customWidth="1"/>
    <col min="2308" max="2309" width="15" style="40" bestFit="1" customWidth="1"/>
    <col min="2310" max="2310" width="18.109375" style="40" customWidth="1"/>
    <col min="2311" max="2311" width="20.88671875" style="40" customWidth="1"/>
    <col min="2312" max="2312" width="15.109375" style="40" customWidth="1"/>
    <col min="2313" max="2313" width="13.88671875" style="40" bestFit="1" customWidth="1"/>
    <col min="2314" max="2314" width="12.33203125" style="40" bestFit="1" customWidth="1"/>
    <col min="2315" max="2315" width="23.44140625" style="40" bestFit="1" customWidth="1"/>
    <col min="2316" max="2550" width="9.109375" style="40" bestFit="1"/>
    <col min="2551" max="2553" width="1.6640625" style="40" customWidth="1"/>
    <col min="2554" max="2554" width="12.109375" style="40" customWidth="1"/>
    <col min="2555" max="2555" width="16" style="40" customWidth="1"/>
    <col min="2556" max="2556" width="5.6640625" style="40" customWidth="1"/>
    <col min="2557" max="2557" width="6.5546875" style="40" customWidth="1"/>
    <col min="2558" max="2558" width="9.109375" style="40" bestFit="1"/>
    <col min="2559" max="2559" width="12.33203125" style="40" customWidth="1"/>
    <col min="2560" max="2560" width="32.5546875" style="40" customWidth="1"/>
    <col min="2561" max="2561" width="15.5546875" style="40" customWidth="1"/>
    <col min="2562" max="2562" width="28.88671875" style="40" customWidth="1"/>
    <col min="2563" max="2563" width="14" style="40" bestFit="1" customWidth="1"/>
    <col min="2564" max="2565" width="15" style="40" bestFit="1" customWidth="1"/>
    <col min="2566" max="2566" width="18.109375" style="40" customWidth="1"/>
    <col min="2567" max="2567" width="20.88671875" style="40" customWidth="1"/>
    <col min="2568" max="2568" width="15.109375" style="40" customWidth="1"/>
    <col min="2569" max="2569" width="13.88671875" style="40" bestFit="1" customWidth="1"/>
    <col min="2570" max="2570" width="12.33203125" style="40" bestFit="1" customWidth="1"/>
    <col min="2571" max="2571" width="23.44140625" style="40" bestFit="1" customWidth="1"/>
    <col min="2572" max="2806" width="9.109375" style="40" bestFit="1"/>
    <col min="2807" max="2809" width="1.6640625" style="40" customWidth="1"/>
    <col min="2810" max="2810" width="12.109375" style="40" customWidth="1"/>
    <col min="2811" max="2811" width="16" style="40" customWidth="1"/>
    <col min="2812" max="2812" width="5.6640625" style="40" customWidth="1"/>
    <col min="2813" max="2813" width="6.5546875" style="40" customWidth="1"/>
    <col min="2814" max="2814" width="9.109375" style="40" bestFit="1"/>
    <col min="2815" max="2815" width="12.33203125" style="40" customWidth="1"/>
    <col min="2816" max="2816" width="32.5546875" style="40" customWidth="1"/>
    <col min="2817" max="2817" width="15.5546875" style="40" customWidth="1"/>
    <col min="2818" max="2818" width="28.88671875" style="40" customWidth="1"/>
    <col min="2819" max="2819" width="14" style="40" bestFit="1" customWidth="1"/>
    <col min="2820" max="2821" width="15" style="40" bestFit="1" customWidth="1"/>
    <col min="2822" max="2822" width="18.109375" style="40" customWidth="1"/>
    <col min="2823" max="2823" width="20.88671875" style="40" customWidth="1"/>
    <col min="2824" max="2824" width="15.109375" style="40" customWidth="1"/>
    <col min="2825" max="2825" width="13.88671875" style="40" bestFit="1" customWidth="1"/>
    <col min="2826" max="2826" width="12.33203125" style="40" bestFit="1" customWidth="1"/>
    <col min="2827" max="2827" width="23.44140625" style="40" bestFit="1" customWidth="1"/>
    <col min="2828" max="3062" width="9.109375" style="40" bestFit="1"/>
    <col min="3063" max="3065" width="1.6640625" style="40" customWidth="1"/>
    <col min="3066" max="3066" width="12.109375" style="40" customWidth="1"/>
    <col min="3067" max="3067" width="16" style="40" customWidth="1"/>
    <col min="3068" max="3068" width="5.6640625" style="40" customWidth="1"/>
    <col min="3069" max="3069" width="6.5546875" style="40" customWidth="1"/>
    <col min="3070" max="3070" width="9.109375" style="40" bestFit="1"/>
    <col min="3071" max="3071" width="12.33203125" style="40" customWidth="1"/>
    <col min="3072" max="3072" width="32.5546875" style="40" customWidth="1"/>
    <col min="3073" max="3073" width="15.5546875" style="40" customWidth="1"/>
    <col min="3074" max="3074" width="28.88671875" style="40" customWidth="1"/>
    <col min="3075" max="3075" width="14" style="40" bestFit="1" customWidth="1"/>
    <col min="3076" max="3077" width="15" style="40" bestFit="1" customWidth="1"/>
    <col min="3078" max="3078" width="18.109375" style="40" customWidth="1"/>
    <col min="3079" max="3079" width="20.88671875" style="40" customWidth="1"/>
    <col min="3080" max="3080" width="15.109375" style="40" customWidth="1"/>
    <col min="3081" max="3081" width="13.88671875" style="40" bestFit="1" customWidth="1"/>
    <col min="3082" max="3082" width="12.33203125" style="40" bestFit="1" customWidth="1"/>
    <col min="3083" max="3083" width="23.44140625" style="40" bestFit="1" customWidth="1"/>
    <col min="3084" max="3318" width="9.109375" style="40" bestFit="1"/>
    <col min="3319" max="3321" width="1.6640625" style="40" customWidth="1"/>
    <col min="3322" max="3322" width="12.109375" style="40" customWidth="1"/>
    <col min="3323" max="3323" width="16" style="40" customWidth="1"/>
    <col min="3324" max="3324" width="5.6640625" style="40" customWidth="1"/>
    <col min="3325" max="3325" width="6.5546875" style="40" customWidth="1"/>
    <col min="3326" max="3326" width="9.109375" style="40" bestFit="1"/>
    <col min="3327" max="3327" width="12.33203125" style="40" customWidth="1"/>
    <col min="3328" max="3328" width="32.5546875" style="40" customWidth="1"/>
    <col min="3329" max="3329" width="15.5546875" style="40" customWidth="1"/>
    <col min="3330" max="3330" width="28.88671875" style="40" customWidth="1"/>
    <col min="3331" max="3331" width="14" style="40" bestFit="1" customWidth="1"/>
    <col min="3332" max="3333" width="15" style="40" bestFit="1" customWidth="1"/>
    <col min="3334" max="3334" width="18.109375" style="40" customWidth="1"/>
    <col min="3335" max="3335" width="20.88671875" style="40" customWidth="1"/>
    <col min="3336" max="3336" width="15.109375" style="40" customWidth="1"/>
    <col min="3337" max="3337" width="13.88671875" style="40" bestFit="1" customWidth="1"/>
    <col min="3338" max="3338" width="12.33203125" style="40" bestFit="1" customWidth="1"/>
    <col min="3339" max="3339" width="23.44140625" style="40" bestFit="1" customWidth="1"/>
    <col min="3340" max="3574" width="9.109375" style="40" bestFit="1"/>
    <col min="3575" max="3577" width="1.6640625" style="40" customWidth="1"/>
    <col min="3578" max="3578" width="12.109375" style="40" customWidth="1"/>
    <col min="3579" max="3579" width="16" style="40" customWidth="1"/>
    <col min="3580" max="3580" width="5.6640625" style="40" customWidth="1"/>
    <col min="3581" max="3581" width="6.5546875" style="40" customWidth="1"/>
    <col min="3582" max="3582" width="9.109375" style="40" bestFit="1"/>
    <col min="3583" max="3583" width="12.33203125" style="40" customWidth="1"/>
    <col min="3584" max="3584" width="32.5546875" style="40" customWidth="1"/>
    <col min="3585" max="3585" width="15.5546875" style="40" customWidth="1"/>
    <col min="3586" max="3586" width="28.88671875" style="40" customWidth="1"/>
    <col min="3587" max="3587" width="14" style="40" bestFit="1" customWidth="1"/>
    <col min="3588" max="3589" width="15" style="40" bestFit="1" customWidth="1"/>
    <col min="3590" max="3590" width="18.109375" style="40" customWidth="1"/>
    <col min="3591" max="3591" width="20.88671875" style="40" customWidth="1"/>
    <col min="3592" max="3592" width="15.109375" style="40" customWidth="1"/>
    <col min="3593" max="3593" width="13.88671875" style="40" bestFit="1" customWidth="1"/>
    <col min="3594" max="3594" width="12.33203125" style="40" bestFit="1" customWidth="1"/>
    <col min="3595" max="3595" width="23.44140625" style="40" bestFit="1" customWidth="1"/>
    <col min="3596" max="3830" width="9.109375" style="40" bestFit="1"/>
    <col min="3831" max="3833" width="1.6640625" style="40" customWidth="1"/>
    <col min="3834" max="3834" width="12.109375" style="40" customWidth="1"/>
    <col min="3835" max="3835" width="16" style="40" customWidth="1"/>
    <col min="3836" max="3836" width="5.6640625" style="40" customWidth="1"/>
    <col min="3837" max="3837" width="6.5546875" style="40" customWidth="1"/>
    <col min="3838" max="3838" width="9.109375" style="40" bestFit="1"/>
    <col min="3839" max="3839" width="12.33203125" style="40" customWidth="1"/>
    <col min="3840" max="3840" width="32.5546875" style="40" customWidth="1"/>
    <col min="3841" max="3841" width="15.5546875" style="40" customWidth="1"/>
    <col min="3842" max="3842" width="28.88671875" style="40" customWidth="1"/>
    <col min="3843" max="3843" width="14" style="40" bestFit="1" customWidth="1"/>
    <col min="3844" max="3845" width="15" style="40" bestFit="1" customWidth="1"/>
    <col min="3846" max="3846" width="18.109375" style="40" customWidth="1"/>
    <col min="3847" max="3847" width="20.88671875" style="40" customWidth="1"/>
    <col min="3848" max="3848" width="15.109375" style="40" customWidth="1"/>
    <col min="3849" max="3849" width="13.88671875" style="40" bestFit="1" customWidth="1"/>
    <col min="3850" max="3850" width="12.33203125" style="40" bestFit="1" customWidth="1"/>
    <col min="3851" max="3851" width="23.44140625" style="40" bestFit="1" customWidth="1"/>
    <col min="3852" max="4086" width="9.109375" style="40" bestFit="1"/>
    <col min="4087" max="4089" width="1.6640625" style="40" customWidth="1"/>
    <col min="4090" max="4090" width="12.109375" style="40" customWidth="1"/>
    <col min="4091" max="4091" width="16" style="40" customWidth="1"/>
    <col min="4092" max="4092" width="5.6640625" style="40" customWidth="1"/>
    <col min="4093" max="4093" width="6.5546875" style="40" customWidth="1"/>
    <col min="4094" max="4094" width="9.109375" style="40" bestFit="1"/>
    <col min="4095" max="4095" width="12.33203125" style="40" customWidth="1"/>
    <col min="4096" max="4096" width="32.5546875" style="40" customWidth="1"/>
    <col min="4097" max="4097" width="15.5546875" style="40" customWidth="1"/>
    <col min="4098" max="4098" width="28.88671875" style="40" customWidth="1"/>
    <col min="4099" max="4099" width="14" style="40" bestFit="1" customWidth="1"/>
    <col min="4100" max="4101" width="15" style="40" bestFit="1" customWidth="1"/>
    <col min="4102" max="4102" width="18.109375" style="40" customWidth="1"/>
    <col min="4103" max="4103" width="20.88671875" style="40" customWidth="1"/>
    <col min="4104" max="4104" width="15.109375" style="40" customWidth="1"/>
    <col min="4105" max="4105" width="13.88671875" style="40" bestFit="1" customWidth="1"/>
    <col min="4106" max="4106" width="12.33203125" style="40" bestFit="1" customWidth="1"/>
    <col min="4107" max="4107" width="23.44140625" style="40" bestFit="1" customWidth="1"/>
    <col min="4108" max="4342" width="9.109375" style="40" bestFit="1"/>
    <col min="4343" max="4345" width="1.6640625" style="40" customWidth="1"/>
    <col min="4346" max="4346" width="12.109375" style="40" customWidth="1"/>
    <col min="4347" max="4347" width="16" style="40" customWidth="1"/>
    <col min="4348" max="4348" width="5.6640625" style="40" customWidth="1"/>
    <col min="4349" max="4349" width="6.5546875" style="40" customWidth="1"/>
    <col min="4350" max="4350" width="9.109375" style="40" bestFit="1"/>
    <col min="4351" max="4351" width="12.33203125" style="40" customWidth="1"/>
    <col min="4352" max="4352" width="32.5546875" style="40" customWidth="1"/>
    <col min="4353" max="4353" width="15.5546875" style="40" customWidth="1"/>
    <col min="4354" max="4354" width="28.88671875" style="40" customWidth="1"/>
    <col min="4355" max="4355" width="14" style="40" bestFit="1" customWidth="1"/>
    <col min="4356" max="4357" width="15" style="40" bestFit="1" customWidth="1"/>
    <col min="4358" max="4358" width="18.109375" style="40" customWidth="1"/>
    <col min="4359" max="4359" width="20.88671875" style="40" customWidth="1"/>
    <col min="4360" max="4360" width="15.109375" style="40" customWidth="1"/>
    <col min="4361" max="4361" width="13.88671875" style="40" bestFit="1" customWidth="1"/>
    <col min="4362" max="4362" width="12.33203125" style="40" bestFit="1" customWidth="1"/>
    <col min="4363" max="4363" width="23.44140625" style="40" bestFit="1" customWidth="1"/>
    <col min="4364" max="4598" width="9.109375" style="40" bestFit="1"/>
    <col min="4599" max="4601" width="1.6640625" style="40" customWidth="1"/>
    <col min="4602" max="4602" width="12.109375" style="40" customWidth="1"/>
    <col min="4603" max="4603" width="16" style="40" customWidth="1"/>
    <col min="4604" max="4604" width="5.6640625" style="40" customWidth="1"/>
    <col min="4605" max="4605" width="6.5546875" style="40" customWidth="1"/>
    <col min="4606" max="4606" width="9.109375" style="40" bestFit="1"/>
    <col min="4607" max="4607" width="12.33203125" style="40" customWidth="1"/>
    <col min="4608" max="4608" width="32.5546875" style="40" customWidth="1"/>
    <col min="4609" max="4609" width="15.5546875" style="40" customWidth="1"/>
    <col min="4610" max="4610" width="28.88671875" style="40" customWidth="1"/>
    <col min="4611" max="4611" width="14" style="40" bestFit="1" customWidth="1"/>
    <col min="4612" max="4613" width="15" style="40" bestFit="1" customWidth="1"/>
    <col min="4614" max="4614" width="18.109375" style="40" customWidth="1"/>
    <col min="4615" max="4615" width="20.88671875" style="40" customWidth="1"/>
    <col min="4616" max="4616" width="15.109375" style="40" customWidth="1"/>
    <col min="4617" max="4617" width="13.88671875" style="40" bestFit="1" customWidth="1"/>
    <col min="4618" max="4618" width="12.33203125" style="40" bestFit="1" customWidth="1"/>
    <col min="4619" max="4619" width="23.44140625" style="40" bestFit="1" customWidth="1"/>
    <col min="4620" max="4854" width="9.109375" style="40" bestFit="1"/>
    <col min="4855" max="4857" width="1.6640625" style="40" customWidth="1"/>
    <col min="4858" max="4858" width="12.109375" style="40" customWidth="1"/>
    <col min="4859" max="4859" width="16" style="40" customWidth="1"/>
    <col min="4860" max="4860" width="5.6640625" style="40" customWidth="1"/>
    <col min="4861" max="4861" width="6.5546875" style="40" customWidth="1"/>
    <col min="4862" max="4862" width="9.109375" style="40" bestFit="1"/>
    <col min="4863" max="4863" width="12.33203125" style="40" customWidth="1"/>
    <col min="4864" max="4864" width="32.5546875" style="40" customWidth="1"/>
    <col min="4865" max="4865" width="15.5546875" style="40" customWidth="1"/>
    <col min="4866" max="4866" width="28.88671875" style="40" customWidth="1"/>
    <col min="4867" max="4867" width="14" style="40" bestFit="1" customWidth="1"/>
    <col min="4868" max="4869" width="15" style="40" bestFit="1" customWidth="1"/>
    <col min="4870" max="4870" width="18.109375" style="40" customWidth="1"/>
    <col min="4871" max="4871" width="20.88671875" style="40" customWidth="1"/>
    <col min="4872" max="4872" width="15.109375" style="40" customWidth="1"/>
    <col min="4873" max="4873" width="13.88671875" style="40" bestFit="1" customWidth="1"/>
    <col min="4874" max="4874" width="12.33203125" style="40" bestFit="1" customWidth="1"/>
    <col min="4875" max="4875" width="23.44140625" style="40" bestFit="1" customWidth="1"/>
    <col min="4876" max="5110" width="9.109375" style="40" bestFit="1"/>
    <col min="5111" max="5113" width="1.6640625" style="40" customWidth="1"/>
    <col min="5114" max="5114" width="12.109375" style="40" customWidth="1"/>
    <col min="5115" max="5115" width="16" style="40" customWidth="1"/>
    <col min="5116" max="5116" width="5.6640625" style="40" customWidth="1"/>
    <col min="5117" max="5117" width="6.5546875" style="40" customWidth="1"/>
    <col min="5118" max="5118" width="9.109375" style="40" bestFit="1"/>
    <col min="5119" max="5119" width="12.33203125" style="40" customWidth="1"/>
    <col min="5120" max="5120" width="32.5546875" style="40" customWidth="1"/>
    <col min="5121" max="5121" width="15.5546875" style="40" customWidth="1"/>
    <col min="5122" max="5122" width="28.88671875" style="40" customWidth="1"/>
    <col min="5123" max="5123" width="14" style="40" bestFit="1" customWidth="1"/>
    <col min="5124" max="5125" width="15" style="40" bestFit="1" customWidth="1"/>
    <col min="5126" max="5126" width="18.109375" style="40" customWidth="1"/>
    <col min="5127" max="5127" width="20.88671875" style="40" customWidth="1"/>
    <col min="5128" max="5128" width="15.109375" style="40" customWidth="1"/>
    <col min="5129" max="5129" width="13.88671875" style="40" bestFit="1" customWidth="1"/>
    <col min="5130" max="5130" width="12.33203125" style="40" bestFit="1" customWidth="1"/>
    <col min="5131" max="5131" width="23.44140625" style="40" bestFit="1" customWidth="1"/>
    <col min="5132" max="5366" width="9.109375" style="40" bestFit="1"/>
    <col min="5367" max="5369" width="1.6640625" style="40" customWidth="1"/>
    <col min="5370" max="5370" width="12.109375" style="40" customWidth="1"/>
    <col min="5371" max="5371" width="16" style="40" customWidth="1"/>
    <col min="5372" max="5372" width="5.6640625" style="40" customWidth="1"/>
    <col min="5373" max="5373" width="6.5546875" style="40" customWidth="1"/>
    <col min="5374" max="5374" width="9.109375" style="40" bestFit="1"/>
    <col min="5375" max="5375" width="12.33203125" style="40" customWidth="1"/>
    <col min="5376" max="5376" width="32.5546875" style="40" customWidth="1"/>
    <col min="5377" max="5377" width="15.5546875" style="40" customWidth="1"/>
    <col min="5378" max="5378" width="28.88671875" style="40" customWidth="1"/>
    <col min="5379" max="5379" width="14" style="40" bestFit="1" customWidth="1"/>
    <col min="5380" max="5381" width="15" style="40" bestFit="1" customWidth="1"/>
    <col min="5382" max="5382" width="18.109375" style="40" customWidth="1"/>
    <col min="5383" max="5383" width="20.88671875" style="40" customWidth="1"/>
    <col min="5384" max="5384" width="15.109375" style="40" customWidth="1"/>
    <col min="5385" max="5385" width="13.88671875" style="40" bestFit="1" customWidth="1"/>
    <col min="5386" max="5386" width="12.33203125" style="40" bestFit="1" customWidth="1"/>
    <col min="5387" max="5387" width="23.44140625" style="40" bestFit="1" customWidth="1"/>
    <col min="5388" max="5622" width="9.109375" style="40" bestFit="1"/>
    <col min="5623" max="5625" width="1.6640625" style="40" customWidth="1"/>
    <col min="5626" max="5626" width="12.109375" style="40" customWidth="1"/>
    <col min="5627" max="5627" width="16" style="40" customWidth="1"/>
    <col min="5628" max="5628" width="5.6640625" style="40" customWidth="1"/>
    <col min="5629" max="5629" width="6.5546875" style="40" customWidth="1"/>
    <col min="5630" max="5630" width="9.109375" style="40" bestFit="1"/>
    <col min="5631" max="5631" width="12.33203125" style="40" customWidth="1"/>
    <col min="5632" max="5632" width="32.5546875" style="40" customWidth="1"/>
    <col min="5633" max="5633" width="15.5546875" style="40" customWidth="1"/>
    <col min="5634" max="5634" width="28.88671875" style="40" customWidth="1"/>
    <col min="5635" max="5635" width="14" style="40" bestFit="1" customWidth="1"/>
    <col min="5636" max="5637" width="15" style="40" bestFit="1" customWidth="1"/>
    <col min="5638" max="5638" width="18.109375" style="40" customWidth="1"/>
    <col min="5639" max="5639" width="20.88671875" style="40" customWidth="1"/>
    <col min="5640" max="5640" width="15.109375" style="40" customWidth="1"/>
    <col min="5641" max="5641" width="13.88671875" style="40" bestFit="1" customWidth="1"/>
    <col min="5642" max="5642" width="12.33203125" style="40" bestFit="1" customWidth="1"/>
    <col min="5643" max="5643" width="23.44140625" style="40" bestFit="1" customWidth="1"/>
    <col min="5644" max="5878" width="9.109375" style="40" bestFit="1"/>
    <col min="5879" max="5881" width="1.6640625" style="40" customWidth="1"/>
    <col min="5882" max="5882" width="12.109375" style="40" customWidth="1"/>
    <col min="5883" max="5883" width="16" style="40" customWidth="1"/>
    <col min="5884" max="5884" width="5.6640625" style="40" customWidth="1"/>
    <col min="5885" max="5885" width="6.5546875" style="40" customWidth="1"/>
    <col min="5886" max="5886" width="9.109375" style="40" bestFit="1"/>
    <col min="5887" max="5887" width="12.33203125" style="40" customWidth="1"/>
    <col min="5888" max="5888" width="32.5546875" style="40" customWidth="1"/>
    <col min="5889" max="5889" width="15.5546875" style="40" customWidth="1"/>
    <col min="5890" max="5890" width="28.88671875" style="40" customWidth="1"/>
    <col min="5891" max="5891" width="14" style="40" bestFit="1" customWidth="1"/>
    <col min="5892" max="5893" width="15" style="40" bestFit="1" customWidth="1"/>
    <col min="5894" max="5894" width="18.109375" style="40" customWidth="1"/>
    <col min="5895" max="5895" width="20.88671875" style="40" customWidth="1"/>
    <col min="5896" max="5896" width="15.109375" style="40" customWidth="1"/>
    <col min="5897" max="5897" width="13.88671875" style="40" bestFit="1" customWidth="1"/>
    <col min="5898" max="5898" width="12.33203125" style="40" bestFit="1" customWidth="1"/>
    <col min="5899" max="5899" width="23.44140625" style="40" bestFit="1" customWidth="1"/>
    <col min="5900" max="6134" width="9.109375" style="40" bestFit="1"/>
    <col min="6135" max="6137" width="1.6640625" style="40" customWidth="1"/>
    <col min="6138" max="6138" width="12.109375" style="40" customWidth="1"/>
    <col min="6139" max="6139" width="16" style="40" customWidth="1"/>
    <col min="6140" max="6140" width="5.6640625" style="40" customWidth="1"/>
    <col min="6141" max="6141" width="6.5546875" style="40" customWidth="1"/>
    <col min="6142" max="6142" width="9.109375" style="40" bestFit="1"/>
    <col min="6143" max="6143" width="12.33203125" style="40" customWidth="1"/>
    <col min="6144" max="6144" width="32.5546875" style="40" customWidth="1"/>
    <col min="6145" max="6145" width="15.5546875" style="40" customWidth="1"/>
    <col min="6146" max="6146" width="28.88671875" style="40" customWidth="1"/>
    <col min="6147" max="6147" width="14" style="40" bestFit="1" customWidth="1"/>
    <col min="6148" max="6149" width="15" style="40" bestFit="1" customWidth="1"/>
    <col min="6150" max="6150" width="18.109375" style="40" customWidth="1"/>
    <col min="6151" max="6151" width="20.88671875" style="40" customWidth="1"/>
    <col min="6152" max="6152" width="15.109375" style="40" customWidth="1"/>
    <col min="6153" max="6153" width="13.88671875" style="40" bestFit="1" customWidth="1"/>
    <col min="6154" max="6154" width="12.33203125" style="40" bestFit="1" customWidth="1"/>
    <col min="6155" max="6155" width="23.44140625" style="40" bestFit="1" customWidth="1"/>
    <col min="6156" max="6390" width="9.109375" style="40" bestFit="1"/>
    <col min="6391" max="6393" width="1.6640625" style="40" customWidth="1"/>
    <col min="6394" max="6394" width="12.109375" style="40" customWidth="1"/>
    <col min="6395" max="6395" width="16" style="40" customWidth="1"/>
    <col min="6396" max="6396" width="5.6640625" style="40" customWidth="1"/>
    <col min="6397" max="6397" width="6.5546875" style="40" customWidth="1"/>
    <col min="6398" max="6398" width="9.109375" style="40" bestFit="1"/>
    <col min="6399" max="6399" width="12.33203125" style="40" customWidth="1"/>
    <col min="6400" max="6400" width="32.5546875" style="40" customWidth="1"/>
    <col min="6401" max="6401" width="15.5546875" style="40" customWidth="1"/>
    <col min="6402" max="6402" width="28.88671875" style="40" customWidth="1"/>
    <col min="6403" max="6403" width="14" style="40" bestFit="1" customWidth="1"/>
    <col min="6404" max="6405" width="15" style="40" bestFit="1" customWidth="1"/>
    <col min="6406" max="6406" width="18.109375" style="40" customWidth="1"/>
    <col min="6407" max="6407" width="20.88671875" style="40" customWidth="1"/>
    <col min="6408" max="6408" width="15.109375" style="40" customWidth="1"/>
    <col min="6409" max="6409" width="13.88671875" style="40" bestFit="1" customWidth="1"/>
    <col min="6410" max="6410" width="12.33203125" style="40" bestFit="1" customWidth="1"/>
    <col min="6411" max="6411" width="23.44140625" style="40" bestFit="1" customWidth="1"/>
    <col min="6412" max="6646" width="9.109375" style="40" bestFit="1"/>
    <col min="6647" max="6649" width="1.6640625" style="40" customWidth="1"/>
    <col min="6650" max="6650" width="12.109375" style="40" customWidth="1"/>
    <col min="6651" max="6651" width="16" style="40" customWidth="1"/>
    <col min="6652" max="6652" width="5.6640625" style="40" customWidth="1"/>
    <col min="6653" max="6653" width="6.5546875" style="40" customWidth="1"/>
    <col min="6654" max="6654" width="9.109375" style="40" bestFit="1"/>
    <col min="6655" max="6655" width="12.33203125" style="40" customWidth="1"/>
    <col min="6656" max="6656" width="32.5546875" style="40" customWidth="1"/>
    <col min="6657" max="6657" width="15.5546875" style="40" customWidth="1"/>
    <col min="6658" max="6658" width="28.88671875" style="40" customWidth="1"/>
    <col min="6659" max="6659" width="14" style="40" bestFit="1" customWidth="1"/>
    <col min="6660" max="6661" width="15" style="40" bestFit="1" customWidth="1"/>
    <col min="6662" max="6662" width="18.109375" style="40" customWidth="1"/>
    <col min="6663" max="6663" width="20.88671875" style="40" customWidth="1"/>
    <col min="6664" max="6664" width="15.109375" style="40" customWidth="1"/>
    <col min="6665" max="6665" width="13.88671875" style="40" bestFit="1" customWidth="1"/>
    <col min="6666" max="6666" width="12.33203125" style="40" bestFit="1" customWidth="1"/>
    <col min="6667" max="6667" width="23.44140625" style="40" bestFit="1" customWidth="1"/>
    <col min="6668" max="6902" width="9.109375" style="40" bestFit="1"/>
    <col min="6903" max="6905" width="1.6640625" style="40" customWidth="1"/>
    <col min="6906" max="6906" width="12.109375" style="40" customWidth="1"/>
    <col min="6907" max="6907" width="16" style="40" customWidth="1"/>
    <col min="6908" max="6908" width="5.6640625" style="40" customWidth="1"/>
    <col min="6909" max="6909" width="6.5546875" style="40" customWidth="1"/>
    <col min="6910" max="6910" width="9.109375" style="40" bestFit="1"/>
    <col min="6911" max="6911" width="12.33203125" style="40" customWidth="1"/>
    <col min="6912" max="6912" width="32.5546875" style="40" customWidth="1"/>
    <col min="6913" max="6913" width="15.5546875" style="40" customWidth="1"/>
    <col min="6914" max="6914" width="28.88671875" style="40" customWidth="1"/>
    <col min="6915" max="6915" width="14" style="40" bestFit="1" customWidth="1"/>
    <col min="6916" max="6917" width="15" style="40" bestFit="1" customWidth="1"/>
    <col min="6918" max="6918" width="18.109375" style="40" customWidth="1"/>
    <col min="6919" max="6919" width="20.88671875" style="40" customWidth="1"/>
    <col min="6920" max="6920" width="15.109375" style="40" customWidth="1"/>
    <col min="6921" max="6921" width="13.88671875" style="40" bestFit="1" customWidth="1"/>
    <col min="6922" max="6922" width="12.33203125" style="40" bestFit="1" customWidth="1"/>
    <col min="6923" max="6923" width="23.44140625" style="40" bestFit="1" customWidth="1"/>
    <col min="6924" max="7158" width="9.109375" style="40" bestFit="1"/>
    <col min="7159" max="7161" width="1.6640625" style="40" customWidth="1"/>
    <col min="7162" max="7162" width="12.109375" style="40" customWidth="1"/>
    <col min="7163" max="7163" width="16" style="40" customWidth="1"/>
    <col min="7164" max="7164" width="5.6640625" style="40" customWidth="1"/>
    <col min="7165" max="7165" width="6.5546875" style="40" customWidth="1"/>
    <col min="7166" max="7166" width="9.109375" style="40" bestFit="1"/>
    <col min="7167" max="7167" width="12.33203125" style="40" customWidth="1"/>
    <col min="7168" max="7168" width="32.5546875" style="40" customWidth="1"/>
    <col min="7169" max="7169" width="15.5546875" style="40" customWidth="1"/>
    <col min="7170" max="7170" width="28.88671875" style="40" customWidth="1"/>
    <col min="7171" max="7171" width="14" style="40" bestFit="1" customWidth="1"/>
    <col min="7172" max="7173" width="15" style="40" bestFit="1" customWidth="1"/>
    <col min="7174" max="7174" width="18.109375" style="40" customWidth="1"/>
    <col min="7175" max="7175" width="20.88671875" style="40" customWidth="1"/>
    <col min="7176" max="7176" width="15.109375" style="40" customWidth="1"/>
    <col min="7177" max="7177" width="13.88671875" style="40" bestFit="1" customWidth="1"/>
    <col min="7178" max="7178" width="12.33203125" style="40" bestFit="1" customWidth="1"/>
    <col min="7179" max="7179" width="23.44140625" style="40" bestFit="1" customWidth="1"/>
    <col min="7180" max="7414" width="9.109375" style="40" bestFit="1"/>
    <col min="7415" max="7417" width="1.6640625" style="40" customWidth="1"/>
    <col min="7418" max="7418" width="12.109375" style="40" customWidth="1"/>
    <col min="7419" max="7419" width="16" style="40" customWidth="1"/>
    <col min="7420" max="7420" width="5.6640625" style="40" customWidth="1"/>
    <col min="7421" max="7421" width="6.5546875" style="40" customWidth="1"/>
    <col min="7422" max="7422" width="9.109375" style="40" bestFit="1"/>
    <col min="7423" max="7423" width="12.33203125" style="40" customWidth="1"/>
    <col min="7424" max="7424" width="32.5546875" style="40" customWidth="1"/>
    <col min="7425" max="7425" width="15.5546875" style="40" customWidth="1"/>
    <col min="7426" max="7426" width="28.88671875" style="40" customWidth="1"/>
    <col min="7427" max="7427" width="14" style="40" bestFit="1" customWidth="1"/>
    <col min="7428" max="7429" width="15" style="40" bestFit="1" customWidth="1"/>
    <col min="7430" max="7430" width="18.109375" style="40" customWidth="1"/>
    <col min="7431" max="7431" width="20.88671875" style="40" customWidth="1"/>
    <col min="7432" max="7432" width="15.109375" style="40" customWidth="1"/>
    <col min="7433" max="7433" width="13.88671875" style="40" bestFit="1" customWidth="1"/>
    <col min="7434" max="7434" width="12.33203125" style="40" bestFit="1" customWidth="1"/>
    <col min="7435" max="7435" width="23.44140625" style="40" bestFit="1" customWidth="1"/>
    <col min="7436" max="7670" width="9.109375" style="40" bestFit="1"/>
    <col min="7671" max="7673" width="1.6640625" style="40" customWidth="1"/>
    <col min="7674" max="7674" width="12.109375" style="40" customWidth="1"/>
    <col min="7675" max="7675" width="16" style="40" customWidth="1"/>
    <col min="7676" max="7676" width="5.6640625" style="40" customWidth="1"/>
    <col min="7677" max="7677" width="6.5546875" style="40" customWidth="1"/>
    <col min="7678" max="7678" width="9.109375" style="40" bestFit="1"/>
    <col min="7679" max="7679" width="12.33203125" style="40" customWidth="1"/>
    <col min="7680" max="7680" width="32.5546875" style="40" customWidth="1"/>
    <col min="7681" max="7681" width="15.5546875" style="40" customWidth="1"/>
    <col min="7682" max="7682" width="28.88671875" style="40" customWidth="1"/>
    <col min="7683" max="7683" width="14" style="40" bestFit="1" customWidth="1"/>
    <col min="7684" max="7685" width="15" style="40" bestFit="1" customWidth="1"/>
    <col min="7686" max="7686" width="18.109375" style="40" customWidth="1"/>
    <col min="7687" max="7687" width="20.88671875" style="40" customWidth="1"/>
    <col min="7688" max="7688" width="15.109375" style="40" customWidth="1"/>
    <col min="7689" max="7689" width="13.88671875" style="40" bestFit="1" customWidth="1"/>
    <col min="7690" max="7690" width="12.33203125" style="40" bestFit="1" customWidth="1"/>
    <col min="7691" max="7691" width="23.44140625" style="40" bestFit="1" customWidth="1"/>
    <col min="7692" max="7926" width="9.109375" style="40" bestFit="1"/>
    <col min="7927" max="7929" width="1.6640625" style="40" customWidth="1"/>
    <col min="7930" max="7930" width="12.109375" style="40" customWidth="1"/>
    <col min="7931" max="7931" width="16" style="40" customWidth="1"/>
    <col min="7932" max="7932" width="5.6640625" style="40" customWidth="1"/>
    <col min="7933" max="7933" width="6.5546875" style="40" customWidth="1"/>
    <col min="7934" max="7934" width="9.109375" style="40" bestFit="1"/>
    <col min="7935" max="7935" width="12.33203125" style="40" customWidth="1"/>
    <col min="7936" max="7936" width="32.5546875" style="40" customWidth="1"/>
    <col min="7937" max="7937" width="15.5546875" style="40" customWidth="1"/>
    <col min="7938" max="7938" width="28.88671875" style="40" customWidth="1"/>
    <col min="7939" max="7939" width="14" style="40" bestFit="1" customWidth="1"/>
    <col min="7940" max="7941" width="15" style="40" bestFit="1" customWidth="1"/>
    <col min="7942" max="7942" width="18.109375" style="40" customWidth="1"/>
    <col min="7943" max="7943" width="20.88671875" style="40" customWidth="1"/>
    <col min="7944" max="7944" width="15.109375" style="40" customWidth="1"/>
    <col min="7945" max="7945" width="13.88671875" style="40" bestFit="1" customWidth="1"/>
    <col min="7946" max="7946" width="12.33203125" style="40" bestFit="1" customWidth="1"/>
    <col min="7947" max="7947" width="23.44140625" style="40" bestFit="1" customWidth="1"/>
    <col min="7948" max="8182" width="9.109375" style="40" bestFit="1"/>
    <col min="8183" max="8185" width="1.6640625" style="40" customWidth="1"/>
    <col min="8186" max="8186" width="12.109375" style="40" customWidth="1"/>
    <col min="8187" max="8187" width="16" style="40" customWidth="1"/>
    <col min="8188" max="8188" width="5.6640625" style="40" customWidth="1"/>
    <col min="8189" max="8189" width="6.5546875" style="40" customWidth="1"/>
    <col min="8190" max="8190" width="9.109375" style="40" bestFit="1"/>
    <col min="8191" max="8191" width="12.33203125" style="40" customWidth="1"/>
    <col min="8192" max="8192" width="32.5546875" style="40" customWidth="1"/>
    <col min="8193" max="8193" width="15.5546875" style="40" customWidth="1"/>
    <col min="8194" max="8194" width="28.88671875" style="40" customWidth="1"/>
    <col min="8195" max="8195" width="14" style="40" bestFit="1" customWidth="1"/>
    <col min="8196" max="8197" width="15" style="40" bestFit="1" customWidth="1"/>
    <col min="8198" max="8198" width="18.109375" style="40" customWidth="1"/>
    <col min="8199" max="8199" width="20.88671875" style="40" customWidth="1"/>
    <col min="8200" max="8200" width="15.109375" style="40" customWidth="1"/>
    <col min="8201" max="8201" width="13.88671875" style="40" bestFit="1" customWidth="1"/>
    <col min="8202" max="8202" width="12.33203125" style="40" bestFit="1" customWidth="1"/>
    <col min="8203" max="8203" width="23.44140625" style="40" bestFit="1" customWidth="1"/>
    <col min="8204" max="8438" width="9.109375" style="40" bestFit="1"/>
    <col min="8439" max="8441" width="1.6640625" style="40" customWidth="1"/>
    <col min="8442" max="8442" width="12.109375" style="40" customWidth="1"/>
    <col min="8443" max="8443" width="16" style="40" customWidth="1"/>
    <col min="8444" max="8444" width="5.6640625" style="40" customWidth="1"/>
    <col min="8445" max="8445" width="6.5546875" style="40" customWidth="1"/>
    <col min="8446" max="8446" width="9.109375" style="40" bestFit="1"/>
    <col min="8447" max="8447" width="12.33203125" style="40" customWidth="1"/>
    <col min="8448" max="8448" width="32.5546875" style="40" customWidth="1"/>
    <col min="8449" max="8449" width="15.5546875" style="40" customWidth="1"/>
    <col min="8450" max="8450" width="28.88671875" style="40" customWidth="1"/>
    <col min="8451" max="8451" width="14" style="40" bestFit="1" customWidth="1"/>
    <col min="8452" max="8453" width="15" style="40" bestFit="1" customWidth="1"/>
    <col min="8454" max="8454" width="18.109375" style="40" customWidth="1"/>
    <col min="8455" max="8455" width="20.88671875" style="40" customWidth="1"/>
    <col min="8456" max="8456" width="15.109375" style="40" customWidth="1"/>
    <col min="8457" max="8457" width="13.88671875" style="40" bestFit="1" customWidth="1"/>
    <col min="8458" max="8458" width="12.33203125" style="40" bestFit="1" customWidth="1"/>
    <col min="8459" max="8459" width="23.44140625" style="40" bestFit="1" customWidth="1"/>
    <col min="8460" max="8694" width="9.109375" style="40" bestFit="1"/>
    <col min="8695" max="8697" width="1.6640625" style="40" customWidth="1"/>
    <col min="8698" max="8698" width="12.109375" style="40" customWidth="1"/>
    <col min="8699" max="8699" width="16" style="40" customWidth="1"/>
    <col min="8700" max="8700" width="5.6640625" style="40" customWidth="1"/>
    <col min="8701" max="8701" width="6.5546875" style="40" customWidth="1"/>
    <col min="8702" max="8702" width="9.109375" style="40" bestFit="1"/>
    <col min="8703" max="8703" width="12.33203125" style="40" customWidth="1"/>
    <col min="8704" max="8704" width="32.5546875" style="40" customWidth="1"/>
    <col min="8705" max="8705" width="15.5546875" style="40" customWidth="1"/>
    <col min="8706" max="8706" width="28.88671875" style="40" customWidth="1"/>
    <col min="8707" max="8707" width="14" style="40" bestFit="1" customWidth="1"/>
    <col min="8708" max="8709" width="15" style="40" bestFit="1" customWidth="1"/>
    <col min="8710" max="8710" width="18.109375" style="40" customWidth="1"/>
    <col min="8711" max="8711" width="20.88671875" style="40" customWidth="1"/>
    <col min="8712" max="8712" width="15.109375" style="40" customWidth="1"/>
    <col min="8713" max="8713" width="13.88671875" style="40" bestFit="1" customWidth="1"/>
    <col min="8714" max="8714" width="12.33203125" style="40" bestFit="1" customWidth="1"/>
    <col min="8715" max="8715" width="23.44140625" style="40" bestFit="1" customWidth="1"/>
    <col min="8716" max="8950" width="9.109375" style="40" bestFit="1"/>
    <col min="8951" max="8953" width="1.6640625" style="40" customWidth="1"/>
    <col min="8954" max="8954" width="12.109375" style="40" customWidth="1"/>
    <col min="8955" max="8955" width="16" style="40" customWidth="1"/>
    <col min="8956" max="8956" width="5.6640625" style="40" customWidth="1"/>
    <col min="8957" max="8957" width="6.5546875" style="40" customWidth="1"/>
    <col min="8958" max="8958" width="9.109375" style="40" bestFit="1"/>
    <col min="8959" max="8959" width="12.33203125" style="40" customWidth="1"/>
    <col min="8960" max="8960" width="32.5546875" style="40" customWidth="1"/>
    <col min="8961" max="8961" width="15.5546875" style="40" customWidth="1"/>
    <col min="8962" max="8962" width="28.88671875" style="40" customWidth="1"/>
    <col min="8963" max="8963" width="14" style="40" bestFit="1" customWidth="1"/>
    <col min="8964" max="8965" width="15" style="40" bestFit="1" customWidth="1"/>
    <col min="8966" max="8966" width="18.109375" style="40" customWidth="1"/>
    <col min="8967" max="8967" width="20.88671875" style="40" customWidth="1"/>
    <col min="8968" max="8968" width="15.109375" style="40" customWidth="1"/>
    <col min="8969" max="8969" width="13.88671875" style="40" bestFit="1" customWidth="1"/>
    <col min="8970" max="8970" width="12.33203125" style="40" bestFit="1" customWidth="1"/>
    <col min="8971" max="8971" width="23.44140625" style="40" bestFit="1" customWidth="1"/>
    <col min="8972" max="9206" width="9.109375" style="40" bestFit="1"/>
    <col min="9207" max="9209" width="1.6640625" style="40" customWidth="1"/>
    <col min="9210" max="9210" width="12.109375" style="40" customWidth="1"/>
    <col min="9211" max="9211" width="16" style="40" customWidth="1"/>
    <col min="9212" max="9212" width="5.6640625" style="40" customWidth="1"/>
    <col min="9213" max="9213" width="6.5546875" style="40" customWidth="1"/>
    <col min="9214" max="9214" width="9.109375" style="40" bestFit="1"/>
    <col min="9215" max="9215" width="12.33203125" style="40" customWidth="1"/>
    <col min="9216" max="9216" width="32.5546875" style="40" customWidth="1"/>
    <col min="9217" max="9217" width="15.5546875" style="40" customWidth="1"/>
    <col min="9218" max="9218" width="28.88671875" style="40" customWidth="1"/>
    <col min="9219" max="9219" width="14" style="40" bestFit="1" customWidth="1"/>
    <col min="9220" max="9221" width="15" style="40" bestFit="1" customWidth="1"/>
    <col min="9222" max="9222" width="18.109375" style="40" customWidth="1"/>
    <col min="9223" max="9223" width="20.88671875" style="40" customWidth="1"/>
    <col min="9224" max="9224" width="15.109375" style="40" customWidth="1"/>
    <col min="9225" max="9225" width="13.88671875" style="40" bestFit="1" customWidth="1"/>
    <col min="9226" max="9226" width="12.33203125" style="40" bestFit="1" customWidth="1"/>
    <col min="9227" max="9227" width="23.44140625" style="40" bestFit="1" customWidth="1"/>
    <col min="9228" max="9462" width="9.109375" style="40" bestFit="1"/>
    <col min="9463" max="9465" width="1.6640625" style="40" customWidth="1"/>
    <col min="9466" max="9466" width="12.109375" style="40" customWidth="1"/>
    <col min="9467" max="9467" width="16" style="40" customWidth="1"/>
    <col min="9468" max="9468" width="5.6640625" style="40" customWidth="1"/>
    <col min="9469" max="9469" width="6.5546875" style="40" customWidth="1"/>
    <col min="9470" max="9470" width="9.109375" style="40" bestFit="1"/>
    <col min="9471" max="9471" width="12.33203125" style="40" customWidth="1"/>
    <col min="9472" max="9472" width="32.5546875" style="40" customWidth="1"/>
    <col min="9473" max="9473" width="15.5546875" style="40" customWidth="1"/>
    <col min="9474" max="9474" width="28.88671875" style="40" customWidth="1"/>
    <col min="9475" max="9475" width="14" style="40" bestFit="1" customWidth="1"/>
    <col min="9476" max="9477" width="15" style="40" bestFit="1" customWidth="1"/>
    <col min="9478" max="9478" width="18.109375" style="40" customWidth="1"/>
    <col min="9479" max="9479" width="20.88671875" style="40" customWidth="1"/>
    <col min="9480" max="9480" width="15.109375" style="40" customWidth="1"/>
    <col min="9481" max="9481" width="13.88671875" style="40" bestFit="1" customWidth="1"/>
    <col min="9482" max="9482" width="12.33203125" style="40" bestFit="1" customWidth="1"/>
    <col min="9483" max="9483" width="23.44140625" style="40" bestFit="1" customWidth="1"/>
    <col min="9484" max="9718" width="9.109375" style="40" bestFit="1"/>
    <col min="9719" max="9721" width="1.6640625" style="40" customWidth="1"/>
    <col min="9722" max="9722" width="12.109375" style="40" customWidth="1"/>
    <col min="9723" max="9723" width="16" style="40" customWidth="1"/>
    <col min="9724" max="9724" width="5.6640625" style="40" customWidth="1"/>
    <col min="9725" max="9725" width="6.5546875" style="40" customWidth="1"/>
    <col min="9726" max="9726" width="9.109375" style="40" bestFit="1"/>
    <col min="9727" max="9727" width="12.33203125" style="40" customWidth="1"/>
    <col min="9728" max="9728" width="32.5546875" style="40" customWidth="1"/>
    <col min="9729" max="9729" width="15.5546875" style="40" customWidth="1"/>
    <col min="9730" max="9730" width="28.88671875" style="40" customWidth="1"/>
    <col min="9731" max="9731" width="14" style="40" bestFit="1" customWidth="1"/>
    <col min="9732" max="9733" width="15" style="40" bestFit="1" customWidth="1"/>
    <col min="9734" max="9734" width="18.109375" style="40" customWidth="1"/>
    <col min="9735" max="9735" width="20.88671875" style="40" customWidth="1"/>
    <col min="9736" max="9736" width="15.109375" style="40" customWidth="1"/>
    <col min="9737" max="9737" width="13.88671875" style="40" bestFit="1" customWidth="1"/>
    <col min="9738" max="9738" width="12.33203125" style="40" bestFit="1" customWidth="1"/>
    <col min="9739" max="9739" width="23.44140625" style="40" bestFit="1" customWidth="1"/>
    <col min="9740" max="9974" width="9.109375" style="40" bestFit="1"/>
    <col min="9975" max="9977" width="1.6640625" style="40" customWidth="1"/>
    <col min="9978" max="9978" width="12.109375" style="40" customWidth="1"/>
    <col min="9979" max="9979" width="16" style="40" customWidth="1"/>
    <col min="9980" max="9980" width="5.6640625" style="40" customWidth="1"/>
    <col min="9981" max="9981" width="6.5546875" style="40" customWidth="1"/>
    <col min="9982" max="9982" width="9.109375" style="40" bestFit="1"/>
    <col min="9983" max="9983" width="12.33203125" style="40" customWidth="1"/>
    <col min="9984" max="9984" width="32.5546875" style="40" customWidth="1"/>
    <col min="9985" max="9985" width="15.5546875" style="40" customWidth="1"/>
    <col min="9986" max="9986" width="28.88671875" style="40" customWidth="1"/>
    <col min="9987" max="9987" width="14" style="40" bestFit="1" customWidth="1"/>
    <col min="9988" max="9989" width="15" style="40" bestFit="1" customWidth="1"/>
    <col min="9990" max="9990" width="18.109375" style="40" customWidth="1"/>
    <col min="9991" max="9991" width="20.88671875" style="40" customWidth="1"/>
    <col min="9992" max="9992" width="15.109375" style="40" customWidth="1"/>
    <col min="9993" max="9993" width="13.88671875" style="40" bestFit="1" customWidth="1"/>
    <col min="9994" max="9994" width="12.33203125" style="40" bestFit="1" customWidth="1"/>
    <col min="9995" max="9995" width="23.44140625" style="40" bestFit="1" customWidth="1"/>
    <col min="9996" max="10230" width="9.109375" style="40" bestFit="1"/>
    <col min="10231" max="10233" width="1.6640625" style="40" customWidth="1"/>
    <col min="10234" max="10234" width="12.109375" style="40" customWidth="1"/>
    <col min="10235" max="10235" width="16" style="40" customWidth="1"/>
    <col min="10236" max="10236" width="5.6640625" style="40" customWidth="1"/>
    <col min="10237" max="10237" width="6.5546875" style="40" customWidth="1"/>
    <col min="10238" max="10238" width="9.109375" style="40" bestFit="1"/>
    <col min="10239" max="10239" width="12.33203125" style="40" customWidth="1"/>
    <col min="10240" max="10240" width="32.5546875" style="40" customWidth="1"/>
    <col min="10241" max="10241" width="15.5546875" style="40" customWidth="1"/>
    <col min="10242" max="10242" width="28.88671875" style="40" customWidth="1"/>
    <col min="10243" max="10243" width="14" style="40" bestFit="1" customWidth="1"/>
    <col min="10244" max="10245" width="15" style="40" bestFit="1" customWidth="1"/>
    <col min="10246" max="10246" width="18.109375" style="40" customWidth="1"/>
    <col min="10247" max="10247" width="20.88671875" style="40" customWidth="1"/>
    <col min="10248" max="10248" width="15.109375" style="40" customWidth="1"/>
    <col min="10249" max="10249" width="13.88671875" style="40" bestFit="1" customWidth="1"/>
    <col min="10250" max="10250" width="12.33203125" style="40" bestFit="1" customWidth="1"/>
    <col min="10251" max="10251" width="23.44140625" style="40" bestFit="1" customWidth="1"/>
    <col min="10252" max="10486" width="9.109375" style="40" bestFit="1"/>
    <col min="10487" max="10489" width="1.6640625" style="40" customWidth="1"/>
    <col min="10490" max="10490" width="12.109375" style="40" customWidth="1"/>
    <col min="10491" max="10491" width="16" style="40" customWidth="1"/>
    <col min="10492" max="10492" width="5.6640625" style="40" customWidth="1"/>
    <col min="10493" max="10493" width="6.5546875" style="40" customWidth="1"/>
    <col min="10494" max="10494" width="9.109375" style="40" bestFit="1"/>
    <col min="10495" max="10495" width="12.33203125" style="40" customWidth="1"/>
    <col min="10496" max="10496" width="32.5546875" style="40" customWidth="1"/>
    <col min="10497" max="10497" width="15.5546875" style="40" customWidth="1"/>
    <col min="10498" max="10498" width="28.88671875" style="40" customWidth="1"/>
    <col min="10499" max="10499" width="14" style="40" bestFit="1" customWidth="1"/>
    <col min="10500" max="10501" width="15" style="40" bestFit="1" customWidth="1"/>
    <col min="10502" max="10502" width="18.109375" style="40" customWidth="1"/>
    <col min="10503" max="10503" width="20.88671875" style="40" customWidth="1"/>
    <col min="10504" max="10504" width="15.109375" style="40" customWidth="1"/>
    <col min="10505" max="10505" width="13.88671875" style="40" bestFit="1" customWidth="1"/>
    <col min="10506" max="10506" width="12.33203125" style="40" bestFit="1" customWidth="1"/>
    <col min="10507" max="10507" width="23.44140625" style="40" bestFit="1" customWidth="1"/>
    <col min="10508" max="10742" width="9.109375" style="40" bestFit="1"/>
    <col min="10743" max="10745" width="1.6640625" style="40" customWidth="1"/>
    <col min="10746" max="10746" width="12.109375" style="40" customWidth="1"/>
    <col min="10747" max="10747" width="16" style="40" customWidth="1"/>
    <col min="10748" max="10748" width="5.6640625" style="40" customWidth="1"/>
    <col min="10749" max="10749" width="6.5546875" style="40" customWidth="1"/>
    <col min="10750" max="10750" width="9.109375" style="40" bestFit="1"/>
    <col min="10751" max="10751" width="12.33203125" style="40" customWidth="1"/>
    <col min="10752" max="10752" width="32.5546875" style="40" customWidth="1"/>
    <col min="10753" max="10753" width="15.5546875" style="40" customWidth="1"/>
    <col min="10754" max="10754" width="28.88671875" style="40" customWidth="1"/>
    <col min="10755" max="10755" width="14" style="40" bestFit="1" customWidth="1"/>
    <col min="10756" max="10757" width="15" style="40" bestFit="1" customWidth="1"/>
    <col min="10758" max="10758" width="18.109375" style="40" customWidth="1"/>
    <col min="10759" max="10759" width="20.88671875" style="40" customWidth="1"/>
    <col min="10760" max="10760" width="15.109375" style="40" customWidth="1"/>
    <col min="10761" max="10761" width="13.88671875" style="40" bestFit="1" customWidth="1"/>
    <col min="10762" max="10762" width="12.33203125" style="40" bestFit="1" customWidth="1"/>
    <col min="10763" max="10763" width="23.44140625" style="40" bestFit="1" customWidth="1"/>
    <col min="10764" max="10998" width="9.109375" style="40" bestFit="1"/>
    <col min="10999" max="11001" width="1.6640625" style="40" customWidth="1"/>
    <col min="11002" max="11002" width="12.109375" style="40" customWidth="1"/>
    <col min="11003" max="11003" width="16" style="40" customWidth="1"/>
    <col min="11004" max="11004" width="5.6640625" style="40" customWidth="1"/>
    <col min="11005" max="11005" width="6.5546875" style="40" customWidth="1"/>
    <col min="11006" max="11006" width="9.109375" style="40" bestFit="1"/>
    <col min="11007" max="11007" width="12.33203125" style="40" customWidth="1"/>
    <col min="11008" max="11008" width="32.5546875" style="40" customWidth="1"/>
    <col min="11009" max="11009" width="15.5546875" style="40" customWidth="1"/>
    <col min="11010" max="11010" width="28.88671875" style="40" customWidth="1"/>
    <col min="11011" max="11011" width="14" style="40" bestFit="1" customWidth="1"/>
    <col min="11012" max="11013" width="15" style="40" bestFit="1" customWidth="1"/>
    <col min="11014" max="11014" width="18.109375" style="40" customWidth="1"/>
    <col min="11015" max="11015" width="20.88671875" style="40" customWidth="1"/>
    <col min="11016" max="11016" width="15.109375" style="40" customWidth="1"/>
    <col min="11017" max="11017" width="13.88671875" style="40" bestFit="1" customWidth="1"/>
    <col min="11018" max="11018" width="12.33203125" style="40" bestFit="1" customWidth="1"/>
    <col min="11019" max="11019" width="23.44140625" style="40" bestFit="1" customWidth="1"/>
    <col min="11020" max="11254" width="9.109375" style="40" bestFit="1"/>
    <col min="11255" max="11257" width="1.6640625" style="40" customWidth="1"/>
    <col min="11258" max="11258" width="12.109375" style="40" customWidth="1"/>
    <col min="11259" max="11259" width="16" style="40" customWidth="1"/>
    <col min="11260" max="11260" width="5.6640625" style="40" customWidth="1"/>
    <col min="11261" max="11261" width="6.5546875" style="40" customWidth="1"/>
    <col min="11262" max="11262" width="9.109375" style="40" bestFit="1"/>
    <col min="11263" max="11263" width="12.33203125" style="40" customWidth="1"/>
    <col min="11264" max="11264" width="32.5546875" style="40" customWidth="1"/>
    <col min="11265" max="11265" width="15.5546875" style="40" customWidth="1"/>
    <col min="11266" max="11266" width="28.88671875" style="40" customWidth="1"/>
    <col min="11267" max="11267" width="14" style="40" bestFit="1" customWidth="1"/>
    <col min="11268" max="11269" width="15" style="40" bestFit="1" customWidth="1"/>
    <col min="11270" max="11270" width="18.109375" style="40" customWidth="1"/>
    <col min="11271" max="11271" width="20.88671875" style="40" customWidth="1"/>
    <col min="11272" max="11272" width="15.109375" style="40" customWidth="1"/>
    <col min="11273" max="11273" width="13.88671875" style="40" bestFit="1" customWidth="1"/>
    <col min="11274" max="11274" width="12.33203125" style="40" bestFit="1" customWidth="1"/>
    <col min="11275" max="11275" width="23.44140625" style="40" bestFit="1" customWidth="1"/>
    <col min="11276" max="11510" width="9.109375" style="40" bestFit="1"/>
    <col min="11511" max="11513" width="1.6640625" style="40" customWidth="1"/>
    <col min="11514" max="11514" width="12.109375" style="40" customWidth="1"/>
    <col min="11515" max="11515" width="16" style="40" customWidth="1"/>
    <col min="11516" max="11516" width="5.6640625" style="40" customWidth="1"/>
    <col min="11517" max="11517" width="6.5546875" style="40" customWidth="1"/>
    <col min="11518" max="11518" width="9.109375" style="40" bestFit="1"/>
    <col min="11519" max="11519" width="12.33203125" style="40" customWidth="1"/>
    <col min="11520" max="11520" width="32.5546875" style="40" customWidth="1"/>
    <col min="11521" max="11521" width="15.5546875" style="40" customWidth="1"/>
    <col min="11522" max="11522" width="28.88671875" style="40" customWidth="1"/>
    <col min="11523" max="11523" width="14" style="40" bestFit="1" customWidth="1"/>
    <col min="11524" max="11525" width="15" style="40" bestFit="1" customWidth="1"/>
    <col min="11526" max="11526" width="18.109375" style="40" customWidth="1"/>
    <col min="11527" max="11527" width="20.88671875" style="40" customWidth="1"/>
    <col min="11528" max="11528" width="15.109375" style="40" customWidth="1"/>
    <col min="11529" max="11529" width="13.88671875" style="40" bestFit="1" customWidth="1"/>
    <col min="11530" max="11530" width="12.33203125" style="40" bestFit="1" customWidth="1"/>
    <col min="11531" max="11531" width="23.44140625" style="40" bestFit="1" customWidth="1"/>
    <col min="11532" max="11766" width="9.109375" style="40" bestFit="1"/>
    <col min="11767" max="11769" width="1.6640625" style="40" customWidth="1"/>
    <col min="11770" max="11770" width="12.109375" style="40" customWidth="1"/>
    <col min="11771" max="11771" width="16" style="40" customWidth="1"/>
    <col min="11772" max="11772" width="5.6640625" style="40" customWidth="1"/>
    <col min="11773" max="11773" width="6.5546875" style="40" customWidth="1"/>
    <col min="11774" max="11774" width="9.109375" style="40" bestFit="1"/>
    <col min="11775" max="11775" width="12.33203125" style="40" customWidth="1"/>
    <col min="11776" max="11776" width="32.5546875" style="40" customWidth="1"/>
    <col min="11777" max="11777" width="15.5546875" style="40" customWidth="1"/>
    <col min="11778" max="11778" width="28.88671875" style="40" customWidth="1"/>
    <col min="11779" max="11779" width="14" style="40" bestFit="1" customWidth="1"/>
    <col min="11780" max="11781" width="15" style="40" bestFit="1" customWidth="1"/>
    <col min="11782" max="11782" width="18.109375" style="40" customWidth="1"/>
    <col min="11783" max="11783" width="20.88671875" style="40" customWidth="1"/>
    <col min="11784" max="11784" width="15.109375" style="40" customWidth="1"/>
    <col min="11785" max="11785" width="13.88671875" style="40" bestFit="1" customWidth="1"/>
    <col min="11786" max="11786" width="12.33203125" style="40" bestFit="1" customWidth="1"/>
    <col min="11787" max="11787" width="23.44140625" style="40" bestFit="1" customWidth="1"/>
    <col min="11788" max="12022" width="9.109375" style="40" bestFit="1"/>
    <col min="12023" max="12025" width="1.6640625" style="40" customWidth="1"/>
    <col min="12026" max="12026" width="12.109375" style="40" customWidth="1"/>
    <col min="12027" max="12027" width="16" style="40" customWidth="1"/>
    <col min="12028" max="12028" width="5.6640625" style="40" customWidth="1"/>
    <col min="12029" max="12029" width="6.5546875" style="40" customWidth="1"/>
    <col min="12030" max="12030" width="9.109375" style="40" bestFit="1"/>
    <col min="12031" max="12031" width="12.33203125" style="40" customWidth="1"/>
    <col min="12032" max="12032" width="32.5546875" style="40" customWidth="1"/>
    <col min="12033" max="12033" width="15.5546875" style="40" customWidth="1"/>
    <col min="12034" max="12034" width="28.88671875" style="40" customWidth="1"/>
    <col min="12035" max="12035" width="14" style="40" bestFit="1" customWidth="1"/>
    <col min="12036" max="12037" width="15" style="40" bestFit="1" customWidth="1"/>
    <col min="12038" max="12038" width="18.109375" style="40" customWidth="1"/>
    <col min="12039" max="12039" width="20.88671875" style="40" customWidth="1"/>
    <col min="12040" max="12040" width="15.109375" style="40" customWidth="1"/>
    <col min="12041" max="12041" width="13.88671875" style="40" bestFit="1" customWidth="1"/>
    <col min="12042" max="12042" width="12.33203125" style="40" bestFit="1" customWidth="1"/>
    <col min="12043" max="12043" width="23.44140625" style="40" bestFit="1" customWidth="1"/>
    <col min="12044" max="12278" width="9.109375" style="40" bestFit="1"/>
    <col min="12279" max="12281" width="1.6640625" style="40" customWidth="1"/>
    <col min="12282" max="12282" width="12.109375" style="40" customWidth="1"/>
    <col min="12283" max="12283" width="16" style="40" customWidth="1"/>
    <col min="12284" max="12284" width="5.6640625" style="40" customWidth="1"/>
    <col min="12285" max="12285" width="6.5546875" style="40" customWidth="1"/>
    <col min="12286" max="12286" width="9.109375" style="40" bestFit="1"/>
    <col min="12287" max="12287" width="12.33203125" style="40" customWidth="1"/>
    <col min="12288" max="12288" width="32.5546875" style="40" customWidth="1"/>
    <col min="12289" max="12289" width="15.5546875" style="40" customWidth="1"/>
    <col min="12290" max="12290" width="28.88671875" style="40" customWidth="1"/>
    <col min="12291" max="12291" width="14" style="40" bestFit="1" customWidth="1"/>
    <col min="12292" max="12293" width="15" style="40" bestFit="1" customWidth="1"/>
    <col min="12294" max="12294" width="18.109375" style="40" customWidth="1"/>
    <col min="12295" max="12295" width="20.88671875" style="40" customWidth="1"/>
    <col min="12296" max="12296" width="15.109375" style="40" customWidth="1"/>
    <col min="12297" max="12297" width="13.88671875" style="40" bestFit="1" customWidth="1"/>
    <col min="12298" max="12298" width="12.33203125" style="40" bestFit="1" customWidth="1"/>
    <col min="12299" max="12299" width="23.44140625" style="40" bestFit="1" customWidth="1"/>
    <col min="12300" max="12534" width="9.109375" style="40" bestFit="1"/>
    <col min="12535" max="12537" width="1.6640625" style="40" customWidth="1"/>
    <col min="12538" max="12538" width="12.109375" style="40" customWidth="1"/>
    <col min="12539" max="12539" width="16" style="40" customWidth="1"/>
    <col min="12540" max="12540" width="5.6640625" style="40" customWidth="1"/>
    <col min="12541" max="12541" width="6.5546875" style="40" customWidth="1"/>
    <col min="12542" max="12542" width="9.109375" style="40" bestFit="1"/>
    <col min="12543" max="12543" width="12.33203125" style="40" customWidth="1"/>
    <col min="12544" max="12544" width="32.5546875" style="40" customWidth="1"/>
    <col min="12545" max="12545" width="15.5546875" style="40" customWidth="1"/>
    <col min="12546" max="12546" width="28.88671875" style="40" customWidth="1"/>
    <col min="12547" max="12547" width="14" style="40" bestFit="1" customWidth="1"/>
    <col min="12548" max="12549" width="15" style="40" bestFit="1" customWidth="1"/>
    <col min="12550" max="12550" width="18.109375" style="40" customWidth="1"/>
    <col min="12551" max="12551" width="20.88671875" style="40" customWidth="1"/>
    <col min="12552" max="12552" width="15.109375" style="40" customWidth="1"/>
    <col min="12553" max="12553" width="13.88671875" style="40" bestFit="1" customWidth="1"/>
    <col min="12554" max="12554" width="12.33203125" style="40" bestFit="1" customWidth="1"/>
    <col min="12555" max="12555" width="23.44140625" style="40" bestFit="1" customWidth="1"/>
    <col min="12556" max="12790" width="9.109375" style="40" bestFit="1"/>
    <col min="12791" max="12793" width="1.6640625" style="40" customWidth="1"/>
    <col min="12794" max="12794" width="12.109375" style="40" customWidth="1"/>
    <col min="12795" max="12795" width="16" style="40" customWidth="1"/>
    <col min="12796" max="12796" width="5.6640625" style="40" customWidth="1"/>
    <col min="12797" max="12797" width="6.5546875" style="40" customWidth="1"/>
    <col min="12798" max="12798" width="9.109375" style="40" bestFit="1"/>
    <col min="12799" max="12799" width="12.33203125" style="40" customWidth="1"/>
    <col min="12800" max="12800" width="32.5546875" style="40" customWidth="1"/>
    <col min="12801" max="12801" width="15.5546875" style="40" customWidth="1"/>
    <col min="12802" max="12802" width="28.88671875" style="40" customWidth="1"/>
    <col min="12803" max="12803" width="14" style="40" bestFit="1" customWidth="1"/>
    <col min="12804" max="12805" width="15" style="40" bestFit="1" customWidth="1"/>
    <col min="12806" max="12806" width="18.109375" style="40" customWidth="1"/>
    <col min="12807" max="12807" width="20.88671875" style="40" customWidth="1"/>
    <col min="12808" max="12808" width="15.109375" style="40" customWidth="1"/>
    <col min="12809" max="12809" width="13.88671875" style="40" bestFit="1" customWidth="1"/>
    <col min="12810" max="12810" width="12.33203125" style="40" bestFit="1" customWidth="1"/>
    <col min="12811" max="12811" width="23.44140625" style="40" bestFit="1" customWidth="1"/>
    <col min="12812" max="13046" width="9.109375" style="40" bestFit="1"/>
    <col min="13047" max="13049" width="1.6640625" style="40" customWidth="1"/>
    <col min="13050" max="13050" width="12.109375" style="40" customWidth="1"/>
    <col min="13051" max="13051" width="16" style="40" customWidth="1"/>
    <col min="13052" max="13052" width="5.6640625" style="40" customWidth="1"/>
    <col min="13053" max="13053" width="6.5546875" style="40" customWidth="1"/>
    <col min="13054" max="13054" width="9.109375" style="40" bestFit="1"/>
    <col min="13055" max="13055" width="12.33203125" style="40" customWidth="1"/>
    <col min="13056" max="13056" width="32.5546875" style="40" customWidth="1"/>
    <col min="13057" max="13057" width="15.5546875" style="40" customWidth="1"/>
    <col min="13058" max="13058" width="28.88671875" style="40" customWidth="1"/>
    <col min="13059" max="13059" width="14" style="40" bestFit="1" customWidth="1"/>
    <col min="13060" max="13061" width="15" style="40" bestFit="1" customWidth="1"/>
    <col min="13062" max="13062" width="18.109375" style="40" customWidth="1"/>
    <col min="13063" max="13063" width="20.88671875" style="40" customWidth="1"/>
    <col min="13064" max="13064" width="15.109375" style="40" customWidth="1"/>
    <col min="13065" max="13065" width="13.88671875" style="40" bestFit="1" customWidth="1"/>
    <col min="13066" max="13066" width="12.33203125" style="40" bestFit="1" customWidth="1"/>
    <col min="13067" max="13067" width="23.44140625" style="40" bestFit="1" customWidth="1"/>
    <col min="13068" max="13302" width="9.109375" style="40" bestFit="1"/>
    <col min="13303" max="13305" width="1.6640625" style="40" customWidth="1"/>
    <col min="13306" max="13306" width="12.109375" style="40" customWidth="1"/>
    <col min="13307" max="13307" width="16" style="40" customWidth="1"/>
    <col min="13308" max="13308" width="5.6640625" style="40" customWidth="1"/>
    <col min="13309" max="13309" width="6.5546875" style="40" customWidth="1"/>
    <col min="13310" max="13310" width="9.109375" style="40" bestFit="1"/>
    <col min="13311" max="13311" width="12.33203125" style="40" customWidth="1"/>
    <col min="13312" max="13312" width="32.5546875" style="40" customWidth="1"/>
    <col min="13313" max="13313" width="15.5546875" style="40" customWidth="1"/>
    <col min="13314" max="13314" width="28.88671875" style="40" customWidth="1"/>
    <col min="13315" max="13315" width="14" style="40" bestFit="1" customWidth="1"/>
    <col min="13316" max="13317" width="15" style="40" bestFit="1" customWidth="1"/>
    <col min="13318" max="13318" width="18.109375" style="40" customWidth="1"/>
    <col min="13319" max="13319" width="20.88671875" style="40" customWidth="1"/>
    <col min="13320" max="13320" width="15.109375" style="40" customWidth="1"/>
    <col min="13321" max="13321" width="13.88671875" style="40" bestFit="1" customWidth="1"/>
    <col min="13322" max="13322" width="12.33203125" style="40" bestFit="1" customWidth="1"/>
    <col min="13323" max="13323" width="23.44140625" style="40" bestFit="1" customWidth="1"/>
    <col min="13324" max="13558" width="9.109375" style="40" bestFit="1"/>
    <col min="13559" max="13561" width="1.6640625" style="40" customWidth="1"/>
    <col min="13562" max="13562" width="12.109375" style="40" customWidth="1"/>
    <col min="13563" max="13563" width="16" style="40" customWidth="1"/>
    <col min="13564" max="13564" width="5.6640625" style="40" customWidth="1"/>
    <col min="13565" max="13565" width="6.5546875" style="40" customWidth="1"/>
    <col min="13566" max="13566" width="9.109375" style="40" bestFit="1"/>
    <col min="13567" max="13567" width="12.33203125" style="40" customWidth="1"/>
    <col min="13568" max="13568" width="32.5546875" style="40" customWidth="1"/>
    <col min="13569" max="13569" width="15.5546875" style="40" customWidth="1"/>
    <col min="13570" max="13570" width="28.88671875" style="40" customWidth="1"/>
    <col min="13571" max="13571" width="14" style="40" bestFit="1" customWidth="1"/>
    <col min="13572" max="13573" width="15" style="40" bestFit="1" customWidth="1"/>
    <col min="13574" max="13574" width="18.109375" style="40" customWidth="1"/>
    <col min="13575" max="13575" width="20.88671875" style="40" customWidth="1"/>
    <col min="13576" max="13576" width="15.109375" style="40" customWidth="1"/>
    <col min="13577" max="13577" width="13.88671875" style="40" bestFit="1" customWidth="1"/>
    <col min="13578" max="13578" width="12.33203125" style="40" bestFit="1" customWidth="1"/>
    <col min="13579" max="13579" width="23.44140625" style="40" bestFit="1" customWidth="1"/>
    <col min="13580" max="13814" width="9.109375" style="40" bestFit="1"/>
    <col min="13815" max="13817" width="1.6640625" style="40" customWidth="1"/>
    <col min="13818" max="13818" width="12.109375" style="40" customWidth="1"/>
    <col min="13819" max="13819" width="16" style="40" customWidth="1"/>
    <col min="13820" max="13820" width="5.6640625" style="40" customWidth="1"/>
    <col min="13821" max="13821" width="6.5546875" style="40" customWidth="1"/>
    <col min="13822" max="13822" width="9.109375" style="40" bestFit="1"/>
    <col min="13823" max="13823" width="12.33203125" style="40" customWidth="1"/>
    <col min="13824" max="13824" width="32.5546875" style="40" customWidth="1"/>
    <col min="13825" max="13825" width="15.5546875" style="40" customWidth="1"/>
    <col min="13826" max="13826" width="28.88671875" style="40" customWidth="1"/>
    <col min="13827" max="13827" width="14" style="40" bestFit="1" customWidth="1"/>
    <col min="13828" max="13829" width="15" style="40" bestFit="1" customWidth="1"/>
    <col min="13830" max="13830" width="18.109375" style="40" customWidth="1"/>
    <col min="13831" max="13831" width="20.88671875" style="40" customWidth="1"/>
    <col min="13832" max="13832" width="15.109375" style="40" customWidth="1"/>
    <col min="13833" max="13833" width="13.88671875" style="40" bestFit="1" customWidth="1"/>
    <col min="13834" max="13834" width="12.33203125" style="40" bestFit="1" customWidth="1"/>
    <col min="13835" max="13835" width="23.44140625" style="40" bestFit="1" customWidth="1"/>
    <col min="13836" max="14070" width="9.109375" style="40" bestFit="1"/>
    <col min="14071" max="14073" width="1.6640625" style="40" customWidth="1"/>
    <col min="14074" max="14074" width="12.109375" style="40" customWidth="1"/>
    <col min="14075" max="14075" width="16" style="40" customWidth="1"/>
    <col min="14076" max="14076" width="5.6640625" style="40" customWidth="1"/>
    <col min="14077" max="14077" width="6.5546875" style="40" customWidth="1"/>
    <col min="14078" max="14078" width="9.109375" style="40" bestFit="1"/>
    <col min="14079" max="14079" width="12.33203125" style="40" customWidth="1"/>
    <col min="14080" max="14080" width="32.5546875" style="40" customWidth="1"/>
    <col min="14081" max="14081" width="15.5546875" style="40" customWidth="1"/>
    <col min="14082" max="14082" width="28.88671875" style="40" customWidth="1"/>
    <col min="14083" max="14083" width="14" style="40" bestFit="1" customWidth="1"/>
    <col min="14084" max="14085" width="15" style="40" bestFit="1" customWidth="1"/>
    <col min="14086" max="14086" width="18.109375" style="40" customWidth="1"/>
    <col min="14087" max="14087" width="20.88671875" style="40" customWidth="1"/>
    <col min="14088" max="14088" width="15.109375" style="40" customWidth="1"/>
    <col min="14089" max="14089" width="13.88671875" style="40" bestFit="1" customWidth="1"/>
    <col min="14090" max="14090" width="12.33203125" style="40" bestFit="1" customWidth="1"/>
    <col min="14091" max="14091" width="23.44140625" style="40" bestFit="1" customWidth="1"/>
    <col min="14092" max="14326" width="9.109375" style="40" bestFit="1"/>
    <col min="14327" max="14329" width="1.6640625" style="40" customWidth="1"/>
    <col min="14330" max="14330" width="12.109375" style="40" customWidth="1"/>
    <col min="14331" max="14331" width="16" style="40" customWidth="1"/>
    <col min="14332" max="14332" width="5.6640625" style="40" customWidth="1"/>
    <col min="14333" max="14333" width="6.5546875" style="40" customWidth="1"/>
    <col min="14334" max="14334" width="9.109375" style="40" bestFit="1"/>
    <col min="14335" max="14335" width="12.33203125" style="40" customWidth="1"/>
    <col min="14336" max="14336" width="32.5546875" style="40" customWidth="1"/>
    <col min="14337" max="14337" width="15.5546875" style="40" customWidth="1"/>
    <col min="14338" max="14338" width="28.88671875" style="40" customWidth="1"/>
    <col min="14339" max="14339" width="14" style="40" bestFit="1" customWidth="1"/>
    <col min="14340" max="14341" width="15" style="40" bestFit="1" customWidth="1"/>
    <col min="14342" max="14342" width="18.109375" style="40" customWidth="1"/>
    <col min="14343" max="14343" width="20.88671875" style="40" customWidth="1"/>
    <col min="14344" max="14344" width="15.109375" style="40" customWidth="1"/>
    <col min="14345" max="14345" width="13.88671875" style="40" bestFit="1" customWidth="1"/>
    <col min="14346" max="14346" width="12.33203125" style="40" bestFit="1" customWidth="1"/>
    <col min="14347" max="14347" width="23.44140625" style="40" bestFit="1" customWidth="1"/>
    <col min="14348" max="14582" width="9.109375" style="40" bestFit="1"/>
    <col min="14583" max="14585" width="1.6640625" style="40" customWidth="1"/>
    <col min="14586" max="14586" width="12.109375" style="40" customWidth="1"/>
    <col min="14587" max="14587" width="16" style="40" customWidth="1"/>
    <col min="14588" max="14588" width="5.6640625" style="40" customWidth="1"/>
    <col min="14589" max="14589" width="6.5546875" style="40" customWidth="1"/>
    <col min="14590" max="14590" width="9.109375" style="40" bestFit="1"/>
    <col min="14591" max="14591" width="12.33203125" style="40" customWidth="1"/>
    <col min="14592" max="14592" width="32.5546875" style="40" customWidth="1"/>
    <col min="14593" max="14593" width="15.5546875" style="40" customWidth="1"/>
    <col min="14594" max="14594" width="28.88671875" style="40" customWidth="1"/>
    <col min="14595" max="14595" width="14" style="40" bestFit="1" customWidth="1"/>
    <col min="14596" max="14597" width="15" style="40" bestFit="1" customWidth="1"/>
    <col min="14598" max="14598" width="18.109375" style="40" customWidth="1"/>
    <col min="14599" max="14599" width="20.88671875" style="40" customWidth="1"/>
    <col min="14600" max="14600" width="15.109375" style="40" customWidth="1"/>
    <col min="14601" max="14601" width="13.88671875" style="40" bestFit="1" customWidth="1"/>
    <col min="14602" max="14602" width="12.33203125" style="40" bestFit="1" customWidth="1"/>
    <col min="14603" max="14603" width="23.44140625" style="40" bestFit="1" customWidth="1"/>
    <col min="14604" max="14838" width="9.109375" style="40" bestFit="1"/>
    <col min="14839" max="14841" width="1.6640625" style="40" customWidth="1"/>
    <col min="14842" max="14842" width="12.109375" style="40" customWidth="1"/>
    <col min="14843" max="14843" width="16" style="40" customWidth="1"/>
    <col min="14844" max="14844" width="5.6640625" style="40" customWidth="1"/>
    <col min="14845" max="14845" width="6.5546875" style="40" customWidth="1"/>
    <col min="14846" max="14846" width="9.109375" style="40" bestFit="1"/>
    <col min="14847" max="14847" width="12.33203125" style="40" customWidth="1"/>
    <col min="14848" max="14848" width="32.5546875" style="40" customWidth="1"/>
    <col min="14849" max="14849" width="15.5546875" style="40" customWidth="1"/>
    <col min="14850" max="14850" width="28.88671875" style="40" customWidth="1"/>
    <col min="14851" max="14851" width="14" style="40" bestFit="1" customWidth="1"/>
    <col min="14852" max="14853" width="15" style="40" bestFit="1" customWidth="1"/>
    <col min="14854" max="14854" width="18.109375" style="40" customWidth="1"/>
    <col min="14855" max="14855" width="20.88671875" style="40" customWidth="1"/>
    <col min="14856" max="14856" width="15.109375" style="40" customWidth="1"/>
    <col min="14857" max="14857" width="13.88671875" style="40" bestFit="1" customWidth="1"/>
    <col min="14858" max="14858" width="12.33203125" style="40" bestFit="1" customWidth="1"/>
    <col min="14859" max="14859" width="23.44140625" style="40" bestFit="1" customWidth="1"/>
    <col min="14860" max="15094" width="9.109375" style="40" bestFit="1"/>
    <col min="15095" max="15097" width="1.6640625" style="40" customWidth="1"/>
    <col min="15098" max="15098" width="12.109375" style="40" customWidth="1"/>
    <col min="15099" max="15099" width="16" style="40" customWidth="1"/>
    <col min="15100" max="15100" width="5.6640625" style="40" customWidth="1"/>
    <col min="15101" max="15101" width="6.5546875" style="40" customWidth="1"/>
    <col min="15102" max="15102" width="9.109375" style="40" bestFit="1"/>
    <col min="15103" max="15103" width="12.33203125" style="40" customWidth="1"/>
    <col min="15104" max="15104" width="32.5546875" style="40" customWidth="1"/>
    <col min="15105" max="15105" width="15.5546875" style="40" customWidth="1"/>
    <col min="15106" max="15106" width="28.88671875" style="40" customWidth="1"/>
    <col min="15107" max="15107" width="14" style="40" bestFit="1" customWidth="1"/>
    <col min="15108" max="15109" width="15" style="40" bestFit="1" customWidth="1"/>
    <col min="15110" max="15110" width="18.109375" style="40" customWidth="1"/>
    <col min="15111" max="15111" width="20.88671875" style="40" customWidth="1"/>
    <col min="15112" max="15112" width="15.109375" style="40" customWidth="1"/>
    <col min="15113" max="15113" width="13.88671875" style="40" bestFit="1" customWidth="1"/>
    <col min="15114" max="15114" width="12.33203125" style="40" bestFit="1" customWidth="1"/>
    <col min="15115" max="15115" width="23.44140625" style="40" bestFit="1" customWidth="1"/>
    <col min="15116" max="15350" width="9.109375" style="40" bestFit="1"/>
    <col min="15351" max="15353" width="1.6640625" style="40" customWidth="1"/>
    <col min="15354" max="15354" width="12.109375" style="40" customWidth="1"/>
    <col min="15355" max="15355" width="16" style="40" customWidth="1"/>
    <col min="15356" max="15356" width="5.6640625" style="40" customWidth="1"/>
    <col min="15357" max="15357" width="6.5546875" style="40" customWidth="1"/>
    <col min="15358" max="15358" width="9.109375" style="40" bestFit="1"/>
    <col min="15359" max="15359" width="12.33203125" style="40" customWidth="1"/>
    <col min="15360" max="15360" width="32.5546875" style="40" customWidth="1"/>
    <col min="15361" max="15361" width="15.5546875" style="40" customWidth="1"/>
    <col min="15362" max="15362" width="28.88671875" style="40" customWidth="1"/>
    <col min="15363" max="15363" width="14" style="40" bestFit="1" customWidth="1"/>
    <col min="15364" max="15365" width="15" style="40" bestFit="1" customWidth="1"/>
    <col min="15366" max="15366" width="18.109375" style="40" customWidth="1"/>
    <col min="15367" max="15367" width="20.88671875" style="40" customWidth="1"/>
    <col min="15368" max="15368" width="15.109375" style="40" customWidth="1"/>
    <col min="15369" max="15369" width="13.88671875" style="40" bestFit="1" customWidth="1"/>
    <col min="15370" max="15370" width="12.33203125" style="40" bestFit="1" customWidth="1"/>
    <col min="15371" max="15371" width="23.44140625" style="40" bestFit="1" customWidth="1"/>
    <col min="15372" max="15606" width="9.109375" style="40" bestFit="1"/>
    <col min="15607" max="15609" width="1.6640625" style="40" customWidth="1"/>
    <col min="15610" max="15610" width="12.109375" style="40" customWidth="1"/>
    <col min="15611" max="15611" width="16" style="40" customWidth="1"/>
    <col min="15612" max="15612" width="5.6640625" style="40" customWidth="1"/>
    <col min="15613" max="15613" width="6.5546875" style="40" customWidth="1"/>
    <col min="15614" max="15614" width="9.109375" style="40" bestFit="1"/>
    <col min="15615" max="15615" width="12.33203125" style="40" customWidth="1"/>
    <col min="15616" max="15616" width="32.5546875" style="40" customWidth="1"/>
    <col min="15617" max="15617" width="15.5546875" style="40" customWidth="1"/>
    <col min="15618" max="15618" width="28.88671875" style="40" customWidth="1"/>
    <col min="15619" max="15619" width="14" style="40" bestFit="1" customWidth="1"/>
    <col min="15620" max="15621" width="15" style="40" bestFit="1" customWidth="1"/>
    <col min="15622" max="15622" width="18.109375" style="40" customWidth="1"/>
    <col min="15623" max="15623" width="20.88671875" style="40" customWidth="1"/>
    <col min="15624" max="15624" width="15.109375" style="40" customWidth="1"/>
    <col min="15625" max="15625" width="13.88671875" style="40" bestFit="1" customWidth="1"/>
    <col min="15626" max="15626" width="12.33203125" style="40" bestFit="1" customWidth="1"/>
    <col min="15627" max="15627" width="23.44140625" style="40" bestFit="1" customWidth="1"/>
    <col min="15628" max="15862" width="9.109375" style="40" bestFit="1"/>
    <col min="15863" max="15865" width="1.6640625" style="40" customWidth="1"/>
    <col min="15866" max="15866" width="12.109375" style="40" customWidth="1"/>
    <col min="15867" max="15867" width="16" style="40" customWidth="1"/>
    <col min="15868" max="15868" width="5.6640625" style="40" customWidth="1"/>
    <col min="15869" max="15869" width="6.5546875" style="40" customWidth="1"/>
    <col min="15870" max="15870" width="9.109375" style="40" bestFit="1"/>
    <col min="15871" max="15871" width="12.33203125" style="40" customWidth="1"/>
    <col min="15872" max="15872" width="32.5546875" style="40" customWidth="1"/>
    <col min="15873" max="15873" width="15.5546875" style="40" customWidth="1"/>
    <col min="15874" max="15874" width="28.88671875" style="40" customWidth="1"/>
    <col min="15875" max="15875" width="14" style="40" bestFit="1" customWidth="1"/>
    <col min="15876" max="15877" width="15" style="40" bestFit="1" customWidth="1"/>
    <col min="15878" max="15878" width="18.109375" style="40" customWidth="1"/>
    <col min="15879" max="15879" width="20.88671875" style="40" customWidth="1"/>
    <col min="15880" max="15880" width="15.109375" style="40" customWidth="1"/>
    <col min="15881" max="15881" width="13.88671875" style="40" bestFit="1" customWidth="1"/>
    <col min="15882" max="15882" width="12.33203125" style="40" bestFit="1" customWidth="1"/>
    <col min="15883" max="15883" width="23.44140625" style="40" bestFit="1" customWidth="1"/>
    <col min="15884" max="16118" width="9.109375" style="40" bestFit="1"/>
    <col min="16119" max="16121" width="1.6640625" style="40" customWidth="1"/>
    <col min="16122" max="16122" width="12.109375" style="40" customWidth="1"/>
    <col min="16123" max="16123" width="16" style="40" customWidth="1"/>
    <col min="16124" max="16124" width="5.6640625" style="40" customWidth="1"/>
    <col min="16125" max="16125" width="6.5546875" style="40" customWidth="1"/>
    <col min="16126" max="16126" width="9.109375" style="40" bestFit="1"/>
    <col min="16127" max="16127" width="12.33203125" style="40" customWidth="1"/>
    <col min="16128" max="16128" width="32.5546875" style="40" customWidth="1"/>
    <col min="16129" max="16129" width="15.5546875" style="40" customWidth="1"/>
    <col min="16130" max="16130" width="28.88671875" style="40" customWidth="1"/>
    <col min="16131" max="16131" width="14" style="40" bestFit="1" customWidth="1"/>
    <col min="16132" max="16133" width="15" style="40" bestFit="1" customWidth="1"/>
    <col min="16134" max="16134" width="18.109375" style="40" customWidth="1"/>
    <col min="16135" max="16135" width="20.88671875" style="40" customWidth="1"/>
    <col min="16136" max="16136" width="15.109375" style="40" customWidth="1"/>
    <col min="16137" max="16137" width="13.88671875" style="40" bestFit="1" customWidth="1"/>
    <col min="16138" max="16138" width="12.33203125" style="40" bestFit="1" customWidth="1"/>
    <col min="16139" max="16139" width="23.44140625" style="40" bestFit="1" customWidth="1"/>
    <col min="16140" max="16384" width="9.109375" style="40"/>
  </cols>
  <sheetData>
    <row r="1" spans="1:22" s="2" customFormat="1" x14ac:dyDescent="0.3">
      <c r="A1" s="719" t="s">
        <v>2495</v>
      </c>
      <c r="B1" s="719"/>
      <c r="C1" s="719"/>
      <c r="D1" s="719"/>
      <c r="E1" s="719"/>
      <c r="F1" s="719"/>
      <c r="G1" s="719"/>
      <c r="H1" s="719"/>
      <c r="I1" s="719"/>
      <c r="J1" s="719"/>
      <c r="K1" s="719"/>
      <c r="L1" s="719"/>
      <c r="M1" s="37"/>
      <c r="N1" s="38"/>
      <c r="U1" s="199"/>
    </row>
    <row r="2" spans="1:22" s="2" customFormat="1" ht="14.4" customHeight="1" x14ac:dyDescent="0.3">
      <c r="A2" s="719" t="s">
        <v>2496</v>
      </c>
      <c r="B2" s="719"/>
      <c r="C2" s="719"/>
      <c r="D2" s="719"/>
      <c r="E2" s="719"/>
      <c r="F2" s="719"/>
      <c r="G2" s="719"/>
      <c r="H2" s="719"/>
      <c r="I2" s="719"/>
      <c r="J2" s="719"/>
      <c r="K2" s="719"/>
      <c r="L2" s="719"/>
      <c r="M2" s="37"/>
      <c r="N2" s="38"/>
      <c r="U2" s="199"/>
    </row>
    <row r="3" spans="1:22" x14ac:dyDescent="0.3">
      <c r="A3" s="39"/>
      <c r="B3" s="39"/>
      <c r="C3" s="39"/>
      <c r="D3" s="39"/>
      <c r="E3" s="39"/>
      <c r="F3" s="39"/>
      <c r="G3" s="39"/>
      <c r="H3" s="39"/>
      <c r="I3" s="39"/>
      <c r="J3" s="75"/>
      <c r="K3" s="39"/>
      <c r="L3" s="39"/>
      <c r="M3" s="39"/>
      <c r="P3" s="39"/>
      <c r="R3" s="39"/>
    </row>
    <row r="4" spans="1:22" x14ac:dyDescent="0.3">
      <c r="A4" s="707" t="s">
        <v>2497</v>
      </c>
      <c r="B4" s="707"/>
      <c r="C4" s="707"/>
      <c r="D4" s="707"/>
      <c r="E4" s="707"/>
      <c r="F4" s="707"/>
      <c r="G4" s="707"/>
      <c r="H4" s="707"/>
      <c r="I4" s="707"/>
      <c r="J4" s="707"/>
      <c r="K4" s="707"/>
      <c r="L4" s="707"/>
      <c r="M4" s="41"/>
    </row>
    <row r="5" spans="1:22" x14ac:dyDescent="0.3">
      <c r="A5" s="720" t="s">
        <v>2498</v>
      </c>
      <c r="B5" s="720"/>
      <c r="C5" s="720"/>
      <c r="D5" s="720"/>
      <c r="E5" s="720"/>
      <c r="F5" s="720"/>
      <c r="G5" s="720"/>
      <c r="H5" s="720"/>
      <c r="I5" s="720"/>
      <c r="J5" s="720"/>
      <c r="K5" s="720"/>
      <c r="L5" s="720"/>
    </row>
    <row r="6" spans="1:22" x14ac:dyDescent="0.3">
      <c r="C6" s="41"/>
      <c r="D6" s="41"/>
      <c r="E6" s="41"/>
      <c r="F6" s="41"/>
      <c r="G6" s="41"/>
      <c r="H6" s="41"/>
      <c r="I6" s="41"/>
      <c r="J6" s="76"/>
      <c r="K6" s="41"/>
      <c r="L6" s="41"/>
      <c r="M6" s="41"/>
      <c r="P6" s="41"/>
      <c r="R6" s="41"/>
    </row>
    <row r="7" spans="1:22" x14ac:dyDescent="0.3">
      <c r="C7" s="41"/>
      <c r="D7" s="41"/>
      <c r="E7" s="41"/>
      <c r="F7" s="41"/>
      <c r="G7" s="41"/>
      <c r="H7" s="41"/>
      <c r="I7" s="41"/>
      <c r="J7" s="76"/>
      <c r="K7" s="41"/>
      <c r="L7" s="41"/>
      <c r="M7" s="41"/>
      <c r="P7" s="41"/>
      <c r="R7" s="41"/>
    </row>
    <row r="8" spans="1:22" x14ac:dyDescent="0.3">
      <c r="A8" s="41" t="s">
        <v>2499</v>
      </c>
      <c r="B8" s="41"/>
      <c r="P8" s="210" t="s">
        <v>3343</v>
      </c>
      <c r="Q8" s="210"/>
      <c r="R8" s="210" t="s">
        <v>2453</v>
      </c>
      <c r="U8" s="204">
        <f>BP!I43-BP!H43</f>
        <v>28862317.399999972</v>
      </c>
      <c r="V8" s="215" t="s">
        <v>3334</v>
      </c>
    </row>
    <row r="9" spans="1:22" x14ac:dyDescent="0.3">
      <c r="J9" s="209" t="s">
        <v>2060</v>
      </c>
      <c r="L9" s="209" t="s">
        <v>2061</v>
      </c>
      <c r="M9" s="3"/>
      <c r="P9" s="86">
        <v>2022</v>
      </c>
      <c r="R9" s="87">
        <v>2022</v>
      </c>
      <c r="U9" s="70">
        <f>J10</f>
        <v>-17323206.559999999</v>
      </c>
      <c r="V9" s="40" t="s">
        <v>3342</v>
      </c>
    </row>
    <row r="10" spans="1:22" x14ac:dyDescent="0.3">
      <c r="B10" s="71" t="s">
        <v>2500</v>
      </c>
      <c r="C10" s="41"/>
      <c r="D10" s="71"/>
      <c r="E10" s="71"/>
      <c r="F10" s="71"/>
      <c r="G10" s="71"/>
      <c r="H10" s="71"/>
      <c r="I10" s="71"/>
      <c r="J10" s="78">
        <f>DRE!$D$27</f>
        <v>-17323206.559999999</v>
      </c>
      <c r="K10" s="280"/>
      <c r="L10" s="71">
        <v>-6283183.71</v>
      </c>
      <c r="M10" s="71"/>
      <c r="P10" s="71">
        <v>0</v>
      </c>
      <c r="R10" s="71">
        <f>J10-P10</f>
        <v>-17323206.559999999</v>
      </c>
      <c r="U10" s="70">
        <f>J16</f>
        <v>-685841.55</v>
      </c>
      <c r="V10" s="40" t="s">
        <v>3335</v>
      </c>
    </row>
    <row r="11" spans="1:22" x14ac:dyDescent="0.3">
      <c r="P11" s="70"/>
      <c r="R11" s="71"/>
      <c r="U11" s="70">
        <v>13465360.65</v>
      </c>
      <c r="V11" s="40" t="s">
        <v>2441</v>
      </c>
    </row>
    <row r="12" spans="1:22" x14ac:dyDescent="0.3">
      <c r="B12" s="41" t="s">
        <v>2501</v>
      </c>
      <c r="C12" s="70"/>
      <c r="D12" s="70"/>
      <c r="E12" s="70"/>
      <c r="F12" s="70"/>
      <c r="G12" s="70"/>
      <c r="I12" s="70"/>
      <c r="J12" s="79"/>
      <c r="K12" s="70"/>
      <c r="L12" s="70"/>
      <c r="M12" s="70"/>
      <c r="P12" s="70"/>
      <c r="R12" s="71"/>
      <c r="U12" s="213">
        <v>2552390.04</v>
      </c>
      <c r="V12" s="214" t="s">
        <v>3340</v>
      </c>
    </row>
    <row r="13" spans="1:22" x14ac:dyDescent="0.3">
      <c r="C13" s="72" t="s">
        <v>2097</v>
      </c>
      <c r="D13" s="70"/>
      <c r="E13" s="70"/>
      <c r="F13" s="70"/>
      <c r="G13" s="70"/>
      <c r="I13" s="70"/>
      <c r="J13" s="195">
        <f>SUM('BALANCETE 2022'!F501+'BALANCETE 2022'!F563)</f>
        <v>376090.91</v>
      </c>
      <c r="K13" s="276"/>
      <c r="L13" s="70">
        <f>SUM('BALANCETE 2021'!I551+'BALANCETE 2021'!I607)</f>
        <v>604881.28</v>
      </c>
      <c r="M13" s="70"/>
      <c r="P13" s="70">
        <f>SUMIFS(BP!J:J,BP!K:K,'DFC 2022 AUDITORIA DESATUAL.'!C13)</f>
        <v>0</v>
      </c>
      <c r="R13" s="70">
        <f t="shared" ref="R13:R64" si="0">J13-P13</f>
        <v>376090.91</v>
      </c>
      <c r="U13" s="70">
        <f>SUM(U8:U12)</f>
        <v>26871019.979999974</v>
      </c>
    </row>
    <row r="14" spans="1:22" x14ac:dyDescent="0.3">
      <c r="C14" s="70" t="s">
        <v>2502</v>
      </c>
      <c r="D14" s="70"/>
      <c r="E14" s="70"/>
      <c r="F14" s="70"/>
      <c r="G14" s="70"/>
      <c r="I14" s="70"/>
      <c r="J14" s="80">
        <v>0</v>
      </c>
      <c r="K14" s="70"/>
      <c r="L14" s="70">
        <v>0</v>
      </c>
      <c r="M14" s="70"/>
      <c r="P14" s="70">
        <f>SUMIFS(BP!J:J,BP!K:K,'DFC 2022 AUDITORIA DESATUAL.'!C14)</f>
        <v>0</v>
      </c>
      <c r="R14" s="70">
        <f t="shared" si="0"/>
        <v>0</v>
      </c>
      <c r="U14" s="70">
        <f>U13/2</f>
        <v>13435509.989999987</v>
      </c>
    </row>
    <row r="15" spans="1:22" x14ac:dyDescent="0.3">
      <c r="C15" s="70" t="s">
        <v>2441</v>
      </c>
      <c r="E15" s="70"/>
      <c r="F15" s="70"/>
      <c r="G15" s="70"/>
      <c r="I15" s="70"/>
      <c r="J15" s="79">
        <f>BP!$J$41</f>
        <v>-13465360.65</v>
      </c>
      <c r="K15" s="276"/>
      <c r="L15" s="70">
        <f>SUM('BALANCETE 2021'!I507)</f>
        <v>13465360.65</v>
      </c>
      <c r="M15" s="70"/>
      <c r="P15" s="70">
        <f>SUMIFS(BP!J:J,BP!K:K,'DFC 2022 AUDITORIA DESATUAL.'!C15)</f>
        <v>0</v>
      </c>
      <c r="R15" s="70">
        <f>J15-P15</f>
        <v>-13465360.65</v>
      </c>
    </row>
    <row r="16" spans="1:22" x14ac:dyDescent="0.3">
      <c r="C16" s="70" t="s">
        <v>2503</v>
      </c>
      <c r="E16" s="70"/>
      <c r="F16" s="70"/>
      <c r="G16" s="70"/>
      <c r="I16" s="70"/>
      <c r="J16" s="81">
        <v>-685841.55</v>
      </c>
      <c r="K16" s="70"/>
      <c r="L16" s="70">
        <v>18568448.399999999</v>
      </c>
      <c r="M16" s="70"/>
      <c r="P16" s="70">
        <f>SUMIFS(BP!J:J,BP!K:K,'DFC 2022 AUDITORIA DESATUAL.'!C16)</f>
        <v>0</v>
      </c>
      <c r="R16" s="70">
        <f>J16-P16</f>
        <v>-685841.55</v>
      </c>
    </row>
    <row r="17" spans="2:23" x14ac:dyDescent="0.3">
      <c r="C17" s="70" t="s">
        <v>2504</v>
      </c>
      <c r="E17" s="70"/>
      <c r="F17" s="70"/>
      <c r="G17" s="70"/>
      <c r="I17" s="70"/>
      <c r="J17" s="195">
        <v>26534665.100000001</v>
      </c>
      <c r="K17" s="276"/>
      <c r="L17" s="70">
        <v>-13720126.17</v>
      </c>
      <c r="M17" s="70"/>
      <c r="P17" s="70">
        <f>SUMIFS(BP!J:J,BP!K:K,'DFC 2022 AUDITORIA DESATUAL.'!C17)</f>
        <v>0</v>
      </c>
      <c r="R17" s="70">
        <f t="shared" si="0"/>
        <v>26534665.100000001</v>
      </c>
    </row>
    <row r="18" spans="2:23" x14ac:dyDescent="0.3">
      <c r="C18" s="70" t="s">
        <v>3338</v>
      </c>
      <c r="E18" s="70"/>
      <c r="F18" s="70"/>
      <c r="G18" s="70"/>
      <c r="I18" s="70"/>
      <c r="J18" s="195">
        <v>6016200.1799999997</v>
      </c>
      <c r="K18" s="276"/>
      <c r="L18" s="70">
        <v>0</v>
      </c>
      <c r="M18" s="70"/>
      <c r="P18" s="70"/>
      <c r="R18" s="70"/>
    </row>
    <row r="19" spans="2:23" x14ac:dyDescent="0.3">
      <c r="B19" s="41" t="s">
        <v>2505</v>
      </c>
      <c r="D19" s="70"/>
      <c r="E19" s="70"/>
      <c r="F19" s="70"/>
      <c r="G19" s="70"/>
      <c r="I19" s="70"/>
      <c r="J19" s="78">
        <f>SUM(J10:J18)</f>
        <v>1452547.4300000034</v>
      </c>
      <c r="K19" s="70"/>
      <c r="L19" s="78">
        <f>SUM(L10:L18)</f>
        <v>12635380.449999997</v>
      </c>
      <c r="M19" s="70"/>
      <c r="P19" s="71">
        <f>SUM(P10:P17)</f>
        <v>0</v>
      </c>
      <c r="R19" s="71">
        <f t="shared" si="0"/>
        <v>1452547.4300000034</v>
      </c>
      <c r="U19" s="70">
        <f>'Balancete 2022 DMPL (Zerado)'!$N$473</f>
        <v>-1413188.0199999996</v>
      </c>
      <c r="V19" s="40" t="s">
        <v>3335</v>
      </c>
    </row>
    <row r="20" spans="2:23" x14ac:dyDescent="0.3">
      <c r="B20" s="41"/>
      <c r="D20" s="70"/>
      <c r="E20" s="70"/>
      <c r="F20" s="70"/>
      <c r="G20" s="70"/>
      <c r="I20" s="70"/>
      <c r="J20" s="79"/>
      <c r="K20" s="70"/>
      <c r="L20" s="70"/>
      <c r="M20" s="70"/>
      <c r="P20" s="70"/>
      <c r="R20" s="71"/>
      <c r="U20" s="70" t="e">
        <f>'BALANCETE 2022'!#REF!</f>
        <v>#REF!</v>
      </c>
      <c r="V20" s="40" t="s">
        <v>3336</v>
      </c>
    </row>
    <row r="21" spans="2:23" x14ac:dyDescent="0.3">
      <c r="B21" s="41" t="s">
        <v>2506</v>
      </c>
      <c r="D21" s="70"/>
      <c r="E21" s="70"/>
      <c r="F21" s="70"/>
      <c r="G21" s="70"/>
      <c r="I21" s="70"/>
      <c r="J21" s="78">
        <f>SUM(J22:J28)</f>
        <v>-4357426.9619999994</v>
      </c>
      <c r="K21" s="70"/>
      <c r="L21" s="71">
        <f>SUM(L22:L28)</f>
        <v>9350193.0519999973</v>
      </c>
      <c r="M21" s="70"/>
      <c r="P21" s="71">
        <f>SUM(P22:P28)</f>
        <v>-4357426.9619999994</v>
      </c>
      <c r="R21" s="71">
        <f t="shared" si="0"/>
        <v>0</v>
      </c>
    </row>
    <row r="22" spans="2:23" x14ac:dyDescent="0.3">
      <c r="C22" s="40" t="s">
        <v>2410</v>
      </c>
      <c r="I22" s="70"/>
      <c r="J22" s="79">
        <f>BP!J16</f>
        <v>5707987.5999999996</v>
      </c>
      <c r="K22" s="276"/>
      <c r="L22" s="70">
        <f>SUM('BALANCETE 2021'!H30-'BALANCETE 2021'!G30)</f>
        <v>-2467860.0500000007</v>
      </c>
      <c r="M22" s="70"/>
      <c r="P22" s="70">
        <f>SUMIFS(BP!J:J,BP!K:K,'DFC 2022 AUDITORIA DESATUAL.'!C22)</f>
        <v>5707987.5999999996</v>
      </c>
      <c r="R22" s="71">
        <f t="shared" si="0"/>
        <v>0</v>
      </c>
    </row>
    <row r="23" spans="2:23" x14ac:dyDescent="0.3">
      <c r="C23" s="40" t="s">
        <v>2412</v>
      </c>
      <c r="I23" s="70"/>
      <c r="J23" s="79">
        <f>BP!J17</f>
        <v>-1062196.77</v>
      </c>
      <c r="K23" s="276"/>
      <c r="L23" s="70">
        <f>SUM('BALANCETE 2021'!H168-'BALANCETE 2021'!G168)</f>
        <v>840414.39999999991</v>
      </c>
      <c r="M23" s="70"/>
      <c r="P23" s="70">
        <f>SUMIFS(BP!J:J,BP!K:K,'DFC 2022 AUDITORIA DESATUAL.'!C23)</f>
        <v>-1062196.77</v>
      </c>
      <c r="R23" s="71">
        <f t="shared" si="0"/>
        <v>0</v>
      </c>
    </row>
    <row r="24" spans="2:23" x14ac:dyDescent="0.3">
      <c r="C24" s="40" t="s">
        <v>2414</v>
      </c>
      <c r="I24" s="70"/>
      <c r="J24" s="81">
        <f>BP!J18</f>
        <v>387500.99</v>
      </c>
      <c r="K24" s="276"/>
      <c r="L24" s="70">
        <v>12447045.789999999</v>
      </c>
      <c r="M24" s="70"/>
      <c r="P24" s="70">
        <f>SUMIFS(BP!J:J,BP!K:K,'DFC 2022 AUDITORIA DESATUAL.'!C24)</f>
        <v>387500.99</v>
      </c>
      <c r="R24" s="71">
        <f t="shared" si="0"/>
        <v>0</v>
      </c>
    </row>
    <row r="25" spans="2:23" x14ac:dyDescent="0.3">
      <c r="C25" s="40" t="s">
        <v>2418</v>
      </c>
      <c r="I25" s="70"/>
      <c r="J25" s="81">
        <f>BP!J20</f>
        <v>-2049492.5700000003</v>
      </c>
      <c r="K25" s="276"/>
      <c r="L25" s="70">
        <v>208591.79</v>
      </c>
      <c r="M25" s="70"/>
      <c r="P25" s="70">
        <f>SUMIFS(BP!J:J,BP!K:K,'DFC 2022 AUDITORIA DESATUAL.'!C25)</f>
        <v>-2049492.5700000003</v>
      </c>
      <c r="R25" s="71">
        <f t="shared" si="0"/>
        <v>0</v>
      </c>
    </row>
    <row r="26" spans="2:23" x14ac:dyDescent="0.3">
      <c r="C26" s="40" t="s">
        <v>2416</v>
      </c>
      <c r="I26" s="70"/>
      <c r="J26" s="79">
        <f>BP!J19</f>
        <v>-6105422.2119999994</v>
      </c>
      <c r="K26" s="276"/>
      <c r="L26" s="70">
        <f>SUM('BALANCETE 2021'!E187-'BALANCETE 2021'!I187+'BALANCETE 2021'!E201-'BALANCETE 2021'!I201+'BALANCETE 2021'!E204-'BALANCETE 2021'!I204+'BALANCETE 2021'!E208-'BALANCETE 2021'!I208)+0.01</f>
        <v>-1552387.5180000002</v>
      </c>
      <c r="M26" s="70"/>
      <c r="P26" s="70">
        <f>SUMIFS(BP!J:J,BP!K:K,'DFC 2022 AUDITORIA DESATUAL.'!C26)</f>
        <v>-6105422.2119999994</v>
      </c>
      <c r="R26" s="71">
        <f t="shared" si="0"/>
        <v>0</v>
      </c>
    </row>
    <row r="27" spans="2:23" x14ac:dyDescent="0.3">
      <c r="C27" s="40" t="s">
        <v>2507</v>
      </c>
      <c r="D27" s="42"/>
      <c r="I27" s="70"/>
      <c r="J27" s="79"/>
      <c r="K27" s="276"/>
      <c r="L27" s="70"/>
      <c r="M27" s="70"/>
      <c r="P27" s="70">
        <f>SUMIFS(BP!J:J,BP!K:K,'DFC 2022 AUDITORIA DESATUAL.'!C27)</f>
        <v>0</v>
      </c>
      <c r="R27" s="71">
        <f t="shared" si="0"/>
        <v>0</v>
      </c>
    </row>
    <row r="28" spans="2:23" x14ac:dyDescent="0.3">
      <c r="C28" s="40" t="s">
        <v>2421</v>
      </c>
      <c r="D28" s="42"/>
      <c r="I28" s="70"/>
      <c r="J28" s="79">
        <f>BP!J23</f>
        <v>-1235804</v>
      </c>
      <c r="K28" s="276"/>
      <c r="L28" s="70">
        <f>SUM('BALANCETE 2021'!H220-'BALANCETE 2021'!G220)</f>
        <v>-125611.35999999999</v>
      </c>
      <c r="M28" s="70"/>
      <c r="P28" s="70">
        <f>SUMIFS(BP!J:J,BP!K:K,'DFC 2022 AUDITORIA DESATUAL.'!C28)</f>
        <v>-1235804</v>
      </c>
      <c r="R28" s="71">
        <f t="shared" si="0"/>
        <v>0</v>
      </c>
    </row>
    <row r="29" spans="2:23" x14ac:dyDescent="0.3">
      <c r="D29" s="42"/>
      <c r="I29" s="70"/>
      <c r="J29" s="79"/>
      <c r="K29" s="70"/>
      <c r="L29" s="70"/>
      <c r="M29" s="70"/>
      <c r="P29" s="70"/>
      <c r="R29" s="71"/>
    </row>
    <row r="30" spans="2:23" x14ac:dyDescent="0.3">
      <c r="B30" s="41" t="s">
        <v>2508</v>
      </c>
      <c r="C30" s="72"/>
      <c r="I30" s="70"/>
      <c r="J30" s="78">
        <f>SUM(J31:J36)</f>
        <v>9724606.1000000034</v>
      </c>
      <c r="K30" s="70"/>
      <c r="L30" s="71">
        <f>SUM(L31:L36)</f>
        <v>3524739.8099999982</v>
      </c>
      <c r="M30" s="70"/>
      <c r="P30" s="71">
        <f>SUM(P31:P36)</f>
        <v>9724606.1000000034</v>
      </c>
      <c r="R30" s="71">
        <f t="shared" si="0"/>
        <v>0</v>
      </c>
      <c r="U30" s="200">
        <f>-BP!$J$25</f>
        <v>-32917878.189999998</v>
      </c>
      <c r="V30" s="196" t="s">
        <v>3333</v>
      </c>
    </row>
    <row r="31" spans="2:23" x14ac:dyDescent="0.3">
      <c r="C31" s="40" t="s">
        <v>2427</v>
      </c>
      <c r="I31" s="70"/>
      <c r="J31" s="82">
        <f>BP!J31+BP!J35</f>
        <v>-491637.4300000011</v>
      </c>
      <c r="K31" s="276"/>
      <c r="L31" s="70">
        <v>10051358.189999999</v>
      </c>
      <c r="M31" s="70"/>
      <c r="P31" s="70">
        <f>SUMIFS(BP!J:J,BP!K:K,'DFC 2022 AUDITORIA DESATUAL.'!C31)</f>
        <v>-491637.4300000011</v>
      </c>
      <c r="R31" s="71">
        <f t="shared" si="0"/>
        <v>0</v>
      </c>
      <c r="U31" s="201">
        <f>J13</f>
        <v>376090.91</v>
      </c>
      <c r="V31" s="197" t="s">
        <v>2097</v>
      </c>
      <c r="W31" s="179">
        <f>SUM(U30,U31)</f>
        <v>-32541787.279999997</v>
      </c>
    </row>
    <row r="32" spans="2:23" hidden="1" x14ac:dyDescent="0.3">
      <c r="C32" s="40" t="s">
        <v>2509</v>
      </c>
      <c r="I32" s="70"/>
      <c r="J32" s="81"/>
      <c r="K32" s="70"/>
      <c r="L32" s="70"/>
      <c r="M32" s="70"/>
      <c r="P32" s="70">
        <f>SUMIFS(BP!J:J,BP!K:K,'DFC 2022 AUDITORIA DESATUAL.'!C32)</f>
        <v>0</v>
      </c>
      <c r="R32" s="71">
        <f t="shared" si="0"/>
        <v>0</v>
      </c>
    </row>
    <row r="33" spans="1:23" x14ac:dyDescent="0.3">
      <c r="C33" s="40" t="s">
        <v>2429</v>
      </c>
      <c r="I33" s="70"/>
      <c r="J33" s="81">
        <f>BP!J32</f>
        <v>56741.800000000163</v>
      </c>
      <c r="K33" s="276"/>
      <c r="L33" s="70">
        <v>-714527.8</v>
      </c>
      <c r="M33" s="70"/>
      <c r="P33" s="70">
        <f>SUMIFS(BP!J:J,BP!K:K,'DFC 2022 AUDITORIA DESATUAL.'!C33)</f>
        <v>56741.800000000163</v>
      </c>
      <c r="R33" s="71">
        <f t="shared" si="0"/>
        <v>0</v>
      </c>
      <c r="U33" s="202">
        <v>26534665.100000001</v>
      </c>
      <c r="V33" s="198" t="s">
        <v>2504</v>
      </c>
      <c r="W33" s="44" t="s">
        <v>3341</v>
      </c>
    </row>
    <row r="34" spans="1:23" x14ac:dyDescent="0.3">
      <c r="C34" s="40" t="s">
        <v>2431</v>
      </c>
      <c r="I34" s="70"/>
      <c r="J34" s="79">
        <f>BP!J33</f>
        <v>243988.96000000008</v>
      </c>
      <c r="K34" s="276"/>
      <c r="L34" s="70">
        <f>SUM('BALANCETE 2021'!H441-'BALANCETE 2021'!G441)</f>
        <v>-2020917.4000000004</v>
      </c>
      <c r="M34" s="70"/>
      <c r="P34" s="70">
        <f>SUMIFS(BP!J:J,BP!K:K,'DFC 2022 AUDITORIA DESATUAL.'!C34)</f>
        <v>243988.96000000008</v>
      </c>
      <c r="R34" s="71">
        <f t="shared" si="0"/>
        <v>0</v>
      </c>
      <c r="U34" s="201">
        <v>6016200.1799999997</v>
      </c>
      <c r="V34" s="197" t="s">
        <v>3338</v>
      </c>
      <c r="W34" s="208">
        <f>SUM(U33,U34)</f>
        <v>32550865.280000001</v>
      </c>
    </row>
    <row r="35" spans="1:23" x14ac:dyDescent="0.3">
      <c r="C35" s="40" t="s">
        <v>2433</v>
      </c>
      <c r="I35" s="70"/>
      <c r="J35" s="79">
        <f>BP!J34</f>
        <v>2795183.63</v>
      </c>
      <c r="K35" s="276"/>
      <c r="L35" s="70">
        <f>SUM(-'BALANCETE 2021'!G462)</f>
        <v>-29237</v>
      </c>
      <c r="M35" s="70"/>
      <c r="P35" s="70">
        <f>SUMIFS(BP!J:J,BP!K:K,'DFC 2022 AUDITORIA DESATUAL.'!C35)</f>
        <v>2795183.63</v>
      </c>
      <c r="R35" s="71">
        <f t="shared" si="0"/>
        <v>0</v>
      </c>
      <c r="U35" s="205">
        <v>-9078</v>
      </c>
      <c r="V35" s="206" t="s">
        <v>3339</v>
      </c>
      <c r="W35" s="179">
        <f>SUM(W31,W34)</f>
        <v>9078.0000000037253</v>
      </c>
    </row>
    <row r="36" spans="1:23" x14ac:dyDescent="0.3">
      <c r="C36" s="40" t="s">
        <v>2437</v>
      </c>
      <c r="I36" s="70"/>
      <c r="J36" s="81">
        <f>BP!J38+BP!J39+BP!J40</f>
        <v>7120329.1400000043</v>
      </c>
      <c r="K36" s="276"/>
      <c r="L36" s="70">
        <v>-3761936.18</v>
      </c>
      <c r="M36" s="70"/>
      <c r="P36" s="70">
        <f>SUMIFS(BP!J:J,BP!K:K,'DFC 2022 AUDITORIA DESATUAL.'!C36)</f>
        <v>7120329.1400000043</v>
      </c>
      <c r="R36" s="71">
        <f t="shared" si="0"/>
        <v>0</v>
      </c>
      <c r="U36" s="207">
        <f>SUM(U30:U35)</f>
        <v>3.7252902984619141E-9</v>
      </c>
    </row>
    <row r="37" spans="1:23" x14ac:dyDescent="0.3">
      <c r="I37" s="70"/>
      <c r="J37" s="79"/>
      <c r="K37" s="70"/>
      <c r="L37" s="70"/>
      <c r="M37" s="70"/>
      <c r="P37" s="70"/>
      <c r="R37" s="71"/>
      <c r="U37" s="207"/>
    </row>
    <row r="38" spans="1:23" x14ac:dyDescent="0.3">
      <c r="B38" s="41" t="s">
        <v>2510</v>
      </c>
      <c r="I38" s="70"/>
      <c r="J38" s="78">
        <f>SUM(J19+J21+J30)</f>
        <v>6819726.5680000074</v>
      </c>
      <c r="K38" s="70"/>
      <c r="L38" s="71">
        <f>SUM(L19+L21+L30)</f>
        <v>25510313.311999995</v>
      </c>
      <c r="M38" s="70"/>
      <c r="P38" s="71">
        <f>SUM(P19+P21+P30)</f>
        <v>5367179.138000004</v>
      </c>
      <c r="R38" s="71">
        <f t="shared" si="0"/>
        <v>1452547.4300000034</v>
      </c>
    </row>
    <row r="39" spans="1:23" hidden="1" x14ac:dyDescent="0.3">
      <c r="C39" s="70" t="s">
        <v>2511</v>
      </c>
      <c r="I39" s="70"/>
      <c r="J39" s="79"/>
      <c r="K39" s="70"/>
      <c r="L39" s="70"/>
      <c r="M39" s="70"/>
      <c r="P39" s="70">
        <f>SUMIFS(BP!J:J,BP!K:K,'DFC 2022 AUDITORIA DESATUAL.'!C39)</f>
        <v>0</v>
      </c>
      <c r="R39" s="71">
        <f t="shared" si="0"/>
        <v>0</v>
      </c>
    </row>
    <row r="40" spans="1:23" x14ac:dyDescent="0.3">
      <c r="C40" s="70" t="s">
        <v>2512</v>
      </c>
      <c r="I40" s="70"/>
      <c r="J40" s="79">
        <v>0</v>
      </c>
      <c r="K40" s="70"/>
      <c r="L40" s="70">
        <v>0</v>
      </c>
      <c r="M40" s="70"/>
      <c r="P40" s="70">
        <f>SUMIFS(BP!J:J,BP!K:K,'DFC 2022 AUDITORIA DESATUAL.'!C40)</f>
        <v>0</v>
      </c>
      <c r="R40" s="71">
        <f t="shared" si="0"/>
        <v>0</v>
      </c>
    </row>
    <row r="41" spans="1:23" x14ac:dyDescent="0.3">
      <c r="C41" s="70"/>
      <c r="I41" s="70"/>
      <c r="J41" s="79"/>
      <c r="K41" s="70"/>
      <c r="L41" s="70"/>
      <c r="M41" s="70"/>
      <c r="P41" s="70"/>
      <c r="R41" s="71"/>
    </row>
    <row r="42" spans="1:23" x14ac:dyDescent="0.3">
      <c r="B42" s="43" t="s">
        <v>2513</v>
      </c>
      <c r="I42" s="70"/>
      <c r="J42" s="78">
        <f>SUM(J38:J40)</f>
        <v>6819726.5680000074</v>
      </c>
      <c r="K42" s="70"/>
      <c r="L42" s="71">
        <f>SUM(L38:L40)</f>
        <v>25510313.311999995</v>
      </c>
      <c r="M42" s="70"/>
      <c r="P42" s="71">
        <f>SUM(P38:P40)</f>
        <v>5367179.138000004</v>
      </c>
      <c r="R42" s="71">
        <f t="shared" si="0"/>
        <v>1452547.4300000034</v>
      </c>
    </row>
    <row r="43" spans="1:23" x14ac:dyDescent="0.3">
      <c r="B43" s="41"/>
      <c r="I43" s="70"/>
      <c r="J43" s="79"/>
      <c r="K43" s="70"/>
      <c r="L43" s="70"/>
      <c r="M43" s="70"/>
      <c r="P43" s="70"/>
      <c r="R43" s="71"/>
    </row>
    <row r="44" spans="1:23" x14ac:dyDescent="0.3">
      <c r="A44" s="41" t="s">
        <v>2514</v>
      </c>
      <c r="I44" s="70"/>
      <c r="J44" s="78">
        <f>SUM(J46:J49)</f>
        <v>-9078.0000000074506</v>
      </c>
      <c r="K44" s="71"/>
      <c r="L44" s="71">
        <f>SUM(L46:L49)</f>
        <v>-28648521.91</v>
      </c>
      <c r="M44" s="70"/>
      <c r="P44" s="71">
        <f>SUM(P46:P48)</f>
        <v>0</v>
      </c>
      <c r="R44" s="71">
        <f t="shared" si="0"/>
        <v>-9078.0000000074506</v>
      </c>
    </row>
    <row r="45" spans="1:23" x14ac:dyDescent="0.3">
      <c r="A45" s="41"/>
      <c r="I45" s="70"/>
      <c r="J45" s="79"/>
      <c r="K45" s="70"/>
      <c r="L45" s="71"/>
      <c r="M45" s="70"/>
      <c r="P45" s="70"/>
      <c r="R45" s="71"/>
    </row>
    <row r="46" spans="1:23" x14ac:dyDescent="0.3">
      <c r="B46" s="40" t="s">
        <v>2515</v>
      </c>
      <c r="J46" s="79">
        <v>0</v>
      </c>
      <c r="L46" s="70">
        <v>0</v>
      </c>
      <c r="N46" s="211"/>
      <c r="P46" s="70">
        <f>SUMIFS(BP!J:J,BP!K:K,'DFC 2022 AUDITORIA DESATUAL.'!C46)</f>
        <v>0</v>
      </c>
      <c r="R46" s="70">
        <f t="shared" si="0"/>
        <v>0</v>
      </c>
    </row>
    <row r="47" spans="1:23" x14ac:dyDescent="0.3">
      <c r="B47" s="40" t="s">
        <v>2516</v>
      </c>
      <c r="J47" s="79">
        <v>0</v>
      </c>
      <c r="L47" s="70">
        <v>0</v>
      </c>
      <c r="N47" s="211"/>
      <c r="P47" s="70">
        <f>SUMIFS(BP!J:J,BP!K:K,'DFC 2022 AUDITORIA DESATUAL.'!C47)</f>
        <v>0</v>
      </c>
      <c r="R47" s="70">
        <f t="shared" si="0"/>
        <v>0</v>
      </c>
    </row>
    <row r="48" spans="1:23" x14ac:dyDescent="0.3">
      <c r="B48" s="40" t="s">
        <v>2517</v>
      </c>
      <c r="I48" s="70"/>
      <c r="J48" s="81">
        <v>0</v>
      </c>
      <c r="K48" s="70"/>
      <c r="L48" s="70">
        <v>-28648521.91</v>
      </c>
      <c r="M48" s="70"/>
      <c r="N48" s="211"/>
      <c r="P48" s="70">
        <f>SUMIFS(BP!J:J,BP!K:K,'DFC 2022 AUDITORIA DESATUAL.'!C48)</f>
        <v>0</v>
      </c>
      <c r="R48" s="70">
        <f t="shared" si="0"/>
        <v>0</v>
      </c>
    </row>
    <row r="49" spans="1:21" x14ac:dyDescent="0.3">
      <c r="B49" s="40" t="s">
        <v>3339</v>
      </c>
      <c r="I49" s="70"/>
      <c r="J49" s="195">
        <v>-9078.0000000074506</v>
      </c>
      <c r="K49" s="276"/>
      <c r="L49" s="70">
        <v>0</v>
      </c>
      <c r="M49" s="70"/>
      <c r="N49" s="211"/>
      <c r="P49" s="70">
        <f>SUMIFS(BP!J:J,BP!K:K,'DFC 2022 AUDITORIA DESATUAL.'!C49)</f>
        <v>0</v>
      </c>
      <c r="R49" s="70">
        <f t="shared" si="0"/>
        <v>-9078.0000000074506</v>
      </c>
    </row>
    <row r="50" spans="1:21" x14ac:dyDescent="0.3">
      <c r="I50" s="70"/>
      <c r="J50" s="79"/>
      <c r="K50" s="70"/>
      <c r="L50" s="70"/>
      <c r="M50" s="70"/>
      <c r="P50" s="70"/>
      <c r="R50" s="71"/>
    </row>
    <row r="51" spans="1:21" x14ac:dyDescent="0.3">
      <c r="A51" s="41" t="s">
        <v>2518</v>
      </c>
      <c r="I51" s="70"/>
      <c r="J51" s="78">
        <f>SUM(J52:J55)</f>
        <v>0</v>
      </c>
      <c r="K51" s="71"/>
      <c r="L51" s="71">
        <f>SUM(L52:L55)</f>
        <v>0</v>
      </c>
      <c r="M51" s="70"/>
      <c r="P51" s="71">
        <f>SUM(P52:P55)</f>
        <v>0</v>
      </c>
      <c r="R51" s="71">
        <f t="shared" si="0"/>
        <v>0</v>
      </c>
    </row>
    <row r="52" spans="1:21" x14ac:dyDescent="0.3">
      <c r="B52" s="40" t="s">
        <v>2519</v>
      </c>
      <c r="D52" s="70"/>
      <c r="E52" s="70"/>
      <c r="F52" s="70"/>
      <c r="G52" s="70"/>
      <c r="I52" s="70"/>
      <c r="J52" s="79">
        <v>0</v>
      </c>
      <c r="K52" s="70"/>
      <c r="L52" s="70">
        <v>0</v>
      </c>
      <c r="M52" s="70"/>
      <c r="P52" s="70">
        <f>SUMIFS(BP!J:J,BP!K:K,'DFC 2022 AUDITORIA DESATUAL.'!C52)</f>
        <v>0</v>
      </c>
      <c r="R52" s="70">
        <f t="shared" si="0"/>
        <v>0</v>
      </c>
    </row>
    <row r="53" spans="1:21" x14ac:dyDescent="0.3">
      <c r="B53" s="40" t="s">
        <v>2520</v>
      </c>
      <c r="C53" s="44"/>
      <c r="I53" s="70"/>
      <c r="J53" s="79">
        <v>0</v>
      </c>
      <c r="K53" s="70"/>
      <c r="L53" s="70">
        <v>0</v>
      </c>
      <c r="M53" s="70"/>
      <c r="P53" s="70">
        <f>SUMIFS(BP!J:J,BP!K:K,'DFC 2022 AUDITORIA DESATUAL.'!C53)</f>
        <v>0</v>
      </c>
      <c r="R53" s="70">
        <f t="shared" si="0"/>
        <v>0</v>
      </c>
    </row>
    <row r="54" spans="1:21" x14ac:dyDescent="0.3">
      <c r="B54" s="40" t="s">
        <v>2521</v>
      </c>
      <c r="I54" s="70"/>
      <c r="J54" s="79">
        <v>0</v>
      </c>
      <c r="K54" s="70"/>
      <c r="L54" s="70">
        <v>0</v>
      </c>
      <c r="M54" s="70"/>
      <c r="P54" s="70">
        <f>SUMIFS(BP!J:J,BP!K:K,'DFC 2022 AUDITORIA DESATUAL.'!C54)</f>
        <v>0</v>
      </c>
      <c r="R54" s="70">
        <f t="shared" si="0"/>
        <v>0</v>
      </c>
    </row>
    <row r="55" spans="1:21" x14ac:dyDescent="0.3">
      <c r="B55" s="40" t="s">
        <v>2522</v>
      </c>
      <c r="I55" s="70"/>
      <c r="J55" s="79">
        <v>0</v>
      </c>
      <c r="K55" s="70"/>
      <c r="L55" s="70">
        <v>0</v>
      </c>
      <c r="M55" s="70"/>
      <c r="P55" s="70">
        <f>SUMIFS(BP!J:J,BP!K:K,'DFC 2022 AUDITORIA DESATUAL.'!C55)</f>
        <v>0</v>
      </c>
      <c r="R55" s="70">
        <f t="shared" si="0"/>
        <v>0</v>
      </c>
    </row>
    <row r="56" spans="1:21" x14ac:dyDescent="0.3">
      <c r="B56" s="40" t="s">
        <v>2523</v>
      </c>
      <c r="I56" s="70"/>
      <c r="J56" s="79"/>
      <c r="K56" s="70"/>
      <c r="L56" s="70"/>
      <c r="M56" s="70"/>
      <c r="P56" s="70"/>
      <c r="R56" s="71"/>
    </row>
    <row r="57" spans="1:21" s="41" customFormat="1" x14ac:dyDescent="0.3">
      <c r="A57" s="40"/>
      <c r="B57" s="43" t="s">
        <v>2524</v>
      </c>
      <c r="C57" s="40"/>
      <c r="D57" s="40"/>
      <c r="E57" s="40"/>
      <c r="F57" s="40"/>
      <c r="G57" s="40"/>
      <c r="H57" s="70"/>
      <c r="I57" s="70"/>
      <c r="J57" s="78">
        <v>0</v>
      </c>
      <c r="K57" s="70"/>
      <c r="L57" s="71">
        <v>0</v>
      </c>
      <c r="M57" s="70"/>
      <c r="N57" s="38"/>
      <c r="P57" s="70">
        <f>SUMIFS(BP!J:J,BP!K:K,'DFC 2022 AUDITORIA DESATUAL.'!C57)</f>
        <v>0</v>
      </c>
      <c r="R57" s="71">
        <f t="shared" si="0"/>
        <v>0</v>
      </c>
      <c r="U57" s="71"/>
    </row>
    <row r="58" spans="1:21" x14ac:dyDescent="0.3">
      <c r="B58" s="43"/>
      <c r="I58" s="70"/>
      <c r="J58" s="79"/>
      <c r="K58" s="70"/>
      <c r="L58" s="70"/>
      <c r="M58" s="70"/>
      <c r="P58" s="70"/>
      <c r="R58" s="71"/>
    </row>
    <row r="59" spans="1:21" x14ac:dyDescent="0.3">
      <c r="A59" s="41" t="s">
        <v>2525</v>
      </c>
      <c r="B59" s="43"/>
      <c r="C59" s="41"/>
      <c r="D59" s="41"/>
      <c r="E59" s="41"/>
      <c r="F59" s="41"/>
      <c r="G59" s="41"/>
      <c r="H59" s="71"/>
      <c r="I59" s="71"/>
      <c r="J59" s="78">
        <f>SUM(J42+J51)</f>
        <v>6819726.5680000074</v>
      </c>
      <c r="K59" s="71"/>
      <c r="L59" s="71">
        <f>SUM(L42+L44)</f>
        <v>-3138208.5980000049</v>
      </c>
      <c r="M59" s="71"/>
      <c r="P59" s="71">
        <f>SUM(P42+P51)</f>
        <v>5367179.138000004</v>
      </c>
      <c r="R59" s="71">
        <f t="shared" si="0"/>
        <v>1452547.4300000034</v>
      </c>
    </row>
    <row r="60" spans="1:21" x14ac:dyDescent="0.3">
      <c r="I60" s="70"/>
      <c r="J60" s="79"/>
      <c r="K60" s="70"/>
      <c r="L60" s="70"/>
      <c r="M60" s="70"/>
      <c r="P60" s="70"/>
      <c r="R60" s="71"/>
    </row>
    <row r="61" spans="1:21" x14ac:dyDescent="0.3">
      <c r="A61" s="41"/>
      <c r="I61" s="70"/>
      <c r="J61" s="79"/>
      <c r="K61" s="70"/>
      <c r="L61" s="70"/>
      <c r="M61" s="70"/>
      <c r="P61" s="70"/>
      <c r="R61" s="71"/>
    </row>
    <row r="62" spans="1:21" x14ac:dyDescent="0.3">
      <c r="A62" s="40" t="s">
        <v>2400</v>
      </c>
      <c r="I62" s="70"/>
      <c r="J62" s="79">
        <f>SUM('BALANCETE 2022'!C14)</f>
        <v>6903819.0899999999</v>
      </c>
      <c r="K62" s="276"/>
      <c r="L62" s="70">
        <f>SUM('BALANCETE 2021'!E12)</f>
        <v>10042027.689999999</v>
      </c>
      <c r="M62" s="70"/>
      <c r="P62" s="70">
        <f>SUMIFS(BP!J:J,BP!K:K,'DFC 2022 AUDITORIA DESATUAL.'!A62)</f>
        <v>6903819.0899999999</v>
      </c>
      <c r="R62" s="70">
        <f t="shared" si="0"/>
        <v>0</v>
      </c>
    </row>
    <row r="63" spans="1:21" x14ac:dyDescent="0.3">
      <c r="A63" s="40" t="s">
        <v>2402</v>
      </c>
      <c r="I63" s="70"/>
      <c r="J63" s="79">
        <f>SUM('BALANCETE 2022'!F14)</f>
        <v>2861198.37</v>
      </c>
      <c r="K63" s="276"/>
      <c r="L63" s="70">
        <f>SUM('BALANCETE 2021'!I12)</f>
        <v>6903819.0899999999</v>
      </c>
      <c r="M63" s="70"/>
      <c r="P63" s="70">
        <f>SUMIFS(BP!J:J,BP!K:K,'DFC 2022 AUDITORIA DESATUAL.'!A63)</f>
        <v>2861198.37</v>
      </c>
      <c r="R63" s="70">
        <f t="shared" si="0"/>
        <v>0</v>
      </c>
    </row>
    <row r="64" spans="1:21" x14ac:dyDescent="0.3">
      <c r="A64" s="41" t="s">
        <v>2525</v>
      </c>
      <c r="I64" s="70"/>
      <c r="J64" s="78">
        <f>SUM(J63-J62)</f>
        <v>-4042620.7199999997</v>
      </c>
      <c r="K64" s="276"/>
      <c r="L64" s="71">
        <f>SUM(L63-L62)</f>
        <v>-3138208.5999999996</v>
      </c>
      <c r="M64" s="70"/>
      <c r="P64" s="71">
        <f>SUM(P63-P62)</f>
        <v>-4042620.7199999997</v>
      </c>
      <c r="R64" s="71">
        <f t="shared" si="0"/>
        <v>0</v>
      </c>
    </row>
    <row r="65" spans="1:18" x14ac:dyDescent="0.3">
      <c r="A65" s="41"/>
      <c r="I65" s="70"/>
      <c r="J65" s="78"/>
      <c r="K65" s="70"/>
      <c r="L65" s="71"/>
      <c r="M65" s="70"/>
      <c r="P65" s="71"/>
      <c r="R65" s="71"/>
    </row>
    <row r="66" spans="1:18" x14ac:dyDescent="0.3">
      <c r="A66" s="41"/>
      <c r="I66" s="70"/>
      <c r="J66" s="192">
        <f>J64-J59</f>
        <v>-10862347.288000006</v>
      </c>
      <c r="K66" s="70"/>
      <c r="L66" s="192">
        <f>L64-L59</f>
        <v>-1.9999947398900986E-3</v>
      </c>
      <c r="M66" s="70"/>
      <c r="P66" s="71"/>
      <c r="R66" s="71"/>
    </row>
    <row r="67" spans="1:18" x14ac:dyDescent="0.3">
      <c r="A67" s="41"/>
      <c r="I67" s="70"/>
      <c r="J67" s="282">
        <f>J66*2</f>
        <v>-21724694.576000012</v>
      </c>
      <c r="K67" s="70"/>
      <c r="L67" s="71">
        <f>L64-L59</f>
        <v>-1.9999947398900986E-3</v>
      </c>
      <c r="M67" s="70"/>
      <c r="P67" s="71">
        <f>P64-P59</f>
        <v>-9409799.8580000028</v>
      </c>
      <c r="R67" s="71">
        <f>J66-P67</f>
        <v>-1452547.4300000034</v>
      </c>
    </row>
    <row r="68" spans="1:18" x14ac:dyDescent="0.3">
      <c r="A68" s="41"/>
      <c r="I68" s="70"/>
      <c r="J68" s="212">
        <f>J66/2</f>
        <v>-5431173.6440000031</v>
      </c>
      <c r="K68" s="70"/>
      <c r="L68" s="71"/>
      <c r="M68" s="70"/>
      <c r="P68" s="71"/>
      <c r="R68" s="71"/>
    </row>
    <row r="69" spans="1:18" ht="10.5" customHeight="1" x14ac:dyDescent="0.3">
      <c r="A69" s="41"/>
      <c r="I69" s="70"/>
      <c r="J69" s="79"/>
      <c r="K69" s="70"/>
      <c r="L69" s="70"/>
      <c r="M69" s="70"/>
      <c r="P69" s="70"/>
      <c r="R69" s="70"/>
    </row>
    <row r="70" spans="1:18" x14ac:dyDescent="0.3">
      <c r="A70" s="707" t="s">
        <v>2526</v>
      </c>
      <c r="B70" s="707"/>
      <c r="C70" s="707"/>
      <c r="D70" s="707"/>
      <c r="E70" s="707"/>
      <c r="F70" s="707"/>
      <c r="G70" s="707"/>
      <c r="H70" s="707"/>
      <c r="I70" s="707"/>
      <c r="J70" s="707"/>
      <c r="K70" s="707"/>
      <c r="L70" s="707"/>
      <c r="M70" s="707"/>
    </row>
    <row r="71" spans="1:18" ht="7.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76"/>
      <c r="K71" s="3"/>
      <c r="L71" s="3"/>
      <c r="M71" s="3"/>
      <c r="P71" s="3"/>
      <c r="R71" s="3"/>
    </row>
    <row r="72" spans="1:18" x14ac:dyDescent="0.3">
      <c r="A72" s="41"/>
      <c r="D72" s="45" t="s">
        <v>2527</v>
      </c>
      <c r="E72" s="45"/>
      <c r="F72" s="45"/>
      <c r="I72" s="70"/>
      <c r="J72" s="83" t="s">
        <v>2528</v>
      </c>
      <c r="K72" s="46"/>
      <c r="L72" s="46"/>
      <c r="M72" s="46"/>
      <c r="N72" s="40"/>
      <c r="P72" s="46" t="s">
        <v>2528</v>
      </c>
      <c r="R72" s="46" t="s">
        <v>2528</v>
      </c>
    </row>
    <row r="73" spans="1:18" ht="13.5" customHeight="1" x14ac:dyDescent="0.3">
      <c r="I73" s="47"/>
      <c r="J73" s="84"/>
      <c r="K73" s="47"/>
      <c r="L73" s="47"/>
      <c r="M73" s="47"/>
      <c r="N73" s="40"/>
      <c r="P73" s="47"/>
      <c r="R73" s="47"/>
    </row>
    <row r="74" spans="1:18" ht="13.5" customHeight="1" x14ac:dyDescent="0.3">
      <c r="I74" s="47"/>
      <c r="J74" s="84"/>
      <c r="K74" s="47"/>
      <c r="L74" s="47"/>
      <c r="M74" s="47"/>
      <c r="N74" s="40"/>
      <c r="P74" s="47"/>
      <c r="R74" s="47"/>
    </row>
    <row r="75" spans="1:18" ht="13.5" customHeight="1" x14ac:dyDescent="0.3">
      <c r="D75" s="48"/>
      <c r="E75" s="48"/>
      <c r="F75" s="48"/>
      <c r="G75" s="48"/>
      <c r="H75" s="48"/>
      <c r="I75" s="37"/>
      <c r="J75" s="85"/>
      <c r="K75" s="49"/>
      <c r="L75" s="49"/>
      <c r="M75" s="37"/>
      <c r="N75" s="40"/>
      <c r="P75" s="49"/>
      <c r="R75" s="49"/>
    </row>
    <row r="76" spans="1:18" x14ac:dyDescent="0.3">
      <c r="D76" s="708" t="s">
        <v>2529</v>
      </c>
      <c r="E76" s="708"/>
      <c r="F76" s="708"/>
      <c r="G76" s="708"/>
      <c r="H76" s="708"/>
      <c r="I76" s="708"/>
      <c r="J76" s="708"/>
      <c r="K76" s="708"/>
      <c r="L76" s="708"/>
      <c r="M76" s="70"/>
      <c r="N76" s="40"/>
    </row>
    <row r="77" spans="1:18" x14ac:dyDescent="0.3">
      <c r="D77" s="708" t="s">
        <v>2530</v>
      </c>
      <c r="E77" s="708"/>
      <c r="F77" s="708"/>
      <c r="G77" s="708"/>
      <c r="H77" s="708"/>
      <c r="I77" s="708"/>
      <c r="J77" s="708"/>
      <c r="K77" s="708"/>
      <c r="L77" s="708"/>
      <c r="M77" s="70"/>
      <c r="N77" s="40"/>
    </row>
    <row r="78" spans="1:18" ht="20.25" customHeight="1" x14ac:dyDescent="0.3">
      <c r="D78" s="709" t="s">
        <v>2531</v>
      </c>
      <c r="E78" s="709"/>
      <c r="F78" s="709"/>
      <c r="G78" s="709"/>
      <c r="H78" s="709"/>
      <c r="I78" s="709"/>
      <c r="J78" s="709"/>
      <c r="K78" s="709"/>
      <c r="L78" s="709"/>
      <c r="M78" s="73"/>
      <c r="N78" s="40"/>
    </row>
  </sheetData>
  <mergeCells count="8">
    <mergeCell ref="D77:L77"/>
    <mergeCell ref="D78:L78"/>
    <mergeCell ref="A1:L1"/>
    <mergeCell ref="A2:L2"/>
    <mergeCell ref="A4:L4"/>
    <mergeCell ref="A5:L5"/>
    <mergeCell ref="A70:M70"/>
    <mergeCell ref="D76:L76"/>
  </mergeCells>
  <pageMargins left="0.511811024" right="0.511811024" top="0.78740157499999996" bottom="0.78740157499999996" header="0.31496062000000002" footer="0.31496062000000002"/>
  <pageSetup paperSize="9" scale="84" orientation="portrait" r:id="rId1"/>
  <colBreaks count="1" manualBreakCount="1">
    <brk id="12" max="1048575" man="1"/>
  </colBreak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782CA-6D42-4334-A521-ED7003562D9E}">
  <dimension ref="A1:J22"/>
  <sheetViews>
    <sheetView workbookViewId="0">
      <selection activeCell="H1" sqref="H1:H1048576"/>
    </sheetView>
  </sheetViews>
  <sheetFormatPr defaultRowHeight="14.4" x14ac:dyDescent="0.3"/>
  <cols>
    <col min="1" max="1" width="67" bestFit="1" customWidth="1"/>
    <col min="2" max="2" width="14.88671875" customWidth="1"/>
    <col min="3" max="7" width="9.109375" customWidth="1"/>
    <col min="8" max="9" width="11.6640625" bestFit="1" customWidth="1"/>
    <col min="10" max="10" width="15.33203125" bestFit="1" customWidth="1"/>
  </cols>
  <sheetData>
    <row r="1" spans="1:10" x14ac:dyDescent="0.3">
      <c r="A1" t="s">
        <v>1644</v>
      </c>
      <c r="B1" t="s">
        <v>1645</v>
      </c>
      <c r="C1">
        <f t="shared" ref="C1:C22" si="0">LEN(B1)</f>
        <v>16</v>
      </c>
      <c r="D1" t="str">
        <f t="shared" ref="D1:D22" si="1">IF(LEFT(TRIM(A1),1)="(","Red.","Norm")</f>
        <v>Norm</v>
      </c>
      <c r="E1">
        <f t="shared" ref="E1:E22" si="2">LEFT(SUBSTITUTE(B1,"[","",1),1)+0</f>
        <v>3</v>
      </c>
      <c r="F1" t="str">
        <f t="shared" ref="F1:F22" si="3">IF(AND(OR(E1=1,E1=3,E1=5),D1="Norm"),"D",
IF(AND(OR(E1=1,E1=3,E1=5),D1="Red."),"C",
IF(AND(OR(E1=2,E1=4,E1=6),D1="Norm"),"C",
IF(AND(OR(E1=2,E1=4,E1=6),D1="Red."),"D"))))</f>
        <v>D</v>
      </c>
      <c r="G1" s="54" t="s">
        <v>884</v>
      </c>
      <c r="H1" s="20">
        <v>117713.2</v>
      </c>
      <c r="I1" s="20">
        <v>0</v>
      </c>
      <c r="J1" s="54">
        <v>117713.2</v>
      </c>
    </row>
    <row r="2" spans="1:10" x14ac:dyDescent="0.3">
      <c r="A2" s="1" t="s">
        <v>1646</v>
      </c>
      <c r="B2" s="1" t="s">
        <v>1647</v>
      </c>
      <c r="C2" s="1">
        <f t="shared" si="0"/>
        <v>11</v>
      </c>
      <c r="D2" s="1" t="str">
        <f t="shared" si="1"/>
        <v>Norm</v>
      </c>
      <c r="E2" s="1">
        <f t="shared" si="2"/>
        <v>3</v>
      </c>
      <c r="F2" s="1" t="str">
        <f t="shared" si="3"/>
        <v>D</v>
      </c>
      <c r="G2" s="59" t="s">
        <v>1536</v>
      </c>
      <c r="H2" s="62">
        <v>653613.82999999996</v>
      </c>
      <c r="I2" s="62">
        <v>76865.41</v>
      </c>
      <c r="J2" s="59">
        <v>576748.42000000004</v>
      </c>
    </row>
    <row r="3" spans="1:10" x14ac:dyDescent="0.3">
      <c r="A3" t="s">
        <v>1649</v>
      </c>
      <c r="B3" t="s">
        <v>1650</v>
      </c>
      <c r="C3">
        <f t="shared" si="0"/>
        <v>16</v>
      </c>
      <c r="D3" t="str">
        <f t="shared" si="1"/>
        <v>Norm</v>
      </c>
      <c r="E3">
        <f t="shared" si="2"/>
        <v>3</v>
      </c>
      <c r="F3" t="str">
        <f t="shared" si="3"/>
        <v>D</v>
      </c>
      <c r="G3" s="54" t="s">
        <v>884</v>
      </c>
      <c r="H3" s="20">
        <v>1340</v>
      </c>
      <c r="I3" s="20">
        <v>0</v>
      </c>
      <c r="J3" s="54">
        <v>1340</v>
      </c>
    </row>
    <row r="4" spans="1:10" x14ac:dyDescent="0.3">
      <c r="A4" t="s">
        <v>1652</v>
      </c>
      <c r="B4" t="s">
        <v>1653</v>
      </c>
      <c r="C4">
        <f t="shared" si="0"/>
        <v>16</v>
      </c>
      <c r="D4" t="str">
        <f t="shared" si="1"/>
        <v>Norm</v>
      </c>
      <c r="E4">
        <f t="shared" si="2"/>
        <v>3</v>
      </c>
      <c r="F4" t="str">
        <f t="shared" si="3"/>
        <v>D</v>
      </c>
      <c r="G4" s="54" t="s">
        <v>884</v>
      </c>
      <c r="H4" s="20">
        <v>6000</v>
      </c>
      <c r="I4" s="20">
        <v>0</v>
      </c>
      <c r="J4" s="54">
        <v>6000</v>
      </c>
    </row>
    <row r="5" spans="1:10" x14ac:dyDescent="0.3">
      <c r="A5" t="s">
        <v>1654</v>
      </c>
      <c r="B5" t="s">
        <v>1655</v>
      </c>
      <c r="C5">
        <f t="shared" si="0"/>
        <v>16</v>
      </c>
      <c r="D5" t="str">
        <f t="shared" si="1"/>
        <v>Norm</v>
      </c>
      <c r="E5">
        <f t="shared" si="2"/>
        <v>3</v>
      </c>
      <c r="F5" t="str">
        <f t="shared" si="3"/>
        <v>D</v>
      </c>
      <c r="G5" s="54" t="s">
        <v>884</v>
      </c>
      <c r="H5" s="20">
        <v>383942.99</v>
      </c>
      <c r="I5" s="20">
        <v>76832.509999999995</v>
      </c>
      <c r="J5" s="54">
        <v>307110.48</v>
      </c>
    </row>
    <row r="6" spans="1:10" x14ac:dyDescent="0.3">
      <c r="A6" t="s">
        <v>1656</v>
      </c>
      <c r="B6" t="s">
        <v>1657</v>
      </c>
      <c r="C6">
        <f t="shared" si="0"/>
        <v>16</v>
      </c>
      <c r="D6" t="str">
        <f t="shared" si="1"/>
        <v>Norm</v>
      </c>
      <c r="E6">
        <f t="shared" si="2"/>
        <v>3</v>
      </c>
      <c r="F6" t="str">
        <f t="shared" si="3"/>
        <v>D</v>
      </c>
      <c r="G6" s="54" t="s">
        <v>884</v>
      </c>
      <c r="H6" s="20">
        <v>246333.61</v>
      </c>
      <c r="I6" s="20">
        <v>0</v>
      </c>
      <c r="J6" s="54">
        <v>246333.61</v>
      </c>
    </row>
    <row r="7" spans="1:10" x14ac:dyDescent="0.3">
      <c r="A7" t="s">
        <v>1662</v>
      </c>
      <c r="B7" t="s">
        <v>1663</v>
      </c>
      <c r="C7">
        <f t="shared" si="0"/>
        <v>16</v>
      </c>
      <c r="D7" t="str">
        <f t="shared" si="1"/>
        <v>Red.</v>
      </c>
      <c r="E7">
        <f t="shared" si="2"/>
        <v>3</v>
      </c>
      <c r="F7" t="str">
        <f t="shared" si="3"/>
        <v>C</v>
      </c>
      <c r="G7" s="54" t="s">
        <v>884</v>
      </c>
      <c r="H7" s="20">
        <v>32.9</v>
      </c>
      <c r="I7" s="20">
        <v>32.9</v>
      </c>
      <c r="J7" s="54" t="s">
        <v>884</v>
      </c>
    </row>
    <row r="8" spans="1:10" x14ac:dyDescent="0.3">
      <c r="A8" t="s">
        <v>1665</v>
      </c>
      <c r="B8" t="s">
        <v>1666</v>
      </c>
      <c r="C8">
        <f t="shared" si="0"/>
        <v>16</v>
      </c>
      <c r="D8" t="str">
        <f t="shared" si="1"/>
        <v>Norm</v>
      </c>
      <c r="E8">
        <f t="shared" si="2"/>
        <v>3</v>
      </c>
      <c r="F8" t="str">
        <f t="shared" si="3"/>
        <v>D</v>
      </c>
      <c r="G8" s="54" t="s">
        <v>884</v>
      </c>
      <c r="H8" s="20">
        <v>15964.33</v>
      </c>
      <c r="I8" s="20">
        <v>0</v>
      </c>
      <c r="J8" s="54">
        <v>15964.33</v>
      </c>
    </row>
    <row r="9" spans="1:10" x14ac:dyDescent="0.3">
      <c r="A9" s="1" t="s">
        <v>1667</v>
      </c>
      <c r="B9" s="1" t="s">
        <v>1668</v>
      </c>
      <c r="C9" s="1">
        <f t="shared" si="0"/>
        <v>8</v>
      </c>
      <c r="D9" s="1" t="str">
        <f t="shared" si="1"/>
        <v>Norm</v>
      </c>
      <c r="E9" s="1">
        <f t="shared" si="2"/>
        <v>3</v>
      </c>
      <c r="F9" s="1" t="str">
        <f t="shared" si="3"/>
        <v>D</v>
      </c>
      <c r="G9" s="59" t="s">
        <v>1536</v>
      </c>
      <c r="H9" s="62">
        <v>6559816.6399999997</v>
      </c>
      <c r="I9" s="62">
        <v>1754876.24</v>
      </c>
      <c r="J9" s="59">
        <v>4804940.4000000004</v>
      </c>
    </row>
    <row r="10" spans="1:10" x14ac:dyDescent="0.3">
      <c r="A10" s="1" t="s">
        <v>2301</v>
      </c>
      <c r="B10" s="1" t="s">
        <v>2302</v>
      </c>
      <c r="C10" s="1">
        <f t="shared" si="0"/>
        <v>11</v>
      </c>
      <c r="D10" s="1" t="str">
        <f t="shared" si="1"/>
        <v>Norm</v>
      </c>
      <c r="E10" s="1">
        <f t="shared" si="2"/>
        <v>3</v>
      </c>
      <c r="F10" s="1" t="str">
        <f t="shared" si="3"/>
        <v>D</v>
      </c>
      <c r="G10" s="59" t="s">
        <v>1536</v>
      </c>
      <c r="H10" s="62">
        <v>2865668.22</v>
      </c>
      <c r="I10" s="62">
        <v>0</v>
      </c>
      <c r="J10" s="59">
        <v>2865668.22</v>
      </c>
    </row>
    <row r="11" spans="1:10" x14ac:dyDescent="0.3">
      <c r="A11" t="s">
        <v>2303</v>
      </c>
      <c r="B11" t="s">
        <v>2304</v>
      </c>
      <c r="C11">
        <f t="shared" si="0"/>
        <v>16</v>
      </c>
      <c r="D11" t="str">
        <f t="shared" si="1"/>
        <v>Norm</v>
      </c>
      <c r="E11">
        <f t="shared" si="2"/>
        <v>3</v>
      </c>
      <c r="F11" t="str">
        <f t="shared" si="3"/>
        <v>D</v>
      </c>
      <c r="G11" s="54">
        <v>0</v>
      </c>
      <c r="H11" s="20">
        <v>19466.12</v>
      </c>
      <c r="I11" s="20">
        <v>0</v>
      </c>
      <c r="J11" s="54">
        <v>19466.12</v>
      </c>
    </row>
    <row r="12" spans="1:10" x14ac:dyDescent="0.3">
      <c r="A12" t="s">
        <v>2305</v>
      </c>
      <c r="B12" t="s">
        <v>2306</v>
      </c>
      <c r="C12">
        <f t="shared" si="0"/>
        <v>16</v>
      </c>
      <c r="D12" t="str">
        <f t="shared" si="1"/>
        <v>Norm</v>
      </c>
      <c r="E12">
        <f t="shared" si="2"/>
        <v>3</v>
      </c>
      <c r="F12" t="str">
        <f t="shared" si="3"/>
        <v>D</v>
      </c>
      <c r="G12" s="54">
        <v>0</v>
      </c>
      <c r="H12" s="20">
        <v>11800.49</v>
      </c>
      <c r="I12" s="20">
        <v>0</v>
      </c>
      <c r="J12" s="54">
        <v>11800.49</v>
      </c>
    </row>
    <row r="13" spans="1:10" x14ac:dyDescent="0.3">
      <c r="A13" t="s">
        <v>2307</v>
      </c>
      <c r="B13" t="s">
        <v>2308</v>
      </c>
      <c r="C13">
        <f t="shared" si="0"/>
        <v>16</v>
      </c>
      <c r="D13" t="str">
        <f t="shared" si="1"/>
        <v>Norm</v>
      </c>
      <c r="E13">
        <f t="shared" si="2"/>
        <v>3</v>
      </c>
      <c r="F13" t="str">
        <f t="shared" si="3"/>
        <v>D</v>
      </c>
      <c r="G13" s="54">
        <v>0</v>
      </c>
      <c r="H13" s="20">
        <v>2834401.61</v>
      </c>
      <c r="I13" s="20">
        <v>0</v>
      </c>
      <c r="J13" s="54">
        <v>2834401.61</v>
      </c>
    </row>
    <row r="14" spans="1:10" x14ac:dyDescent="0.3">
      <c r="A14" s="1" t="s">
        <v>1675</v>
      </c>
      <c r="B14" s="1" t="s">
        <v>1676</v>
      </c>
      <c r="C14" s="1">
        <f t="shared" si="0"/>
        <v>11</v>
      </c>
      <c r="D14" s="1" t="str">
        <f t="shared" si="1"/>
        <v>Norm</v>
      </c>
      <c r="E14" s="1">
        <f t="shared" si="2"/>
        <v>3</v>
      </c>
      <c r="F14" s="1" t="str">
        <f t="shared" si="3"/>
        <v>D</v>
      </c>
      <c r="G14" s="59">
        <v>0</v>
      </c>
      <c r="H14" s="62">
        <v>3667501.99</v>
      </c>
      <c r="I14" s="62">
        <v>1754876.24</v>
      </c>
      <c r="J14" s="59">
        <v>1912625.75</v>
      </c>
    </row>
    <row r="15" spans="1:10" x14ac:dyDescent="0.3">
      <c r="A15" t="s">
        <v>1678</v>
      </c>
      <c r="B15" t="s">
        <v>1679</v>
      </c>
      <c r="C15">
        <f t="shared" si="0"/>
        <v>16</v>
      </c>
      <c r="D15" t="str">
        <f t="shared" si="1"/>
        <v>Norm</v>
      </c>
      <c r="E15">
        <f t="shared" si="2"/>
        <v>3</v>
      </c>
      <c r="F15" t="str">
        <f t="shared" si="3"/>
        <v>D</v>
      </c>
      <c r="G15" s="54">
        <v>0</v>
      </c>
      <c r="H15" s="20">
        <v>517.87</v>
      </c>
      <c r="I15" s="20">
        <v>0</v>
      </c>
      <c r="J15" s="54">
        <v>517.87</v>
      </c>
    </row>
    <row r="16" spans="1:10" x14ac:dyDescent="0.3">
      <c r="A16" t="s">
        <v>1681</v>
      </c>
      <c r="B16" t="s">
        <v>1682</v>
      </c>
      <c r="C16">
        <f t="shared" si="0"/>
        <v>16</v>
      </c>
      <c r="D16" t="str">
        <f t="shared" si="1"/>
        <v>Norm</v>
      </c>
      <c r="E16">
        <f t="shared" si="2"/>
        <v>3</v>
      </c>
      <c r="F16" t="str">
        <f t="shared" si="3"/>
        <v>D</v>
      </c>
      <c r="G16" s="54">
        <v>0</v>
      </c>
      <c r="H16" s="20">
        <v>3666187.14</v>
      </c>
      <c r="I16" s="20">
        <v>1754876.24</v>
      </c>
      <c r="J16" s="54">
        <v>1911310.9</v>
      </c>
    </row>
    <row r="17" spans="1:10" x14ac:dyDescent="0.3">
      <c r="A17" t="s">
        <v>1684</v>
      </c>
      <c r="B17" t="s">
        <v>1685</v>
      </c>
      <c r="C17">
        <f t="shared" si="0"/>
        <v>16</v>
      </c>
      <c r="D17" t="str">
        <f t="shared" si="1"/>
        <v>Norm</v>
      </c>
      <c r="E17">
        <f t="shared" si="2"/>
        <v>3</v>
      </c>
      <c r="F17" t="str">
        <f t="shared" si="3"/>
        <v>D</v>
      </c>
      <c r="G17" s="54">
        <v>0</v>
      </c>
      <c r="H17" s="20">
        <v>621.77</v>
      </c>
      <c r="I17" s="20">
        <v>0</v>
      </c>
      <c r="J17" s="54">
        <v>621.77</v>
      </c>
    </row>
    <row r="18" spans="1:10" x14ac:dyDescent="0.3">
      <c r="A18" t="s">
        <v>1687</v>
      </c>
      <c r="B18" t="s">
        <v>1688</v>
      </c>
      <c r="C18">
        <f t="shared" si="0"/>
        <v>16</v>
      </c>
      <c r="D18" t="str">
        <f t="shared" si="1"/>
        <v>Norm</v>
      </c>
      <c r="E18">
        <f t="shared" si="2"/>
        <v>3</v>
      </c>
      <c r="F18" t="str">
        <f t="shared" si="3"/>
        <v>D</v>
      </c>
      <c r="G18" s="54">
        <v>0</v>
      </c>
      <c r="H18" s="20">
        <v>172.04</v>
      </c>
      <c r="I18" s="20">
        <v>0</v>
      </c>
      <c r="J18" s="54">
        <v>172.04</v>
      </c>
    </row>
    <row r="19" spans="1:10" x14ac:dyDescent="0.3">
      <c r="A19" t="s">
        <v>1690</v>
      </c>
      <c r="B19" t="s">
        <v>1691</v>
      </c>
      <c r="C19">
        <f t="shared" si="0"/>
        <v>16</v>
      </c>
      <c r="D19" t="str">
        <f t="shared" si="1"/>
        <v>Norm</v>
      </c>
      <c r="E19">
        <f t="shared" si="2"/>
        <v>3</v>
      </c>
      <c r="F19" t="str">
        <f t="shared" si="3"/>
        <v>D</v>
      </c>
      <c r="G19" s="54">
        <v>0</v>
      </c>
      <c r="H19" s="20">
        <v>2.89</v>
      </c>
      <c r="I19" s="20">
        <v>0</v>
      </c>
      <c r="J19" s="54">
        <v>2.89</v>
      </c>
    </row>
    <row r="20" spans="1:10" x14ac:dyDescent="0.3">
      <c r="A20" t="s">
        <v>2309</v>
      </c>
      <c r="B20" t="s">
        <v>2310</v>
      </c>
      <c r="C20">
        <f t="shared" si="0"/>
        <v>16</v>
      </c>
      <c r="D20" t="str">
        <f t="shared" si="1"/>
        <v>Norm</v>
      </c>
      <c r="E20">
        <f t="shared" si="2"/>
        <v>3</v>
      </c>
      <c r="F20" t="str">
        <f t="shared" si="3"/>
        <v>D</v>
      </c>
      <c r="G20" s="54">
        <v>0</v>
      </c>
      <c r="H20" s="20">
        <v>0.28000000000000003</v>
      </c>
      <c r="I20" s="20">
        <v>0</v>
      </c>
      <c r="J20" s="54">
        <v>0.28000000000000003</v>
      </c>
    </row>
    <row r="21" spans="1:10" x14ac:dyDescent="0.3">
      <c r="A21" s="1" t="s">
        <v>2311</v>
      </c>
      <c r="B21" s="1" t="s">
        <v>2312</v>
      </c>
      <c r="C21" s="1">
        <f t="shared" si="0"/>
        <v>11</v>
      </c>
      <c r="D21" s="1" t="str">
        <f t="shared" si="1"/>
        <v>Norm</v>
      </c>
      <c r="E21" s="1">
        <f t="shared" si="2"/>
        <v>3</v>
      </c>
      <c r="F21" s="1" t="str">
        <f t="shared" si="3"/>
        <v>D</v>
      </c>
      <c r="G21" s="59">
        <v>0</v>
      </c>
      <c r="H21" s="62">
        <v>26646.43</v>
      </c>
      <c r="I21" s="62">
        <v>0</v>
      </c>
      <c r="J21" s="59">
        <v>26646.43</v>
      </c>
    </row>
    <row r="22" spans="1:10" x14ac:dyDescent="0.3">
      <c r="A22" t="s">
        <v>2313</v>
      </c>
      <c r="B22" t="s">
        <v>2314</v>
      </c>
      <c r="C22">
        <f t="shared" si="0"/>
        <v>16</v>
      </c>
      <c r="D22" t="str">
        <f t="shared" si="1"/>
        <v>Norm</v>
      </c>
      <c r="E22">
        <f t="shared" si="2"/>
        <v>3</v>
      </c>
      <c r="F22" t="str">
        <f t="shared" si="3"/>
        <v>D</v>
      </c>
      <c r="G22" s="54">
        <v>0</v>
      </c>
      <c r="H22" s="20">
        <v>26646.43</v>
      </c>
      <c r="I22" s="20">
        <v>0</v>
      </c>
      <c r="J22" s="54">
        <v>26646.43</v>
      </c>
    </row>
  </sheetData>
  <pageMargins left="0.511811024" right="0.511811024" top="0.78740157499999996" bottom="0.78740157499999996" header="0.31496062000000002" footer="0.3149606200000000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F54B6-711C-45D2-9604-24F6D2BE8AD2}">
  <dimension ref="C3:L31"/>
  <sheetViews>
    <sheetView topLeftCell="A7" zoomScale="110" zoomScaleNormal="110" workbookViewId="0">
      <selection activeCell="I20" sqref="I20"/>
    </sheetView>
  </sheetViews>
  <sheetFormatPr defaultRowHeight="14.4" x14ac:dyDescent="0.3"/>
  <cols>
    <col min="3" max="3" width="47.6640625" bestFit="1" customWidth="1"/>
    <col min="4" max="4" width="14.88671875" bestFit="1" customWidth="1"/>
    <col min="5" max="5" width="14.5546875" bestFit="1" customWidth="1"/>
    <col min="6" max="6" width="2.33203125" customWidth="1"/>
    <col min="7" max="7" width="14.33203125" bestFit="1" customWidth="1"/>
    <col min="8" max="8" width="12.88671875" bestFit="1" customWidth="1"/>
    <col min="9" max="9" width="14.6640625" bestFit="1" customWidth="1"/>
    <col min="10" max="10" width="2.33203125" bestFit="1" customWidth="1"/>
    <col min="11" max="11" width="15.33203125" style="36" bestFit="1" customWidth="1"/>
    <col min="12" max="12" width="14" bestFit="1" customWidth="1"/>
  </cols>
  <sheetData>
    <row r="3" spans="3:12" x14ac:dyDescent="0.3">
      <c r="E3" s="216" t="s">
        <v>3344</v>
      </c>
      <c r="F3" s="216"/>
      <c r="G3" s="216" t="s">
        <v>2117</v>
      </c>
      <c r="H3" s="216" t="s">
        <v>8</v>
      </c>
      <c r="I3" s="216" t="s">
        <v>3345</v>
      </c>
    </row>
    <row r="4" spans="3:12" x14ac:dyDescent="0.3">
      <c r="C4" s="180" t="s">
        <v>3067</v>
      </c>
      <c r="D4" s="180" t="s">
        <v>1545</v>
      </c>
      <c r="E4" s="181">
        <f>E5+E10-E14-E21</f>
        <v>1862269.0699999854</v>
      </c>
      <c r="F4" s="189" t="s">
        <v>416</v>
      </c>
      <c r="G4" s="181">
        <v>115697136.86</v>
      </c>
      <c r="H4" s="181">
        <v>85120054.400000006</v>
      </c>
      <c r="I4" s="181">
        <f>I5+I10+I14+I21</f>
        <v>-28714813.390000053</v>
      </c>
      <c r="J4" s="180" t="str">
        <f>RIGHT(I4,1)</f>
        <v>1</v>
      </c>
    </row>
    <row r="5" spans="3:12" x14ac:dyDescent="0.3">
      <c r="C5" s="51" t="s">
        <v>3070</v>
      </c>
      <c r="D5" s="51" t="s">
        <v>1548</v>
      </c>
      <c r="E5" s="57">
        <f>E6</f>
        <v>240000000</v>
      </c>
      <c r="F5" s="57" t="s">
        <v>416</v>
      </c>
      <c r="G5" s="118">
        <v>0</v>
      </c>
      <c r="H5" s="118">
        <v>0</v>
      </c>
      <c r="I5" s="57">
        <f>I6</f>
        <v>240000000</v>
      </c>
      <c r="J5" s="51" t="s">
        <v>416</v>
      </c>
      <c r="K5" s="36">
        <f>I5+I21</f>
        <v>223483746.68000001</v>
      </c>
    </row>
    <row r="6" spans="3:12" x14ac:dyDescent="0.3">
      <c r="C6" s="1" t="s">
        <v>3071</v>
      </c>
      <c r="D6" s="1" t="s">
        <v>1551</v>
      </c>
      <c r="E6" s="59">
        <f>SUM(E7:E9)</f>
        <v>240000000</v>
      </c>
      <c r="F6" s="59" t="s">
        <v>416</v>
      </c>
      <c r="G6" s="122">
        <v>0</v>
      </c>
      <c r="H6" s="122">
        <v>0</v>
      </c>
      <c r="I6" s="59">
        <f>SUM(I7:I9)</f>
        <v>240000000</v>
      </c>
      <c r="J6" s="1" t="s">
        <v>416</v>
      </c>
    </row>
    <row r="7" spans="3:12" x14ac:dyDescent="0.3">
      <c r="C7" t="s">
        <v>3072</v>
      </c>
      <c r="D7" t="s">
        <v>1554</v>
      </c>
      <c r="E7" s="54">
        <v>5518</v>
      </c>
      <c r="F7" s="54" t="s">
        <v>416</v>
      </c>
      <c r="G7" s="115">
        <v>0</v>
      </c>
      <c r="H7" s="115">
        <v>0</v>
      </c>
      <c r="I7" s="54">
        <v>5518</v>
      </c>
      <c r="J7" t="s">
        <v>416</v>
      </c>
    </row>
    <row r="8" spans="3:12" x14ac:dyDescent="0.3">
      <c r="C8" t="s">
        <v>3073</v>
      </c>
      <c r="D8" t="s">
        <v>1557</v>
      </c>
      <c r="E8" s="115">
        <v>73</v>
      </c>
      <c r="F8" s="115" t="s">
        <v>416</v>
      </c>
      <c r="G8" s="115">
        <v>0</v>
      </c>
      <c r="H8" s="115">
        <v>0</v>
      </c>
      <c r="I8" s="115">
        <v>73</v>
      </c>
      <c r="J8" t="s">
        <v>416</v>
      </c>
    </row>
    <row r="9" spans="3:12" x14ac:dyDescent="0.3">
      <c r="C9" t="s">
        <v>3074</v>
      </c>
      <c r="D9" t="s">
        <v>1560</v>
      </c>
      <c r="E9" s="54">
        <v>239994409</v>
      </c>
      <c r="F9" s="54" t="s">
        <v>416</v>
      </c>
      <c r="G9" s="115">
        <v>0</v>
      </c>
      <c r="H9" s="115">
        <v>0</v>
      </c>
      <c r="I9" s="54">
        <v>239994409</v>
      </c>
      <c r="J9" t="s">
        <v>416</v>
      </c>
    </row>
    <row r="10" spans="3:12" x14ac:dyDescent="0.3">
      <c r="C10" s="51" t="s">
        <v>3075</v>
      </c>
      <c r="D10" s="51" t="s">
        <v>1563</v>
      </c>
      <c r="E10" s="57">
        <f>E11</f>
        <v>15177736.26</v>
      </c>
      <c r="F10" s="57" t="s">
        <v>416</v>
      </c>
      <c r="G10" s="57">
        <v>60005924.810000002</v>
      </c>
      <c r="H10" s="57">
        <v>43513893.32</v>
      </c>
      <c r="I10" s="57">
        <f>I11</f>
        <v>0</v>
      </c>
      <c r="J10" s="51" t="s">
        <v>14</v>
      </c>
      <c r="K10" s="217">
        <f>H10-G10</f>
        <v>-16492031.490000002</v>
      </c>
      <c r="L10" s="16">
        <f>K10+E10</f>
        <v>-1314295.2300000023</v>
      </c>
    </row>
    <row r="11" spans="3:12" x14ac:dyDescent="0.3">
      <c r="C11" s="1" t="s">
        <v>3076</v>
      </c>
      <c r="D11" s="1" t="s">
        <v>1566</v>
      </c>
      <c r="E11" s="59">
        <f>SUM(E12:E13)</f>
        <v>15177736.26</v>
      </c>
      <c r="F11" s="59" t="s">
        <v>416</v>
      </c>
      <c r="G11" s="59">
        <v>60005924.810000002</v>
      </c>
      <c r="H11" s="59">
        <v>43513893.32</v>
      </c>
      <c r="I11" s="59">
        <f>SUM(I12:I13)</f>
        <v>0</v>
      </c>
      <c r="J11" s="1" t="s">
        <v>14</v>
      </c>
      <c r="L11">
        <v>1314295.23</v>
      </c>
    </row>
    <row r="12" spans="3:12" x14ac:dyDescent="0.3">
      <c r="C12" t="s">
        <v>3077</v>
      </c>
      <c r="D12" t="s">
        <v>1573</v>
      </c>
      <c r="E12" s="54">
        <v>15177736.26</v>
      </c>
      <c r="F12" s="54" t="s">
        <v>416</v>
      </c>
      <c r="G12" s="54">
        <v>58021160.060000002</v>
      </c>
      <c r="H12" s="218">
        <f>39604001.86+3239421.94</f>
        <v>42843423.799999997</v>
      </c>
      <c r="I12" s="218">
        <f>E12+H12-G12</f>
        <v>0</v>
      </c>
      <c r="J12" t="s">
        <v>14</v>
      </c>
    </row>
    <row r="13" spans="3:12" x14ac:dyDescent="0.3">
      <c r="C13" t="s">
        <v>3078</v>
      </c>
      <c r="D13" t="s">
        <v>2292</v>
      </c>
      <c r="E13" s="115">
        <v>0</v>
      </c>
      <c r="F13" s="115"/>
      <c r="G13" s="219">
        <f>1984764.75+1925126.71</f>
        <v>3909891.46</v>
      </c>
      <c r="H13" s="54">
        <v>3909891.46</v>
      </c>
      <c r="I13" s="219">
        <f>E13-G13+H13</f>
        <v>0</v>
      </c>
      <c r="J13" t="s">
        <v>416</v>
      </c>
    </row>
    <row r="14" spans="3:12" x14ac:dyDescent="0.3">
      <c r="C14" s="51" t="s">
        <v>3079</v>
      </c>
      <c r="D14" s="51" t="s">
        <v>1588</v>
      </c>
      <c r="E14" s="57">
        <f>E15+E18</f>
        <v>236799213.87</v>
      </c>
      <c r="F14" s="57" t="s">
        <v>14</v>
      </c>
      <c r="G14" s="57">
        <f>G15+G18</f>
        <v>112340631.42</v>
      </c>
      <c r="H14" s="57">
        <f>H15+H18</f>
        <v>96941285.219999999</v>
      </c>
      <c r="I14" s="57">
        <f>I15+I18</f>
        <v>-252198560.07000005</v>
      </c>
      <c r="J14" s="51" t="s">
        <v>14</v>
      </c>
      <c r="K14" s="36">
        <f>H14-G14</f>
        <v>-15399346.200000003</v>
      </c>
    </row>
    <row r="15" spans="3:12" x14ac:dyDescent="0.3">
      <c r="C15" s="1" t="s">
        <v>3082</v>
      </c>
      <c r="D15" s="1" t="s">
        <v>1591</v>
      </c>
      <c r="E15" s="122">
        <f>SUM(E16:E17)</f>
        <v>10358651.029999999</v>
      </c>
      <c r="F15" s="122" t="s">
        <v>14</v>
      </c>
      <c r="G15" s="59">
        <f>SUM(G16:G17)</f>
        <v>40876557.760000005</v>
      </c>
      <c r="H15" s="59">
        <f>SUM(H16:H17)</f>
        <v>50606755.109999999</v>
      </c>
      <c r="I15" s="59">
        <f>SUM(I16:I17)</f>
        <v>-628453.68000000715</v>
      </c>
      <c r="J15" s="1" t="str">
        <f>RIGHT(I15,1)</f>
        <v>7</v>
      </c>
      <c r="K15" s="36">
        <f>H15-G15</f>
        <v>9730197.349999994</v>
      </c>
      <c r="L15" s="20">
        <f>E14-I15</f>
        <v>237427667.55000001</v>
      </c>
    </row>
    <row r="16" spans="3:12" x14ac:dyDescent="0.3">
      <c r="C16" t="s">
        <v>3084</v>
      </c>
      <c r="D16" t="s">
        <v>1595</v>
      </c>
      <c r="E16" s="115">
        <v>0</v>
      </c>
      <c r="F16" s="115"/>
      <c r="G16" s="220">
        <f>1893151.67</f>
        <v>1893151.67</v>
      </c>
      <c r="H16" s="54">
        <v>1893151.67</v>
      </c>
      <c r="I16" s="221">
        <f>E16+G16-H16</f>
        <v>0</v>
      </c>
      <c r="J16" t="str">
        <f>RIGHT(I16,1)</f>
        <v>0</v>
      </c>
    </row>
    <row r="17" spans="3:12" x14ac:dyDescent="0.3">
      <c r="C17" t="s">
        <v>3086</v>
      </c>
      <c r="D17" t="s">
        <v>1598</v>
      </c>
      <c r="E17" s="222">
        <v>10358651.029999999</v>
      </c>
      <c r="F17" s="54" t="s">
        <v>14</v>
      </c>
      <c r="G17" s="218">
        <f>16214401.57+3239421.94+19529582.58</f>
        <v>38983406.090000004</v>
      </c>
      <c r="H17" s="223">
        <f>14801213.55+1925126.71+E17+18628612.15+3000000</f>
        <v>48713603.439999998</v>
      </c>
      <c r="I17" s="54">
        <f>-E17-G17+H17</f>
        <v>-628453.68000000715</v>
      </c>
      <c r="J17" t="s">
        <v>14</v>
      </c>
      <c r="K17" s="36">
        <f>H17-G17</f>
        <v>9730197.349999994</v>
      </c>
      <c r="L17" s="16"/>
    </row>
    <row r="18" spans="3:12" x14ac:dyDescent="0.3">
      <c r="C18" s="1" t="s">
        <v>3087</v>
      </c>
      <c r="D18" s="1" t="s">
        <v>1601</v>
      </c>
      <c r="E18" s="59">
        <f>SUM(E19:E20)</f>
        <v>226440562.84</v>
      </c>
      <c r="F18" s="59" t="s">
        <v>14</v>
      </c>
      <c r="G18" s="59">
        <f>SUM(G19:G20)</f>
        <v>71464073.659999996</v>
      </c>
      <c r="H18" s="59">
        <f>SUM(H19:H20)</f>
        <v>46334530.109999999</v>
      </c>
      <c r="I18" s="59">
        <f>SUM(I19:I20)</f>
        <v>-251570106.39000005</v>
      </c>
      <c r="J18" s="1" t="s">
        <v>14</v>
      </c>
      <c r="K18" s="36">
        <f>H18-G18</f>
        <v>-25129543.549999997</v>
      </c>
    </row>
    <row r="19" spans="3:12" x14ac:dyDescent="0.3">
      <c r="C19" t="s">
        <v>3090</v>
      </c>
      <c r="D19" t="s">
        <v>1604</v>
      </c>
      <c r="E19" s="54">
        <v>220157379.13</v>
      </c>
      <c r="F19" s="54" t="s">
        <v>14</v>
      </c>
      <c r="G19" s="222">
        <f>22812766.29+E17+18628612.15+3000000</f>
        <v>54800029.469999999</v>
      </c>
      <c r="H19" s="54">
        <f>18628612.15+19529582.58</f>
        <v>38158194.729999997</v>
      </c>
      <c r="I19" s="54">
        <f>-E19-G19+H19</f>
        <v>-236799213.87000003</v>
      </c>
      <c r="J19" t="s">
        <v>14</v>
      </c>
      <c r="K19" s="36">
        <f>H19-G19</f>
        <v>-16641834.740000002</v>
      </c>
    </row>
    <row r="20" spans="3:12" x14ac:dyDescent="0.3">
      <c r="C20" t="s">
        <v>3091</v>
      </c>
      <c r="D20" t="s">
        <v>1608</v>
      </c>
      <c r="E20" s="54">
        <v>6283183.71</v>
      </c>
      <c r="F20" s="54" t="s">
        <v>14</v>
      </c>
      <c r="G20" s="54">
        <v>16664044.189999999</v>
      </c>
      <c r="H20" s="221">
        <f>6283183.71+G16</f>
        <v>8176335.3799999999</v>
      </c>
      <c r="I20" s="54">
        <f>-E20-G20+H20</f>
        <v>-14770892.52</v>
      </c>
      <c r="J20" t="s">
        <v>14</v>
      </c>
      <c r="K20" s="36">
        <f>H20-G20</f>
        <v>-8487708.8099999987</v>
      </c>
    </row>
    <row r="21" spans="3:12" x14ac:dyDescent="0.3">
      <c r="C21" s="51" t="s">
        <v>3093</v>
      </c>
      <c r="D21" s="51" t="s">
        <v>1611</v>
      </c>
      <c r="E21" s="57">
        <f>E22</f>
        <v>16516253.32</v>
      </c>
      <c r="F21" s="57" t="s">
        <v>14</v>
      </c>
      <c r="G21" s="118">
        <v>0</v>
      </c>
      <c r="H21" s="118">
        <v>0</v>
      </c>
      <c r="I21" s="57">
        <f>I22</f>
        <v>-16516253.32</v>
      </c>
      <c r="J21" s="51" t="str">
        <f>RIGHT(I21,1)</f>
        <v>2</v>
      </c>
    </row>
    <row r="22" spans="3:12" x14ac:dyDescent="0.3">
      <c r="C22" s="1" t="s">
        <v>3094</v>
      </c>
      <c r="D22" s="1" t="s">
        <v>1614</v>
      </c>
      <c r="E22" s="59">
        <v>16516253.32</v>
      </c>
      <c r="F22" s="59" t="s">
        <v>14</v>
      </c>
      <c r="G22" s="122">
        <v>0</v>
      </c>
      <c r="H22" s="122">
        <v>0</v>
      </c>
      <c r="I22" s="59">
        <f>I23</f>
        <v>-16516253.32</v>
      </c>
      <c r="J22" s="1" t="str">
        <f>RIGHT(I22,1)</f>
        <v>2</v>
      </c>
    </row>
    <row r="23" spans="3:12" x14ac:dyDescent="0.3">
      <c r="C23" t="s">
        <v>3095</v>
      </c>
      <c r="D23" t="s">
        <v>1617</v>
      </c>
      <c r="E23" s="54">
        <v>16516253.32</v>
      </c>
      <c r="F23" s="54" t="s">
        <v>14</v>
      </c>
      <c r="G23" s="115">
        <v>0</v>
      </c>
      <c r="H23" s="115">
        <v>0</v>
      </c>
      <c r="I23" s="54">
        <f>-E23</f>
        <v>-16516253.32</v>
      </c>
      <c r="J23" t="str">
        <f>RIGHT(I23,1)</f>
        <v>2</v>
      </c>
    </row>
    <row r="26" spans="3:12" x14ac:dyDescent="0.3">
      <c r="C26" s="224"/>
      <c r="D26" s="225"/>
      <c r="E26" s="226"/>
      <c r="I26" s="20">
        <f>E20+E19+E17</f>
        <v>236799213.87</v>
      </c>
      <c r="K26" s="36">
        <f>I26+I19</f>
        <v>0</v>
      </c>
    </row>
    <row r="27" spans="3:12" x14ac:dyDescent="0.3">
      <c r="G27" s="36">
        <f>E12-I15</f>
        <v>15806189.940000007</v>
      </c>
    </row>
    <row r="28" spans="3:12" x14ac:dyDescent="0.3">
      <c r="D28" s="36"/>
      <c r="G28" s="20">
        <f>E10</f>
        <v>15177736.26</v>
      </c>
    </row>
    <row r="29" spans="3:12" x14ac:dyDescent="0.3">
      <c r="D29" s="36">
        <f>E12-BP!J41</f>
        <v>28643096.91</v>
      </c>
      <c r="G29" s="20">
        <f>G28-G27</f>
        <v>-628453.68000000715</v>
      </c>
    </row>
    <row r="30" spans="3:12" x14ac:dyDescent="0.3">
      <c r="D30" s="36">
        <f>'DFC 2022 AUDITORIA DESATUAL.'!U33</f>
        <v>26534665.100000001</v>
      </c>
    </row>
    <row r="31" spans="3:12" x14ac:dyDescent="0.3">
      <c r="D31" s="36">
        <f>D29-D30</f>
        <v>2108431.8099999987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9:P47"/>
  <sheetViews>
    <sheetView topLeftCell="A21" zoomScale="94" zoomScaleNormal="100" workbookViewId="0">
      <selection activeCell="H39" sqref="H39"/>
    </sheetView>
  </sheetViews>
  <sheetFormatPr defaultColWidth="9.109375" defaultRowHeight="14.4" x14ac:dyDescent="0.3"/>
  <cols>
    <col min="2" max="2" width="43.88671875" customWidth="1"/>
    <col min="3" max="3" width="15" customWidth="1"/>
    <col min="4" max="4" width="15.44140625" bestFit="1" customWidth="1"/>
    <col min="5" max="7" width="17.33203125" customWidth="1"/>
    <col min="8" max="8" width="36.33203125" bestFit="1" customWidth="1"/>
    <col min="9" max="9" width="14.33203125" bestFit="1" customWidth="1"/>
    <col min="13" max="13" width="14.44140625" style="36" bestFit="1" customWidth="1"/>
    <col min="14" max="14" width="15" bestFit="1" customWidth="1"/>
    <col min="15" max="15" width="18.109375" style="20" customWidth="1"/>
    <col min="16" max="16" width="19.5546875" style="20" customWidth="1"/>
  </cols>
  <sheetData>
    <row r="9" spans="2:2" customFormat="1" x14ac:dyDescent="0.3">
      <c r="B9" s="24" t="s">
        <v>2398</v>
      </c>
    </row>
    <row r="10" spans="2:2" customFormat="1" x14ac:dyDescent="0.3">
      <c r="B10" s="25" t="s">
        <v>2471</v>
      </c>
    </row>
    <row r="12" spans="2:2" customFormat="1" x14ac:dyDescent="0.3">
      <c r="B12" s="24" t="s">
        <v>2472</v>
      </c>
    </row>
    <row r="13" spans="2:2" customFormat="1" x14ac:dyDescent="0.3">
      <c r="B13" s="25" t="s">
        <v>2473</v>
      </c>
    </row>
    <row r="17" spans="2:16" ht="10.5" customHeight="1" thickBot="1" x14ac:dyDescent="0.35">
      <c r="M17"/>
    </row>
    <row r="18" spans="2:16" ht="26.25" customHeight="1" x14ac:dyDescent="0.3">
      <c r="B18" s="26" t="s">
        <v>2</v>
      </c>
      <c r="C18" s="27" t="s">
        <v>2443</v>
      </c>
      <c r="D18" s="27" t="s">
        <v>2059</v>
      </c>
      <c r="E18" s="717" t="s">
        <v>2474</v>
      </c>
      <c r="F18" s="28" t="s">
        <v>2475</v>
      </c>
      <c r="G18" s="29" t="s">
        <v>2476</v>
      </c>
      <c r="M18"/>
    </row>
    <row r="19" spans="2:16" ht="15" thickBot="1" x14ac:dyDescent="0.35">
      <c r="B19" s="30"/>
      <c r="C19" s="6"/>
      <c r="D19" s="6"/>
      <c r="E19" s="718"/>
      <c r="F19" s="31"/>
      <c r="G19" s="32"/>
      <c r="M19"/>
    </row>
    <row r="20" spans="2:16" ht="15" thickBot="1" x14ac:dyDescent="0.35">
      <c r="B20" s="95" t="s">
        <v>2477</v>
      </c>
      <c r="C20" s="96">
        <v>223483746.68000001</v>
      </c>
      <c r="D20" s="96">
        <v>28897862.43</v>
      </c>
      <c r="E20" s="33">
        <v>-249084478.56</v>
      </c>
      <c r="F20" s="34">
        <v>0</v>
      </c>
      <c r="G20" s="35">
        <f>C20+D20+E20+F20</f>
        <v>3297130.5500000119</v>
      </c>
      <c r="M20"/>
    </row>
    <row r="21" spans="2:16" x14ac:dyDescent="0.3">
      <c r="B21" s="97"/>
      <c r="C21" s="98"/>
      <c r="D21" s="98"/>
      <c r="E21" s="13"/>
      <c r="F21" s="13"/>
      <c r="G21" s="98"/>
    </row>
    <row r="22" spans="2:16" x14ac:dyDescent="0.3">
      <c r="B22" s="99" t="s">
        <v>2478</v>
      </c>
      <c r="C22" s="100"/>
      <c r="D22" s="101"/>
      <c r="E22" s="4">
        <v>-6283183.71</v>
      </c>
      <c r="F22" s="4"/>
      <c r="G22" s="4">
        <f t="shared" ref="G22:G27" si="0">C22+D22+E22+F22</f>
        <v>-6283183.71</v>
      </c>
    </row>
    <row r="23" spans="2:16" x14ac:dyDescent="0.3">
      <c r="B23" s="99" t="s">
        <v>2479</v>
      </c>
      <c r="C23" s="98"/>
      <c r="D23" s="98"/>
      <c r="E23" s="4">
        <v>10358651.029999999</v>
      </c>
      <c r="F23" s="4"/>
      <c r="G23" s="4">
        <f t="shared" si="0"/>
        <v>10358651.029999999</v>
      </c>
    </row>
    <row r="24" spans="2:16" x14ac:dyDescent="0.3">
      <c r="B24" s="99" t="s">
        <v>2480</v>
      </c>
      <c r="C24" s="99"/>
      <c r="D24" s="102">
        <v>-13720126.17</v>
      </c>
      <c r="E24" s="102">
        <v>8209797.3700000001</v>
      </c>
      <c r="F24" s="98"/>
      <c r="G24" s="4">
        <f t="shared" si="0"/>
        <v>-5510328.7999999998</v>
      </c>
      <c r="L24" t="s">
        <v>2481</v>
      </c>
      <c r="M24" s="23">
        <v>240000000</v>
      </c>
      <c r="O24" s="20">
        <v>240000000</v>
      </c>
    </row>
    <row r="25" spans="2:16" x14ac:dyDescent="0.3">
      <c r="B25" s="99" t="s">
        <v>2482</v>
      </c>
      <c r="C25" s="101"/>
      <c r="D25" s="101"/>
      <c r="E25" s="101"/>
      <c r="F25" s="101"/>
      <c r="G25" s="103">
        <f t="shared" si="0"/>
        <v>0</v>
      </c>
      <c r="L25" s="25" t="s">
        <v>2483</v>
      </c>
      <c r="M25" s="23">
        <v>14103061.08</v>
      </c>
      <c r="O25" s="20">
        <v>14132298.08</v>
      </c>
    </row>
    <row r="26" spans="2:16" x14ac:dyDescent="0.3">
      <c r="B26" s="99" t="s">
        <v>2484</v>
      </c>
      <c r="C26" s="104"/>
      <c r="D26" s="104"/>
      <c r="E26" s="104"/>
      <c r="F26" s="104"/>
      <c r="G26" s="103">
        <f t="shared" si="0"/>
        <v>0</v>
      </c>
      <c r="L26" s="25" t="s">
        <v>2485</v>
      </c>
      <c r="M26" s="23">
        <v>-221188499.88</v>
      </c>
      <c r="O26" s="20">
        <v>231571149.93000001</v>
      </c>
    </row>
    <row r="27" spans="2:16" x14ac:dyDescent="0.3">
      <c r="B27" s="99" t="s">
        <v>2486</v>
      </c>
      <c r="C27" s="105"/>
      <c r="D27" s="13"/>
      <c r="E27" s="101"/>
      <c r="F27" s="101"/>
      <c r="G27" s="103">
        <f t="shared" si="0"/>
        <v>0</v>
      </c>
      <c r="L27" s="25" t="s">
        <v>2487</v>
      </c>
      <c r="M27" s="23">
        <v>-16516253.32</v>
      </c>
      <c r="N27" s="20">
        <f>M24+M27</f>
        <v>223483746.68000001</v>
      </c>
      <c r="O27" s="20">
        <v>-16516253.32</v>
      </c>
      <c r="P27" s="20">
        <f>SUM(O24+O27)</f>
        <v>223483746.68000001</v>
      </c>
    </row>
    <row r="28" spans="2:16" ht="15" thickBot="1" x14ac:dyDescent="0.35">
      <c r="B28" s="99"/>
      <c r="C28" s="105"/>
      <c r="D28" s="13"/>
      <c r="E28" s="101"/>
      <c r="F28" s="101"/>
      <c r="G28" s="106"/>
      <c r="L28" s="25" t="s">
        <v>2488</v>
      </c>
      <c r="M28" s="23">
        <v>-2718527.28</v>
      </c>
      <c r="N28" s="20">
        <f>M26+M28</f>
        <v>-223907027.16</v>
      </c>
      <c r="O28" s="20">
        <v>-2718527.28</v>
      </c>
      <c r="P28" s="20">
        <f>-SUM(O26+O28)</f>
        <v>-228852622.65000001</v>
      </c>
    </row>
    <row r="29" spans="2:16" ht="15" thickBot="1" x14ac:dyDescent="0.35">
      <c r="B29" s="107" t="s">
        <v>2489</v>
      </c>
      <c r="C29" s="96">
        <v>223483746.68000001</v>
      </c>
      <c r="D29" s="96">
        <f>SUM(D20)+(D24)</f>
        <v>15177736.26</v>
      </c>
      <c r="E29" s="33">
        <f>SUM(E20:E27)</f>
        <v>-236799213.87</v>
      </c>
      <c r="F29" s="33">
        <v>0</v>
      </c>
      <c r="G29" s="35">
        <f>SUM(G20:G27)</f>
        <v>1862269.0700000115</v>
      </c>
      <c r="M29" s="23"/>
      <c r="N29" s="16">
        <f>N28-E29</f>
        <v>12892186.710000008</v>
      </c>
      <c r="P29" s="20">
        <f>SUM(P28-E29)</f>
        <v>7946591.2199999988</v>
      </c>
    </row>
    <row r="30" spans="2:16" x14ac:dyDescent="0.3">
      <c r="B30" s="97"/>
      <c r="C30" s="98"/>
      <c r="D30" s="98"/>
      <c r="E30" s="13"/>
      <c r="F30" s="13"/>
      <c r="G30" s="98"/>
      <c r="M30" s="23"/>
      <c r="N30" s="20">
        <f>N29-D29</f>
        <v>-2285549.5499999914</v>
      </c>
      <c r="P30" s="20">
        <f>SUM(P29-D29)</f>
        <v>-7231145.040000001</v>
      </c>
    </row>
    <row r="31" spans="2:16" x14ac:dyDescent="0.3">
      <c r="B31" s="99" t="s">
        <v>2478</v>
      </c>
      <c r="C31" s="108"/>
      <c r="D31" s="101"/>
      <c r="E31" s="4">
        <f>'Balancete 2022 DMPL (Zerado)'!$N$470</f>
        <v>-14085050.969999999</v>
      </c>
      <c r="F31" s="4"/>
      <c r="G31" s="4">
        <f t="shared" ref="G31:G36" si="1">C31+D31+E31+F31</f>
        <v>-14085050.969999999</v>
      </c>
      <c r="M31" s="23"/>
      <c r="N31" s="20">
        <v>14794801.35</v>
      </c>
      <c r="P31" s="20">
        <v>14765564.35</v>
      </c>
    </row>
    <row r="32" spans="2:16" x14ac:dyDescent="0.3">
      <c r="B32" s="99" t="s">
        <v>2479</v>
      </c>
      <c r="C32" s="101"/>
      <c r="D32" s="101"/>
      <c r="E32" s="74"/>
      <c r="F32" s="4"/>
      <c r="G32" s="4">
        <f t="shared" si="1"/>
        <v>0</v>
      </c>
      <c r="M32" s="23"/>
      <c r="N32" s="20">
        <f>SUM(N30:N31)</f>
        <v>12509251.800000008</v>
      </c>
    </row>
    <row r="33" spans="1:13" customFormat="1" x14ac:dyDescent="0.3">
      <c r="B33" s="99" t="s">
        <v>2480</v>
      </c>
      <c r="C33" s="99"/>
      <c r="D33" s="74">
        <f>'Balancete 2022 DMPL (Zerado)'!$N$466</f>
        <v>-16492031.490000002</v>
      </c>
      <c r="E33" s="4"/>
      <c r="F33" s="4"/>
      <c r="G33" s="4">
        <f t="shared" si="1"/>
        <v>-16492031.490000002</v>
      </c>
      <c r="M33" s="23"/>
    </row>
    <row r="34" spans="1:13" customFormat="1" x14ac:dyDescent="0.3">
      <c r="B34" s="99" t="s">
        <v>2482</v>
      </c>
      <c r="C34" s="100"/>
      <c r="D34" s="109"/>
      <c r="E34" s="98"/>
      <c r="F34" s="98"/>
      <c r="G34" s="4">
        <f t="shared" si="1"/>
        <v>0</v>
      </c>
      <c r="M34" s="23"/>
    </row>
    <row r="35" spans="1:13" customFormat="1" x14ac:dyDescent="0.3">
      <c r="B35" s="99" t="s">
        <v>2490</v>
      </c>
      <c r="C35" s="104"/>
      <c r="D35" s="109"/>
      <c r="E35" s="98"/>
      <c r="F35" s="98"/>
      <c r="G35" s="4">
        <f t="shared" si="1"/>
        <v>0</v>
      </c>
      <c r="M35" s="23">
        <f>SUM(M24:M34)</f>
        <v>13679780.600000018</v>
      </c>
    </row>
    <row r="36" spans="1:13" customFormat="1" x14ac:dyDescent="0.3">
      <c r="B36" s="110" t="s">
        <v>2491</v>
      </c>
      <c r="C36" s="105"/>
      <c r="D36" s="109"/>
      <c r="E36" s="98"/>
      <c r="F36" s="98"/>
      <c r="G36" s="4">
        <f t="shared" si="1"/>
        <v>0</v>
      </c>
      <c r="M36" s="36">
        <f>M35-G29</f>
        <v>11817511.530000007</v>
      </c>
    </row>
    <row r="37" spans="1:13" customFormat="1" ht="15" thickBot="1" x14ac:dyDescent="0.35">
      <c r="B37" s="99"/>
      <c r="C37" s="100"/>
      <c r="D37" s="109"/>
      <c r="E37" s="98"/>
      <c r="F37" s="98"/>
      <c r="G37" s="98"/>
    </row>
    <row r="38" spans="1:13" customFormat="1" ht="15" thickBot="1" x14ac:dyDescent="0.35">
      <c r="B38" s="95" t="s">
        <v>2492</v>
      </c>
      <c r="C38" s="96">
        <f>C29+C31+C32+C33+C34+C35+C36</f>
        <v>223483746.68000001</v>
      </c>
      <c r="D38" s="96">
        <f>D29+D31+D32+D33+D34+D35+D36</f>
        <v>-1314295.2300000023</v>
      </c>
      <c r="E38" s="90">
        <f>E29+E31+E32+E33+E34+E35+E36</f>
        <v>-250884264.84</v>
      </c>
      <c r="F38" s="33">
        <f>F29+F31+F32+F33+F34+F35+F36</f>
        <v>0</v>
      </c>
      <c r="G38" s="91">
        <f>G29+G31+G32+G33+G34+G35+G36</f>
        <v>-28714813.389999989</v>
      </c>
    </row>
    <row r="40" spans="1:13" x14ac:dyDescent="0.3">
      <c r="G40" s="111">
        <f>'Balancete 2022 DMPL (Zerado)'!$L$460</f>
        <v>-28714813.390000001</v>
      </c>
      <c r="H40" s="112" t="s">
        <v>1544</v>
      </c>
    </row>
    <row r="41" spans="1:13" customFormat="1" x14ac:dyDescent="0.3">
      <c r="A41" s="2"/>
      <c r="B41" s="2"/>
      <c r="C41" s="2"/>
      <c r="D41" s="2"/>
      <c r="E41" s="2"/>
      <c r="F41" s="2"/>
      <c r="G41" s="2"/>
      <c r="H41" s="60"/>
      <c r="I41" s="2"/>
      <c r="J41" s="2"/>
    </row>
    <row r="42" spans="1:13" customFormat="1" x14ac:dyDescent="0.3">
      <c r="A42" s="2"/>
      <c r="B42" s="2"/>
      <c r="C42" s="2"/>
      <c r="D42" s="2"/>
      <c r="E42" s="2"/>
      <c r="F42" s="2"/>
      <c r="G42" s="111">
        <f>G38-G40</f>
        <v>0</v>
      </c>
      <c r="H42" s="112" t="s">
        <v>2453</v>
      </c>
      <c r="I42" s="2"/>
      <c r="J42" s="2"/>
    </row>
    <row r="43" spans="1:13" customFormat="1" x14ac:dyDescent="0.3">
      <c r="A43" s="2" t="s">
        <v>2493</v>
      </c>
      <c r="B43" s="2"/>
      <c r="C43" s="2"/>
      <c r="D43" s="2"/>
      <c r="E43" s="2"/>
      <c r="F43" s="2"/>
      <c r="G43" s="2"/>
      <c r="H43" s="2"/>
      <c r="I43" s="2"/>
      <c r="J43" s="2"/>
    </row>
    <row r="45" spans="1:13" x14ac:dyDescent="0.3">
      <c r="G45" s="16">
        <f>G40-G29</f>
        <v>-30577082.460000012</v>
      </c>
      <c r="H45" t="s">
        <v>2494</v>
      </c>
    </row>
    <row r="46" spans="1:13" x14ac:dyDescent="0.3">
      <c r="G46" s="16"/>
    </row>
    <row r="47" spans="1:13" x14ac:dyDescent="0.3">
      <c r="G47" s="16"/>
    </row>
  </sheetData>
  <mergeCells count="1">
    <mergeCell ref="E18:E19"/>
  </mergeCells>
  <pageMargins left="0.511811024" right="0.511811024" top="0.78740157499999996" bottom="0.78740157499999996" header="0.31496062000000002" footer="0.31496062000000002"/>
  <pageSetup paperSize="9" scale="67" orientation="portrait" r:id="rId1"/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25</vt:i4>
      </vt:variant>
    </vt:vector>
  </HeadingPairs>
  <TitlesOfParts>
    <vt:vector size="25" baseType="lpstr">
      <vt:lpstr>BALANCETE 2021</vt:lpstr>
      <vt:lpstr>BALANCETE 2022</vt:lpstr>
      <vt:lpstr>Balancete 2022 DMPL (Zerado)</vt:lpstr>
      <vt:lpstr>QUADROS QUE FALTARAM</vt:lpstr>
      <vt:lpstr>BP</vt:lpstr>
      <vt:lpstr>DRE</vt:lpstr>
      <vt:lpstr>DMPL</vt:lpstr>
      <vt:lpstr>DFC</vt:lpstr>
      <vt:lpstr>BALANCETE 2023</vt:lpstr>
      <vt:lpstr>BALANCETE 2024</vt:lpstr>
      <vt:lpstr>Planilha3</vt:lpstr>
      <vt:lpstr>Representado 2023</vt:lpstr>
      <vt:lpstr>Planilha1</vt:lpstr>
      <vt:lpstr>BP 2023_2024</vt:lpstr>
      <vt:lpstr>Planilha4</vt:lpstr>
      <vt:lpstr>DRE 2023_2024</vt:lpstr>
      <vt:lpstr>DRA 2023_2024</vt:lpstr>
      <vt:lpstr>DMPL 2023_2024</vt:lpstr>
      <vt:lpstr>DFC 2023_2024</vt:lpstr>
      <vt:lpstr>Planilha6</vt:lpstr>
      <vt:lpstr>Planilha5</vt:lpstr>
      <vt:lpstr>DFC 2022 AUDITORIA DESATUAL.</vt:lpstr>
      <vt:lpstr>Planilha2</vt:lpstr>
      <vt:lpstr>PL com Ajustes</vt:lpstr>
      <vt:lpstr>DMPL 2022 vs antiga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Kid Freire</dc:creator>
  <cp:keywords/>
  <dc:description/>
  <cp:lastModifiedBy>Leonardo Castro</cp:lastModifiedBy>
  <cp:revision/>
  <dcterms:created xsi:type="dcterms:W3CDTF">2023-02-06T12:31:39Z</dcterms:created>
  <dcterms:modified xsi:type="dcterms:W3CDTF">2025-04-11T22:24:00Z</dcterms:modified>
  <cp:category/>
  <cp:contentStatus/>
</cp:coreProperties>
</file>