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60" tabRatio="760" activeTab="0"/>
  </bookViews>
  <sheets>
    <sheet name="Despesas 19" sheetId="15" r:id="rId1"/>
  </sheets>
  <definedNames>
    <definedName name="_xlnm.Print_Area" localSheetId="0">'Despesas 19'!$B$1:$Q$36</definedName>
    <definedName name="_xlnm.Print_Titles" localSheetId="0">'Despesas 19'!$B:$C,'Despesas 19'!$1:$4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<sst xmlns="http://schemas.openxmlformats.org/spreadsheetml/2006/main" count="68" uniqueCount="38">
  <si>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DESPESA COM PESSOAL</t>
  </si>
  <si>
    <t>GPS (FOLHA OUT/19)</t>
  </si>
  <si>
    <t>IRPF (FOLHA OUT/19)</t>
  </si>
  <si>
    <t>13º SALÁRIO</t>
  </si>
  <si>
    <t>FÉRIAS</t>
  </si>
  <si>
    <t>RESCISÃO</t>
  </si>
  <si>
    <t>ASSESSORIA CONTÁBIL</t>
  </si>
  <si>
    <t>PARCELAMENTO FISCAL</t>
  </si>
  <si>
    <t>ALUGUEL DE VEÍCULOS</t>
  </si>
  <si>
    <t>DESPESAS COM COMBUSTÍVEL</t>
  </si>
  <si>
    <t>ESCRITURAÇÃO DE ÁREAS</t>
  </si>
  <si>
    <t>DESPESAS COM PUBLICAÇÕES OFICIAIS</t>
  </si>
  <si>
    <t>DESPESAS DE CARTÓRIO</t>
  </si>
  <si>
    <t>RECOLHIMENTO DE TAXAS</t>
  </si>
  <si>
    <t>DESPESAS COM EXPEDIÇÃO DE DOCUMENTOS</t>
  </si>
  <si>
    <t>TELEFONE</t>
  </si>
  <si>
    <t>MANUTENÇÃO DE EQUIPAMENTOS</t>
  </si>
  <si>
    <t>AQUISIÇÃO DE EQUIPAMENTOS</t>
  </si>
  <si>
    <t>AQUISIÇÃO DE MÓVEIS E UTENSÍLIOS</t>
  </si>
  <si>
    <t>MATERIAIS DE ESCRITÓRIO</t>
  </si>
  <si>
    <t>TARIFAS BANCÁRIAS</t>
  </si>
  <si>
    <t>ISS RETIDO</t>
  </si>
  <si>
    <t>(-)</t>
  </si>
  <si>
    <t>ASSESSORIA JURÍDICA</t>
  </si>
  <si>
    <t>MANUTENÇÃO DE SITE</t>
  </si>
  <si>
    <t>TOTAL DESPESAS</t>
  </si>
  <si>
    <t>JUROS BANCÁRIOS</t>
  </si>
  <si>
    <t>ASSESSORIA SITE E DUVULGAÇÕES</t>
  </si>
  <si>
    <t>CURSOS</t>
  </si>
  <si>
    <t>DESPESAS DE VIAGENS/ESTADIAS/ALIMENTAÇÃO</t>
  </si>
  <si>
    <t>AUDITORIA INDEPENDENTE</t>
  </si>
  <si>
    <t>VEICULAÇÃO JORNAL</t>
  </si>
  <si>
    <t>ASSINATURA JORNAL</t>
  </si>
  <si>
    <t>Companhia de Investimentos e Parcerias do Estado de Goiás</t>
  </si>
  <si>
    <t>Despesas - Ano de 2019</t>
  </si>
  <si>
    <t>DESPESAS</t>
  </si>
  <si>
    <t>TOTAL ANO 2019</t>
  </si>
  <si>
    <t>MÉDIA 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</si>
</sst>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medium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medium"/>
      <right/>
      <top style="thin">
        <color theme="0" tint="-0.149959996342659"/>
      </top>
      <bottom style="thin">
        <color theme="0" tint="-0.149959996342659"/>
      </bottom>
    </border>
    <border>
      <left style="medium"/>
      <right/>
      <top style="thin">
        <color theme="0" tint="-0.149959996342659"/>
      </top>
      <bottom/>
    </border>
    <border>
      <left style="medium">
        <color theme="1"/>
      </left>
      <right style="medium">
        <color theme="1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1"/>
      </left>
      <right style="medium">
        <color theme="1"/>
      </right>
      <top style="thin">
        <color theme="0" tint="-0.149959996342659"/>
      </top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medium"/>
      <right style="medium"/>
      <top style="medium"/>
      <bottom style="thin">
        <color theme="0" tint="-0.149959996342659"/>
      </bottom>
    </border>
    <border>
      <left style="thin">
        <color theme="0" tint="-0.149959996342659"/>
      </left>
      <right style="medium"/>
      <top style="medium"/>
      <bottom/>
    </border>
    <border>
      <left style="thin">
        <color theme="0" tint="-0.149959996342659"/>
      </left>
      <right style="thin">
        <color theme="0" tint="-0.149959996342659"/>
      </right>
      <top style="medium"/>
      <bottom style="medium"/>
    </border>
    <border>
      <left style="thin">
        <color theme="0" tint="-0.149959996342659"/>
      </left>
      <right/>
      <top style="medium"/>
      <bottom style="medium"/>
    </border>
    <border>
      <left style="medium"/>
      <right/>
      <top style="medium"/>
      <bottom style="medium"/>
    </border>
    <border>
      <left style="medium">
        <color theme="1"/>
      </left>
      <right style="medium">
        <color theme="1"/>
      </right>
      <top style="medium"/>
      <bottom style="medium"/>
    </border>
    <border>
      <left style="medium"/>
      <right style="thin">
        <color theme="0" tint="-0.149959996342659"/>
      </right>
      <top style="medium"/>
      <bottom style="thin">
        <color theme="0" tint="-0.149959996342659"/>
      </bottom>
    </border>
    <border>
      <left style="medium"/>
      <right style="thin">
        <color theme="0" tint="-0.149959996342659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20" applyFont="1"/>
    <xf numFmtId="4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/>
    <xf numFmtId="44" fontId="0" fillId="0" borderId="2" xfId="20" applyFont="1" applyBorder="1"/>
    <xf numFmtId="44" fontId="0" fillId="2" borderId="2" xfId="20" applyFont="1" applyFill="1" applyBorder="1"/>
    <xf numFmtId="0" fontId="0" fillId="0" borderId="3" xfId="0" applyBorder="1" applyAlignment="1">
      <alignment horizontal="center"/>
    </xf>
    <xf numFmtId="0" fontId="0" fillId="0" borderId="4" xfId="0" applyBorder="1"/>
    <xf numFmtId="44" fontId="0" fillId="0" borderId="4" xfId="20" applyFont="1" applyBorder="1"/>
    <xf numFmtId="44" fontId="0" fillId="2" borderId="4" xfId="20" applyFont="1" applyFill="1" applyBorder="1"/>
    <xf numFmtId="44" fontId="4" fillId="0" borderId="4" xfId="2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44" fontId="0" fillId="0" borderId="6" xfId="20" applyFont="1" applyBorder="1"/>
    <xf numFmtId="44" fontId="0" fillId="2" borderId="6" xfId="20" applyFont="1" applyFill="1" applyBorder="1"/>
    <xf numFmtId="44" fontId="3" fillId="3" borderId="7" xfId="0" applyNumberFormat="1" applyFont="1" applyFill="1" applyBorder="1"/>
    <xf numFmtId="44" fontId="3" fillId="3" borderId="8" xfId="0" applyNumberFormat="1" applyFont="1" applyFill="1" applyBorder="1"/>
    <xf numFmtId="44" fontId="3" fillId="3" borderId="9" xfId="0" applyNumberFormat="1" applyFont="1" applyFill="1" applyBorder="1"/>
    <xf numFmtId="44" fontId="3" fillId="3" borderId="10" xfId="0" applyNumberFormat="1" applyFont="1" applyFill="1" applyBorder="1"/>
    <xf numFmtId="44" fontId="0" fillId="2" borderId="11" xfId="20" applyFont="1" applyFill="1" applyBorder="1"/>
    <xf numFmtId="44" fontId="0" fillId="2" borderId="12" xfId="20" applyFont="1" applyFill="1" applyBorder="1"/>
    <xf numFmtId="44" fontId="0" fillId="2" borderId="13" xfId="20" applyFont="1" applyFill="1" applyBorder="1"/>
    <xf numFmtId="0" fontId="5" fillId="0" borderId="0" xfId="0" applyFont="1"/>
    <xf numFmtId="17" fontId="2" fillId="4" borderId="14" xfId="0" applyNumberFormat="1" applyFont="1" applyFill="1" applyBorder="1" applyAlignment="1">
      <alignment horizontal="center" vertical="center"/>
    </xf>
    <xf numFmtId="17" fontId="2" fillId="4" borderId="15" xfId="0" applyNumberFormat="1" applyFont="1" applyFill="1" applyBorder="1" applyAlignment="1">
      <alignment horizontal="center" vertical="center" wrapText="1"/>
    </xf>
    <xf numFmtId="17" fontId="2" fillId="4" borderId="16" xfId="0" applyNumberFormat="1" applyFont="1" applyFill="1" applyBorder="1" applyAlignment="1">
      <alignment horizontal="center" vertical="center" wrapText="1"/>
    </xf>
    <xf numFmtId="44" fontId="3" fillId="5" borderId="17" xfId="0" applyNumberFormat="1" applyFont="1" applyFill="1" applyBorder="1"/>
    <xf numFmtId="44" fontId="3" fillId="5" borderId="18" xfId="0" applyNumberFormat="1" applyFont="1" applyFill="1" applyBorder="1"/>
    <xf numFmtId="44" fontId="3" fillId="5" borderId="19" xfId="0" applyNumberFormat="1" applyFont="1" applyFill="1" applyBorder="1"/>
    <xf numFmtId="44" fontId="3" fillId="5" borderId="20" xfId="0" applyNumberFormat="1" applyFont="1" applyFill="1" applyBorder="1"/>
    <xf numFmtId="0" fontId="6" fillId="0" borderId="0" xfId="0" applyFont="1"/>
    <xf numFmtId="0" fontId="2" fillId="4" borderId="2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10" fontId="0" fillId="0" borderId="0" xfId="22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Moeda 2" xfId="21"/>
    <cellStyle name="Porcentagem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838200</xdr:colOff>
      <xdr:row>0</xdr:row>
      <xdr:rowOff>0</xdr:rowOff>
    </xdr:from>
    <xdr:to>
      <xdr:col>16</xdr:col>
      <xdr:colOff>1019175</xdr:colOff>
      <xdr:row>2</xdr:row>
      <xdr:rowOff>28575</xdr:rowOff>
    </xdr:to>
    <xdr:grpSp>
      <xdr:nvGrpSpPr>
        <xdr:cNvPr id="3" name="Agrupar 2"/>
        <xdr:cNvGrpSpPr/>
      </xdr:nvGrpSpPr>
      <xdr:grpSpPr>
        <a:xfrm>
          <a:off x="15249525" y="0"/>
          <a:ext cx="2219325" cy="552450"/>
          <a:chOff x="8887013" y="901700"/>
          <a:chExt cx="2328768" cy="565150"/>
        </a:xfrm>
      </xdr:grpSpPr>
      <xdr:pic>
        <xdr:nvPicPr>
          <xdr:cNvPr id="4" name="Imagem 3"/>
          <xdr:cNvPicPr preferRelativeResize="1">
            <a:picLocks noChangeAspect="1"/>
          </xdr:cNvPicPr>
        </xdr:nvPicPr>
        <xdr:blipFill>
          <a:blip r:embed="rId1">
            <a:extLst>
              <a:ext uri="{BEBA8EAE-BF5A-486C-A8C5-ECC9F3942E4B}">
                <a14:imgProps xmlns:a14="http://schemas.microsoft.com/office/drawing/2010/main">
                  <a14:imgLayer xmlns:r="http://schemas.openxmlformats.org/officeDocument/2006/relationships" r:embed="rId2"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t="24449" b="24850"/>
          <a:stretch>
            <a:fillRect/>
          </a:stretch>
        </xdr:blipFill>
        <xdr:spPr>
          <a:xfrm>
            <a:off x="9448828" y="927132"/>
            <a:ext cx="1766953" cy="503973"/>
          </a:xfrm>
          <a:prstGeom prst="rect">
            <a:avLst/>
          </a:prstGeom>
          <a:ln>
            <a:noFill/>
          </a:ln>
        </xdr:spPr>
      </xdr:pic>
      <xdr:pic>
        <xdr:nvPicPr>
          <xdr:cNvPr id="5" name="Imagem 4" descr="Resultado de imagem para logo governo de goiás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887013" y="901700"/>
            <a:ext cx="564144" cy="565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showGridLines="0" tabSelected="1" workbookViewId="0" topLeftCell="A1">
      <pane xSplit="3" ySplit="4" topLeftCell="D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9.140625" defaultRowHeight="15"/>
  <cols>
    <col min="1" max="1" width="1.28515625" style="0" customWidth="1"/>
    <col min="2" max="2" width="3.7109375" style="0" customWidth="1"/>
    <col min="3" max="3" width="45.421875" style="0" bestFit="1" customWidth="1"/>
    <col min="4" max="10" width="15.28125" style="0" bestFit="1" customWidth="1"/>
    <col min="11" max="11" width="15.8515625" style="0" bestFit="1" customWidth="1"/>
    <col min="12" max="14" width="14.28125" style="0" bestFit="1" customWidth="1"/>
    <col min="15" max="15" width="15.140625" style="0" customWidth="1"/>
    <col min="16" max="16" width="15.421875" style="0" bestFit="1" customWidth="1"/>
    <col min="17" max="17" width="15.28125" style="0" customWidth="1"/>
  </cols>
  <sheetData>
    <row r="1" ht="23.5">
      <c r="B1" s="23" t="s">
        <v>33</v>
      </c>
    </row>
    <row r="2" spans="2:15" ht="18.5">
      <c r="B2" s="31" t="s">
        <v>34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7.5" customHeight="1" thickBot="1"/>
    <row r="4" spans="2:17" ht="28.5" customHeight="1">
      <c r="B4" s="32" t="s">
        <v>35</v>
      </c>
      <c r="C4" s="33"/>
      <c r="D4" s="24">
        <v>43466</v>
      </c>
      <c r="E4" s="24">
        <v>43497</v>
      </c>
      <c r="F4" s="24">
        <v>43525</v>
      </c>
      <c r="G4" s="24">
        <v>43556</v>
      </c>
      <c r="H4" s="24">
        <v>43586</v>
      </c>
      <c r="I4" s="24">
        <v>43617</v>
      </c>
      <c r="J4" s="24">
        <v>43647</v>
      </c>
      <c r="K4" s="24">
        <v>43678</v>
      </c>
      <c r="L4" s="24">
        <v>43709</v>
      </c>
      <c r="M4" s="24">
        <v>43739</v>
      </c>
      <c r="N4" s="24">
        <v>43770</v>
      </c>
      <c r="O4" s="24">
        <v>43800</v>
      </c>
      <c r="P4" s="25" t="s">
        <v>36</v>
      </c>
      <c r="Q4" s="26" t="s">
        <v>37</v>
      </c>
    </row>
    <row r="5" spans="2:17" ht="15">
      <c r="B5" s="12" t="s">
        <v>22</v>
      </c>
      <c r="C5" s="13" t="s">
        <v>0</v>
      </c>
      <c r="D5" s="15">
        <v>149102.92</v>
      </c>
      <c r="E5" s="15">
        <f>91182.49</f>
        <v>91182.49</v>
      </c>
      <c r="F5" s="15">
        <v>108379.98</v>
      </c>
      <c r="G5" s="15">
        <v>184922.3</v>
      </c>
      <c r="H5" s="14">
        <f>162861.96+11753.67+10303.67</f>
        <v>184919.30000000002</v>
      </c>
      <c r="I5" s="14">
        <f>193825.95+14653.67</f>
        <v>208479.62000000002</v>
      </c>
      <c r="J5" s="15">
        <v>199924.36</v>
      </c>
      <c r="K5" s="15">
        <f>224328.18-1700</f>
        <v>222628.18</v>
      </c>
      <c r="L5" s="15">
        <f>223558.02+2610</f>
        <v>226168.02</v>
      </c>
      <c r="M5" s="15">
        <v>182772.72</v>
      </c>
      <c r="N5" s="14">
        <v>109195.52</v>
      </c>
      <c r="O5" s="20">
        <v>155904</v>
      </c>
      <c r="P5" s="16">
        <f>SUM(D5:O5)</f>
        <v>2023579.41</v>
      </c>
      <c r="Q5" s="18">
        <f>P5/12</f>
        <v>168631.6175</v>
      </c>
    </row>
    <row r="6" spans="2:17" ht="15">
      <c r="B6" s="3" t="s">
        <v>22</v>
      </c>
      <c r="C6" s="4" t="s">
        <v>1</v>
      </c>
      <c r="D6" s="6">
        <v>55651.76</v>
      </c>
      <c r="E6" s="6">
        <v>31650.33</v>
      </c>
      <c r="F6" s="6">
        <v>36445.57</v>
      </c>
      <c r="G6" s="6">
        <v>62118.46</v>
      </c>
      <c r="H6" s="5">
        <f>60022.39+11.8</f>
        <v>60034.19</v>
      </c>
      <c r="I6" s="5">
        <v>55362.96</v>
      </c>
      <c r="J6" s="5">
        <v>58529.12</v>
      </c>
      <c r="K6" s="6">
        <v>56514.55</v>
      </c>
      <c r="L6" s="6">
        <f>57411.65</f>
        <v>57411.65</v>
      </c>
      <c r="M6" s="6">
        <v>46904.95</v>
      </c>
      <c r="N6" s="5">
        <v>32495.93</v>
      </c>
      <c r="O6" s="21">
        <v>38037.3</v>
      </c>
      <c r="P6" s="16">
        <f aca="true" t="shared" si="0" ref="P6:P35">SUM(D6:O6)</f>
        <v>591156.7700000001</v>
      </c>
      <c r="Q6" s="18">
        <f aca="true" t="shared" si="1" ref="Q6:Q35">P6/12</f>
        <v>49263.06416666668</v>
      </c>
    </row>
    <row r="7" spans="2:17" ht="15">
      <c r="B7" s="3" t="s">
        <v>22</v>
      </c>
      <c r="C7" s="4" t="s">
        <v>2</v>
      </c>
      <c r="D7" s="6">
        <f>39481.82+9582.71+24.96+77.39</f>
        <v>49166.88</v>
      </c>
      <c r="E7" s="6">
        <f>27193.54+7039.02+24.96+77.39</f>
        <v>34334.909999999996</v>
      </c>
      <c r="F7" s="6">
        <f>20390.45+2751.86</f>
        <v>23142.31</v>
      </c>
      <c r="G7" s="6">
        <f>21+30020.91+15428.11</f>
        <v>45470.020000000004</v>
      </c>
      <c r="H7" s="5">
        <f>19114.29+2751.86+24.96+77.39+171.13</f>
        <v>22139.63</v>
      </c>
      <c r="I7" s="5">
        <f>26196.3+11435.14+77.39+24.96</f>
        <v>37733.79</v>
      </c>
      <c r="J7" s="5">
        <f>26649.32+12128.45</f>
        <v>38777.770000000004</v>
      </c>
      <c r="K7" s="6">
        <f>31393.07+13386.41</f>
        <v>44779.479999999996</v>
      </c>
      <c r="L7" s="6">
        <f>11554.9+28109</f>
        <v>39663.9</v>
      </c>
      <c r="M7" s="6">
        <v>39116.62</v>
      </c>
      <c r="N7" s="5">
        <v>34277.33</v>
      </c>
      <c r="O7" s="21">
        <v>28094.47</v>
      </c>
      <c r="P7" s="16">
        <f t="shared" si="0"/>
        <v>436697.11</v>
      </c>
      <c r="Q7" s="18">
        <f t="shared" si="1"/>
        <v>36391.425833333335</v>
      </c>
    </row>
    <row r="8" spans="2:17" ht="15">
      <c r="B8" s="3" t="s">
        <v>22</v>
      </c>
      <c r="C8" s="4" t="s">
        <v>3</v>
      </c>
      <c r="D8" s="6">
        <v>0</v>
      </c>
      <c r="E8" s="6">
        <v>0</v>
      </c>
      <c r="F8" s="6">
        <v>0</v>
      </c>
      <c r="G8" s="6">
        <f>13333.33+5833.33</f>
        <v>19166.66</v>
      </c>
      <c r="H8" s="5">
        <v>15000</v>
      </c>
      <c r="I8" s="5">
        <v>0</v>
      </c>
      <c r="J8" s="5">
        <v>0</v>
      </c>
      <c r="K8" s="6">
        <v>0</v>
      </c>
      <c r="L8" s="6">
        <v>0</v>
      </c>
      <c r="M8" s="6">
        <v>0</v>
      </c>
      <c r="N8" s="5">
        <v>4500</v>
      </c>
      <c r="O8" s="21">
        <f>17608.36+8203.05+1165.63</f>
        <v>26977.04</v>
      </c>
      <c r="P8" s="16">
        <f t="shared" si="0"/>
        <v>65643.70000000001</v>
      </c>
      <c r="Q8" s="18">
        <f t="shared" si="1"/>
        <v>5470.308333333334</v>
      </c>
    </row>
    <row r="9" spans="2:17" ht="15">
      <c r="B9" s="3" t="s">
        <v>22</v>
      </c>
      <c r="C9" s="4" t="s">
        <v>4</v>
      </c>
      <c r="D9" s="6">
        <f>60522.8+898.34+16000</f>
        <v>77421.14</v>
      </c>
      <c r="E9" s="6">
        <v>0</v>
      </c>
      <c r="F9" s="6">
        <v>0</v>
      </c>
      <c r="G9" s="6">
        <v>0</v>
      </c>
      <c r="H9" s="5">
        <v>0</v>
      </c>
      <c r="I9" s="5">
        <f>2067.29+416.67</f>
        <v>2483.96</v>
      </c>
      <c r="J9" s="5">
        <v>0</v>
      </c>
      <c r="K9" s="6">
        <v>0</v>
      </c>
      <c r="L9" s="6">
        <v>4000</v>
      </c>
      <c r="M9" s="6">
        <v>0</v>
      </c>
      <c r="N9" s="5">
        <v>0</v>
      </c>
      <c r="O9" s="21">
        <v>0</v>
      </c>
      <c r="P9" s="16">
        <f t="shared" si="0"/>
        <v>83905.1</v>
      </c>
      <c r="Q9" s="18">
        <f t="shared" si="1"/>
        <v>6992.091666666667</v>
      </c>
    </row>
    <row r="10" spans="2:17" ht="15">
      <c r="B10" s="3" t="s">
        <v>22</v>
      </c>
      <c r="C10" s="4" t="s">
        <v>5</v>
      </c>
      <c r="D10" s="6">
        <v>0</v>
      </c>
      <c r="E10" s="6">
        <f>1507.8+17044+1270.86</f>
        <v>19822.66</v>
      </c>
      <c r="F10" s="6">
        <v>0</v>
      </c>
      <c r="G10" s="6">
        <v>0</v>
      </c>
      <c r="H10" s="5">
        <v>9122.51</v>
      </c>
      <c r="I10" s="5">
        <v>0</v>
      </c>
      <c r="J10" s="6">
        <f>5722.61+9122.51+4804.33+4922.51+16105.07</f>
        <v>40677.03</v>
      </c>
      <c r="K10" s="6">
        <v>0</v>
      </c>
      <c r="L10" s="6">
        <v>0</v>
      </c>
      <c r="M10" s="6">
        <v>0</v>
      </c>
      <c r="N10" s="5">
        <v>115102.87</v>
      </c>
      <c r="O10" s="21">
        <v>0</v>
      </c>
      <c r="P10" s="16">
        <f t="shared" si="0"/>
        <v>184725.07</v>
      </c>
      <c r="Q10" s="18">
        <f t="shared" si="1"/>
        <v>15393.755833333335</v>
      </c>
    </row>
    <row r="11" spans="2:17" ht="15">
      <c r="B11" s="3" t="s">
        <v>22</v>
      </c>
      <c r="C11" s="4" t="s">
        <v>23</v>
      </c>
      <c r="D11" s="6">
        <v>0</v>
      </c>
      <c r="E11" s="6">
        <v>0</v>
      </c>
      <c r="F11" s="6">
        <v>0</v>
      </c>
      <c r="G11" s="6">
        <v>0</v>
      </c>
      <c r="H11" s="5">
        <v>102000</v>
      </c>
      <c r="I11" s="6">
        <v>25000</v>
      </c>
      <c r="J11" s="6">
        <v>25000</v>
      </c>
      <c r="K11" s="6">
        <v>25000</v>
      </c>
      <c r="L11" s="6">
        <v>19166</v>
      </c>
      <c r="M11" s="6">
        <v>0</v>
      </c>
      <c r="N11" s="5">
        <v>0</v>
      </c>
      <c r="O11" s="21">
        <v>0</v>
      </c>
      <c r="P11" s="16">
        <f t="shared" si="0"/>
        <v>196166</v>
      </c>
      <c r="Q11" s="18">
        <f t="shared" si="1"/>
        <v>16347.166666666666</v>
      </c>
    </row>
    <row r="12" spans="2:17" ht="15">
      <c r="B12" s="3" t="s">
        <v>22</v>
      </c>
      <c r="C12" s="4" t="s">
        <v>6</v>
      </c>
      <c r="D12" s="6">
        <v>4018</v>
      </c>
      <c r="E12" s="6">
        <v>4018</v>
      </c>
      <c r="F12" s="6">
        <v>4018</v>
      </c>
      <c r="G12" s="6">
        <v>4018</v>
      </c>
      <c r="H12" s="5">
        <v>4018</v>
      </c>
      <c r="I12" s="5">
        <v>4018</v>
      </c>
      <c r="J12" s="6">
        <v>4018</v>
      </c>
      <c r="K12" s="6">
        <v>4018</v>
      </c>
      <c r="L12" s="6">
        <v>4100</v>
      </c>
      <c r="M12" s="6">
        <v>4018</v>
      </c>
      <c r="N12" s="5">
        <v>4018</v>
      </c>
      <c r="O12" s="21">
        <v>3936</v>
      </c>
      <c r="P12" s="16">
        <f t="shared" si="0"/>
        <v>48216</v>
      </c>
      <c r="Q12" s="18">
        <f t="shared" si="1"/>
        <v>4018</v>
      </c>
    </row>
    <row r="13" spans="2:17" ht="15">
      <c r="B13" s="3" t="s">
        <v>22</v>
      </c>
      <c r="C13" s="4" t="s">
        <v>30</v>
      </c>
      <c r="D13" s="6">
        <v>1561.92</v>
      </c>
      <c r="E13" s="6">
        <v>0</v>
      </c>
      <c r="F13" s="6">
        <f>1561.92+1561.92</f>
        <v>3123.84</v>
      </c>
      <c r="G13" s="6">
        <v>1561.92</v>
      </c>
      <c r="H13" s="5">
        <v>1561.92</v>
      </c>
      <c r="I13" s="5">
        <v>0</v>
      </c>
      <c r="J13" s="5">
        <v>0</v>
      </c>
      <c r="K13" s="6">
        <v>0</v>
      </c>
      <c r="L13" s="6">
        <v>0</v>
      </c>
      <c r="M13" s="6">
        <v>0</v>
      </c>
      <c r="N13" s="5">
        <v>0</v>
      </c>
      <c r="O13" s="21">
        <v>0</v>
      </c>
      <c r="P13" s="16">
        <f t="shared" si="0"/>
        <v>7809.6</v>
      </c>
      <c r="Q13" s="18">
        <f t="shared" si="1"/>
        <v>650.8000000000001</v>
      </c>
    </row>
    <row r="14" spans="2:17" ht="15">
      <c r="B14" s="3" t="s">
        <v>22</v>
      </c>
      <c r="C14" s="4" t="s">
        <v>27</v>
      </c>
      <c r="D14" s="6">
        <v>2916.67</v>
      </c>
      <c r="E14" s="6">
        <v>2858.34</v>
      </c>
      <c r="F14" s="6">
        <v>2858.34</v>
      </c>
      <c r="G14" s="6">
        <v>6956.35</v>
      </c>
      <c r="H14" s="5">
        <v>4950</v>
      </c>
      <c r="I14" s="5">
        <v>4769.78</v>
      </c>
      <c r="J14" s="5">
        <v>784</v>
      </c>
      <c r="K14" s="6">
        <v>3075.97</v>
      </c>
      <c r="L14" s="6">
        <v>3075.97</v>
      </c>
      <c r="M14" s="6">
        <v>3075.97</v>
      </c>
      <c r="N14" s="5">
        <v>0</v>
      </c>
      <c r="O14" s="21">
        <v>0</v>
      </c>
      <c r="P14" s="16">
        <f t="shared" si="0"/>
        <v>35321.39</v>
      </c>
      <c r="Q14" s="18">
        <f t="shared" si="1"/>
        <v>2943.4491666666668</v>
      </c>
    </row>
    <row r="15" spans="2:17" ht="15">
      <c r="B15" s="3" t="s">
        <v>22</v>
      </c>
      <c r="C15" s="4" t="s">
        <v>7</v>
      </c>
      <c r="D15" s="6">
        <v>0</v>
      </c>
      <c r="E15" s="6">
        <v>0</v>
      </c>
      <c r="F15" s="6">
        <v>0</v>
      </c>
      <c r="G15" s="6">
        <f>6647.03+414.77+457.4+3812.34+983.59+716.95</f>
        <v>13032.08</v>
      </c>
      <c r="H15" s="5">
        <f>993.41+418.9+724.11+461.97+3850.46</f>
        <v>6448.85</v>
      </c>
      <c r="I15" s="5">
        <f>3871.05+727.99+998.72+464.44+421.14</f>
        <v>6483.34</v>
      </c>
      <c r="J15" s="5">
        <f>1003.34+423.09+3888.96+731.36+466.59</f>
        <v>6513.34</v>
      </c>
      <c r="K15" s="6">
        <f>6549.74</f>
        <v>6549.74</v>
      </c>
      <c r="L15" s="6">
        <v>6581.67</v>
      </c>
      <c r="M15" s="6">
        <v>6611.04</v>
      </c>
      <c r="N15" s="5">
        <v>6641.68</v>
      </c>
      <c r="O15" s="21">
        <f>3980.08+1026.85+433+477.52+748.49</f>
        <v>6665.9400000000005</v>
      </c>
      <c r="P15" s="16">
        <f t="shared" si="0"/>
        <v>65527.68</v>
      </c>
      <c r="Q15" s="18">
        <f t="shared" si="1"/>
        <v>5460.64</v>
      </c>
    </row>
    <row r="16" spans="2:17" ht="15">
      <c r="B16" s="3" t="s">
        <v>22</v>
      </c>
      <c r="C16" s="4" t="s">
        <v>8</v>
      </c>
      <c r="D16" s="6">
        <v>3349</v>
      </c>
      <c r="E16" s="6">
        <v>3349.99</v>
      </c>
      <c r="F16" s="6">
        <v>3349</v>
      </c>
      <c r="G16" s="6">
        <v>3349</v>
      </c>
      <c r="H16" s="6">
        <v>4765.5</v>
      </c>
      <c r="I16" s="6">
        <f>3350+1700</f>
        <v>5050</v>
      </c>
      <c r="J16" s="6">
        <f>3350+1700+280</f>
        <v>5330</v>
      </c>
      <c r="K16" s="6">
        <f>3350+1700</f>
        <v>5050</v>
      </c>
      <c r="L16" s="6">
        <f>3350+1700</f>
        <v>5050</v>
      </c>
      <c r="M16" s="6">
        <v>0</v>
      </c>
      <c r="N16" s="5">
        <v>0</v>
      </c>
      <c r="O16" s="21">
        <v>6557.11</v>
      </c>
      <c r="P16" s="16">
        <f t="shared" si="0"/>
        <v>45199.6</v>
      </c>
      <c r="Q16" s="18">
        <f t="shared" si="1"/>
        <v>3766.633333333333</v>
      </c>
    </row>
    <row r="17" spans="2:17" ht="15">
      <c r="B17" s="3" t="s">
        <v>22</v>
      </c>
      <c r="C17" s="4" t="s">
        <v>9</v>
      </c>
      <c r="D17" s="6">
        <v>1792.23</v>
      </c>
      <c r="E17" s="6">
        <v>1571.13</v>
      </c>
      <c r="F17" s="6">
        <v>20</v>
      </c>
      <c r="G17" s="6">
        <f>100+1194.42+757.84</f>
        <v>2052.26</v>
      </c>
      <c r="H17" s="5">
        <v>1235.31</v>
      </c>
      <c r="I17" s="5">
        <v>2071.52</v>
      </c>
      <c r="J17" s="5">
        <v>1962.66</v>
      </c>
      <c r="K17" s="6">
        <v>2699.64</v>
      </c>
      <c r="L17" s="6">
        <v>2213.77</v>
      </c>
      <c r="M17" s="6">
        <v>2322.96</v>
      </c>
      <c r="N17" s="5">
        <v>0</v>
      </c>
      <c r="O17" s="21">
        <v>0</v>
      </c>
      <c r="P17" s="16">
        <f t="shared" si="0"/>
        <v>17941.48</v>
      </c>
      <c r="Q17" s="18">
        <f t="shared" si="1"/>
        <v>1495.1233333333332</v>
      </c>
    </row>
    <row r="18" spans="2:17" ht="15">
      <c r="B18" s="3" t="s">
        <v>22</v>
      </c>
      <c r="C18" s="4" t="s">
        <v>10</v>
      </c>
      <c r="D18" s="6">
        <v>0</v>
      </c>
      <c r="E18" s="6">
        <v>0</v>
      </c>
      <c r="F18" s="6">
        <v>0</v>
      </c>
      <c r="G18" s="6">
        <v>0</v>
      </c>
      <c r="H18" s="5">
        <v>0</v>
      </c>
      <c r="I18" s="5">
        <v>0</v>
      </c>
      <c r="J18" s="5">
        <v>0</v>
      </c>
      <c r="K18" s="6">
        <v>0</v>
      </c>
      <c r="L18" s="6">
        <v>0</v>
      </c>
      <c r="M18" s="6">
        <v>0</v>
      </c>
      <c r="N18" s="5">
        <v>0</v>
      </c>
      <c r="O18" s="21">
        <v>0</v>
      </c>
      <c r="P18" s="16">
        <f t="shared" si="0"/>
        <v>0</v>
      </c>
      <c r="Q18" s="18">
        <f t="shared" si="1"/>
        <v>0</v>
      </c>
    </row>
    <row r="19" spans="2:17" ht="15">
      <c r="B19" s="3" t="s">
        <v>22</v>
      </c>
      <c r="C19" s="4" t="s">
        <v>11</v>
      </c>
      <c r="D19" s="6">
        <v>0</v>
      </c>
      <c r="E19" s="6">
        <v>110</v>
      </c>
      <c r="F19" s="6">
        <v>217.44</v>
      </c>
      <c r="G19" s="6">
        <v>110</v>
      </c>
      <c r="H19" s="5">
        <v>0</v>
      </c>
      <c r="I19" s="5">
        <v>0</v>
      </c>
      <c r="J19" s="5">
        <v>12901.45</v>
      </c>
      <c r="K19" s="6">
        <v>295.31</v>
      </c>
      <c r="L19" s="6">
        <v>0</v>
      </c>
      <c r="M19" s="6">
        <v>0</v>
      </c>
      <c r="N19" s="5">
        <v>0</v>
      </c>
      <c r="O19" s="21">
        <f>1668.64+1312.51+446.69</f>
        <v>3427.84</v>
      </c>
      <c r="P19" s="16">
        <f t="shared" si="0"/>
        <v>17062.04</v>
      </c>
      <c r="Q19" s="18">
        <f t="shared" si="1"/>
        <v>1421.8366666666668</v>
      </c>
    </row>
    <row r="20" spans="2:17" ht="15">
      <c r="B20" s="3" t="s">
        <v>22</v>
      </c>
      <c r="C20" s="4" t="s">
        <v>32</v>
      </c>
      <c r="D20" s="6">
        <v>0</v>
      </c>
      <c r="E20" s="6">
        <v>0</v>
      </c>
      <c r="F20" s="6">
        <v>648</v>
      </c>
      <c r="G20" s="6">
        <v>0</v>
      </c>
      <c r="H20" s="5">
        <v>0</v>
      </c>
      <c r="I20" s="5">
        <v>0</v>
      </c>
      <c r="J20" s="5">
        <v>0</v>
      </c>
      <c r="K20" s="6">
        <v>0</v>
      </c>
      <c r="L20" s="6">
        <v>0</v>
      </c>
      <c r="M20" s="6">
        <v>0</v>
      </c>
      <c r="N20" s="5">
        <v>0</v>
      </c>
      <c r="O20" s="21">
        <v>0</v>
      </c>
      <c r="P20" s="16">
        <f t="shared" si="0"/>
        <v>648</v>
      </c>
      <c r="Q20" s="18">
        <f t="shared" si="1"/>
        <v>54</v>
      </c>
    </row>
    <row r="21" spans="2:17" ht="15">
      <c r="B21" s="3" t="s">
        <v>22</v>
      </c>
      <c r="C21" s="4" t="s">
        <v>31</v>
      </c>
      <c r="D21" s="6">
        <v>0</v>
      </c>
      <c r="E21" s="6">
        <v>0</v>
      </c>
      <c r="F21" s="6">
        <v>0</v>
      </c>
      <c r="G21" s="6">
        <v>0</v>
      </c>
      <c r="H21" s="5">
        <v>4985.6</v>
      </c>
      <c r="I21" s="5">
        <v>0</v>
      </c>
      <c r="J21" s="5">
        <v>0</v>
      </c>
      <c r="K21" s="6">
        <v>0</v>
      </c>
      <c r="L21" s="6">
        <v>0</v>
      </c>
      <c r="M21" s="6">
        <v>0</v>
      </c>
      <c r="N21" s="5">
        <v>0</v>
      </c>
      <c r="O21" s="21">
        <v>0</v>
      </c>
      <c r="P21" s="16">
        <f t="shared" si="0"/>
        <v>4985.6</v>
      </c>
      <c r="Q21" s="18">
        <f t="shared" si="1"/>
        <v>415.4666666666667</v>
      </c>
    </row>
    <row r="22" spans="2:17" ht="15">
      <c r="B22" s="3" t="s">
        <v>22</v>
      </c>
      <c r="C22" s="4" t="s">
        <v>12</v>
      </c>
      <c r="D22" s="6">
        <v>0</v>
      </c>
      <c r="E22" s="6">
        <v>0</v>
      </c>
      <c r="F22" s="6">
        <v>83.59</v>
      </c>
      <c r="G22" s="6">
        <v>0</v>
      </c>
      <c r="H22" s="5">
        <f>73.36+96.73</f>
        <v>170.09</v>
      </c>
      <c r="I22" s="5">
        <v>37.25</v>
      </c>
      <c r="J22" s="5">
        <v>12.48</v>
      </c>
      <c r="K22" s="6">
        <f>43.75+37.48</f>
        <v>81.22999999999999</v>
      </c>
      <c r="L22" s="6">
        <v>0</v>
      </c>
      <c r="M22" s="6">
        <v>0</v>
      </c>
      <c r="N22" s="5">
        <v>0</v>
      </c>
      <c r="O22" s="21">
        <v>0</v>
      </c>
      <c r="P22" s="16">
        <f t="shared" si="0"/>
        <v>384.64</v>
      </c>
      <c r="Q22" s="18">
        <f t="shared" si="1"/>
        <v>32.053333333333335</v>
      </c>
    </row>
    <row r="23" spans="2:17" ht="15">
      <c r="B23" s="3" t="s">
        <v>22</v>
      </c>
      <c r="C23" s="4" t="s">
        <v>28</v>
      </c>
      <c r="D23" s="6">
        <v>0</v>
      </c>
      <c r="E23" s="6">
        <v>0</v>
      </c>
      <c r="F23" s="6">
        <v>0</v>
      </c>
      <c r="G23" s="6">
        <v>0</v>
      </c>
      <c r="H23" s="5">
        <v>2500</v>
      </c>
      <c r="I23" s="5">
        <v>0</v>
      </c>
      <c r="J23" s="5">
        <v>2500</v>
      </c>
      <c r="K23" s="6">
        <v>0</v>
      </c>
      <c r="L23" s="6">
        <v>0</v>
      </c>
      <c r="M23" s="6">
        <v>0</v>
      </c>
      <c r="N23" s="5">
        <v>0</v>
      </c>
      <c r="O23" s="21">
        <v>0</v>
      </c>
      <c r="P23" s="16">
        <f t="shared" si="0"/>
        <v>5000</v>
      </c>
      <c r="Q23" s="18">
        <f t="shared" si="1"/>
        <v>416.6666666666667</v>
      </c>
    </row>
    <row r="24" spans="2:17" ht="15">
      <c r="B24" s="3" t="s">
        <v>22</v>
      </c>
      <c r="C24" s="4" t="s">
        <v>13</v>
      </c>
      <c r="D24" s="6">
        <v>0</v>
      </c>
      <c r="E24" s="6">
        <v>0</v>
      </c>
      <c r="F24" s="6">
        <f>612+21+612+21</f>
        <v>1266</v>
      </c>
      <c r="G24" s="6">
        <f>612+612+21</f>
        <v>1245</v>
      </c>
      <c r="H24" s="5">
        <v>0</v>
      </c>
      <c r="I24" s="5">
        <f>21</f>
        <v>21</v>
      </c>
      <c r="J24" s="5">
        <f>612+21</f>
        <v>633</v>
      </c>
      <c r="K24" s="6">
        <v>0</v>
      </c>
      <c r="L24" s="6">
        <v>0</v>
      </c>
      <c r="M24" s="6">
        <v>612</v>
      </c>
      <c r="N24" s="5">
        <v>612</v>
      </c>
      <c r="O24" s="21">
        <v>0</v>
      </c>
      <c r="P24" s="16">
        <f t="shared" si="0"/>
        <v>4389</v>
      </c>
      <c r="Q24" s="18">
        <f t="shared" si="1"/>
        <v>365.75</v>
      </c>
    </row>
    <row r="25" spans="2:17" ht="15">
      <c r="B25" s="3" t="s">
        <v>22</v>
      </c>
      <c r="C25" s="4" t="s">
        <v>14</v>
      </c>
      <c r="D25" s="6">
        <v>0</v>
      </c>
      <c r="E25" s="6">
        <v>0</v>
      </c>
      <c r="F25" s="6">
        <f>11.55</f>
        <v>11.55</v>
      </c>
      <c r="G25" s="6">
        <v>0</v>
      </c>
      <c r="H25" s="5">
        <v>0</v>
      </c>
      <c r="I25" s="5">
        <v>0</v>
      </c>
      <c r="J25" s="5">
        <v>0</v>
      </c>
      <c r="K25" s="6">
        <v>0</v>
      </c>
      <c r="L25" s="6">
        <v>0</v>
      </c>
      <c r="M25" s="6">
        <f>41.35+117.74</f>
        <v>159.09</v>
      </c>
      <c r="N25" s="5">
        <v>0</v>
      </c>
      <c r="O25" s="21">
        <v>0</v>
      </c>
      <c r="P25" s="16">
        <f t="shared" si="0"/>
        <v>170.64000000000001</v>
      </c>
      <c r="Q25" s="18">
        <f t="shared" si="1"/>
        <v>14.22</v>
      </c>
    </row>
    <row r="26" spans="2:17" ht="15">
      <c r="B26" s="3" t="s">
        <v>22</v>
      </c>
      <c r="C26" s="4" t="s">
        <v>15</v>
      </c>
      <c r="D26" s="6">
        <v>282.32</v>
      </c>
      <c r="E26" s="6">
        <v>443.85</v>
      </c>
      <c r="F26" s="6">
        <f>129.78</f>
        <v>129.78</v>
      </c>
      <c r="G26" s="6">
        <v>212.94</v>
      </c>
      <c r="H26" s="5">
        <f>289.56+39.28+39.28</f>
        <v>368.12</v>
      </c>
      <c r="I26" s="5">
        <f>86.34+86.34+86.34+39.28+155+320.75</f>
        <v>774.05</v>
      </c>
      <c r="J26" s="5">
        <v>154.72</v>
      </c>
      <c r="K26" s="6">
        <v>129.78</v>
      </c>
      <c r="L26" s="6">
        <v>137.68</v>
      </c>
      <c r="M26" s="6">
        <v>143.07</v>
      </c>
      <c r="N26" s="5">
        <v>143.78</v>
      </c>
      <c r="O26" s="21">
        <v>60.52</v>
      </c>
      <c r="P26" s="16">
        <f t="shared" si="0"/>
        <v>2980.6100000000006</v>
      </c>
      <c r="Q26" s="18">
        <f t="shared" si="1"/>
        <v>248.38416666666672</v>
      </c>
    </row>
    <row r="27" spans="2:17" ht="15">
      <c r="B27" s="3" t="s">
        <v>22</v>
      </c>
      <c r="C27" s="4" t="s">
        <v>29</v>
      </c>
      <c r="D27" s="6">
        <v>0</v>
      </c>
      <c r="E27" s="6">
        <v>0</v>
      </c>
      <c r="F27" s="6">
        <f>7+253+669.12</f>
        <v>929.12</v>
      </c>
      <c r="G27" s="6">
        <f>1226.28+228.15+279.16+1608.58</f>
        <v>3342.17</v>
      </c>
      <c r="H27" s="5">
        <f>1330.12+160</f>
        <v>1490.12</v>
      </c>
      <c r="I27" s="5">
        <f>649.06+74.84+880.52+3556.77+2195+848.4+598.97+29.36+580.1+2287.68</f>
        <v>11700.7</v>
      </c>
      <c r="J27" s="5">
        <f>1007.16+60+160.16+2337.61+130.82+782.59</f>
        <v>4478.34</v>
      </c>
      <c r="K27" s="6">
        <f>15.8+21.9+820.34+219.13+113.3+1408+134.8+686.97</f>
        <v>3420.2400000000007</v>
      </c>
      <c r="L27" s="6">
        <f>51.5+947.39</f>
        <v>998.89</v>
      </c>
      <c r="M27" s="6">
        <v>0</v>
      </c>
      <c r="N27" s="5">
        <v>0</v>
      </c>
      <c r="O27" s="21">
        <f>1571.21+270.28+219.98+149.49</f>
        <v>2210.96</v>
      </c>
      <c r="P27" s="16">
        <f t="shared" si="0"/>
        <v>28570.54</v>
      </c>
      <c r="Q27" s="18">
        <f t="shared" si="1"/>
        <v>2380.8783333333336</v>
      </c>
    </row>
    <row r="28" spans="2:17" ht="15">
      <c r="B28" s="3" t="s">
        <v>22</v>
      </c>
      <c r="C28" s="4" t="s">
        <v>16</v>
      </c>
      <c r="D28" s="6">
        <v>0</v>
      </c>
      <c r="E28" s="6">
        <v>0</v>
      </c>
      <c r="F28" s="6">
        <v>0</v>
      </c>
      <c r="G28" s="6">
        <v>0</v>
      </c>
      <c r="H28" s="5">
        <v>0</v>
      </c>
      <c r="I28" s="5">
        <v>0</v>
      </c>
      <c r="J28" s="5">
        <v>0</v>
      </c>
      <c r="K28" s="6">
        <v>174</v>
      </c>
      <c r="L28" s="6">
        <v>0</v>
      </c>
      <c r="M28" s="6">
        <v>0</v>
      </c>
      <c r="N28" s="5">
        <v>0</v>
      </c>
      <c r="O28" s="21">
        <v>0</v>
      </c>
      <c r="P28" s="16">
        <f t="shared" si="0"/>
        <v>174</v>
      </c>
      <c r="Q28" s="18">
        <f t="shared" si="1"/>
        <v>14.5</v>
      </c>
    </row>
    <row r="29" spans="2:17" ht="15">
      <c r="B29" s="3" t="s">
        <v>22</v>
      </c>
      <c r="C29" s="4" t="s">
        <v>24</v>
      </c>
      <c r="D29" s="6">
        <v>0</v>
      </c>
      <c r="E29" s="6">
        <v>0</v>
      </c>
      <c r="F29" s="5">
        <v>0</v>
      </c>
      <c r="G29" s="6">
        <v>150</v>
      </c>
      <c r="H29" s="5">
        <v>0</v>
      </c>
      <c r="I29" s="5">
        <v>0</v>
      </c>
      <c r="J29" s="5">
        <v>0</v>
      </c>
      <c r="K29" s="6">
        <v>40</v>
      </c>
      <c r="L29" s="6">
        <f>228+15</f>
        <v>243</v>
      </c>
      <c r="M29" s="6">
        <v>0</v>
      </c>
      <c r="N29" s="5">
        <v>0</v>
      </c>
      <c r="O29" s="21">
        <v>0</v>
      </c>
      <c r="P29" s="16">
        <f t="shared" si="0"/>
        <v>433</v>
      </c>
      <c r="Q29" s="18">
        <f t="shared" si="1"/>
        <v>36.083333333333336</v>
      </c>
    </row>
    <row r="30" spans="2:17" ht="15">
      <c r="B30" s="3" t="s">
        <v>22</v>
      </c>
      <c r="C30" s="4" t="s">
        <v>17</v>
      </c>
      <c r="D30" s="6">
        <v>0</v>
      </c>
      <c r="E30" s="6">
        <v>0</v>
      </c>
      <c r="F30" s="5">
        <v>12317</v>
      </c>
      <c r="G30" s="6">
        <v>3611.9</v>
      </c>
      <c r="H30" s="5">
        <v>6840</v>
      </c>
      <c r="I30" s="5">
        <v>0</v>
      </c>
      <c r="J30" s="5">
        <v>0</v>
      </c>
      <c r="K30" s="6">
        <f>140+2491+3572+736</f>
        <v>6939</v>
      </c>
      <c r="L30" s="6">
        <v>0</v>
      </c>
      <c r="M30" s="6">
        <v>0</v>
      </c>
      <c r="N30" s="5">
        <v>0</v>
      </c>
      <c r="O30" s="21">
        <v>0</v>
      </c>
      <c r="P30" s="16">
        <f t="shared" si="0"/>
        <v>29707.9</v>
      </c>
      <c r="Q30" s="18">
        <f t="shared" si="1"/>
        <v>2475.6583333333333</v>
      </c>
    </row>
    <row r="31" spans="2:17" ht="15">
      <c r="B31" s="3" t="s">
        <v>22</v>
      </c>
      <c r="C31" s="4" t="s">
        <v>18</v>
      </c>
      <c r="D31" s="6">
        <v>0</v>
      </c>
      <c r="E31" s="6">
        <v>0</v>
      </c>
      <c r="F31" s="5">
        <v>0</v>
      </c>
      <c r="G31" s="6">
        <v>0</v>
      </c>
      <c r="H31" s="5">
        <v>0</v>
      </c>
      <c r="I31" s="5">
        <v>0</v>
      </c>
      <c r="J31" s="5">
        <v>0</v>
      </c>
      <c r="K31" s="6">
        <v>0</v>
      </c>
      <c r="L31" s="6">
        <f>4510+1351.75+800</f>
        <v>6661.75</v>
      </c>
      <c r="M31" s="6">
        <v>0</v>
      </c>
      <c r="N31" s="5">
        <v>0</v>
      </c>
      <c r="O31" s="21">
        <v>0</v>
      </c>
      <c r="P31" s="16">
        <f t="shared" si="0"/>
        <v>6661.75</v>
      </c>
      <c r="Q31" s="18">
        <f t="shared" si="1"/>
        <v>555.1458333333334</v>
      </c>
    </row>
    <row r="32" spans="2:17" ht="15">
      <c r="B32" s="3" t="s">
        <v>22</v>
      </c>
      <c r="C32" s="4" t="s">
        <v>19</v>
      </c>
      <c r="D32" s="6">
        <f>544.56</f>
        <v>544.56</v>
      </c>
      <c r="E32" s="6">
        <v>0</v>
      </c>
      <c r="F32" s="6">
        <f>110+155+180+15+20+90+535</f>
        <v>1105</v>
      </c>
      <c r="G32" s="6">
        <f>168+112.8+136+110+599.46+108+159.9+161.64+110</f>
        <v>1665.8000000000002</v>
      </c>
      <c r="H32" s="5">
        <f>220+38.36+74.55+49.99+300+450+230</f>
        <v>1362.9</v>
      </c>
      <c r="I32" s="5">
        <f>870+300+760+579.9</f>
        <v>2509.9</v>
      </c>
      <c r="J32" s="5">
        <f>110+14+20+70.4+223.72+2995+870+160</f>
        <v>4463.12</v>
      </c>
      <c r="K32" s="6">
        <f>118+117+160+2425+275+370+1700</f>
        <v>5165</v>
      </c>
      <c r="L32" s="6">
        <f>50+235.92+370+270+7.91</f>
        <v>933.8299999999999</v>
      </c>
      <c r="M32" s="6">
        <f>284.05+100+120</f>
        <v>504.05</v>
      </c>
      <c r="N32" s="5">
        <v>0</v>
      </c>
      <c r="O32" s="21">
        <f>260+75+50+130+110.7+235.52+52.27</f>
        <v>913.49</v>
      </c>
      <c r="P32" s="16">
        <f t="shared" si="0"/>
        <v>19167.65</v>
      </c>
      <c r="Q32" s="18">
        <f t="shared" si="1"/>
        <v>1597.3041666666668</v>
      </c>
    </row>
    <row r="33" spans="2:17" ht="15">
      <c r="B33" s="3" t="s">
        <v>22</v>
      </c>
      <c r="C33" s="4" t="s">
        <v>26</v>
      </c>
      <c r="D33" s="6">
        <v>0</v>
      </c>
      <c r="E33" s="6">
        <v>0</v>
      </c>
      <c r="F33" s="5">
        <v>0</v>
      </c>
      <c r="G33" s="6">
        <v>0</v>
      </c>
      <c r="H33" s="5">
        <v>0</v>
      </c>
      <c r="I33" s="5">
        <v>0</v>
      </c>
      <c r="J33" s="5">
        <v>153.26</v>
      </c>
      <c r="K33" s="6">
        <v>237.17</v>
      </c>
      <c r="L33" s="6">
        <v>0</v>
      </c>
      <c r="M33" s="6">
        <v>0</v>
      </c>
      <c r="N33" s="5">
        <v>0</v>
      </c>
      <c r="O33" s="21">
        <v>0</v>
      </c>
      <c r="P33" s="16">
        <f t="shared" si="0"/>
        <v>390.42999999999995</v>
      </c>
      <c r="Q33" s="18">
        <f t="shared" si="1"/>
        <v>32.53583333333333</v>
      </c>
    </row>
    <row r="34" spans="2:17" ht="15">
      <c r="B34" s="3" t="s">
        <v>22</v>
      </c>
      <c r="C34" s="4" t="s">
        <v>20</v>
      </c>
      <c r="D34" s="6">
        <f>1.4+1.4</f>
        <v>2.8</v>
      </c>
      <c r="E34" s="6">
        <v>1.4</v>
      </c>
      <c r="F34" s="5">
        <f>1.4+2.8+1.4</f>
        <v>5.6</v>
      </c>
      <c r="G34" s="6">
        <f>69+0.9+0.9+1.4+1.4+1.4+2.8+1.4+1.4</f>
        <v>80.60000000000004</v>
      </c>
      <c r="H34" s="5">
        <f>0.9+46+23+1.4+1.4+0.7+1.4+1.4</f>
        <v>76.20000000000003</v>
      </c>
      <c r="I34" s="5">
        <f>23+1.4+62+0.9+1.8+1.4+0.9+1.4</f>
        <v>92.80000000000003</v>
      </c>
      <c r="J34" s="5">
        <f>21.15+1.4+1.4+0.9+1.4+1.4</f>
        <v>27.64999999999999</v>
      </c>
      <c r="K34" s="6">
        <f>101+1.4+1.4+1.4+1.4+1.4+0.9+1.4+0.9+1.4+1.4</f>
        <v>114.00000000000006</v>
      </c>
      <c r="L34" s="6">
        <v>23</v>
      </c>
      <c r="M34" s="6">
        <f>23+1.4+1.4</f>
        <v>25.799999999999997</v>
      </c>
      <c r="N34" s="5">
        <v>0</v>
      </c>
      <c r="O34" s="21">
        <f>1.8+0.9+1.4+1.4</f>
        <v>5.5</v>
      </c>
      <c r="P34" s="16">
        <f t="shared" si="0"/>
        <v>455.35000000000014</v>
      </c>
      <c r="Q34" s="18">
        <f t="shared" si="1"/>
        <v>37.94583333333335</v>
      </c>
    </row>
    <row r="35" spans="2:17" ht="15" thickBot="1">
      <c r="B35" s="7" t="s">
        <v>22</v>
      </c>
      <c r="C35" s="8" t="s">
        <v>21</v>
      </c>
      <c r="D35" s="10">
        <f>140.33+36.16</f>
        <v>176.49</v>
      </c>
      <c r="E35" s="10">
        <v>144.99</v>
      </c>
      <c r="F35" s="9">
        <v>140.33</v>
      </c>
      <c r="G35" s="10">
        <v>141.77</v>
      </c>
      <c r="H35" s="9">
        <v>82</v>
      </c>
      <c r="I35" s="9">
        <v>93.02</v>
      </c>
      <c r="J35" s="9">
        <v>106.37</v>
      </c>
      <c r="K35" s="10">
        <v>86.7</v>
      </c>
      <c r="L35" s="10">
        <v>86.68</v>
      </c>
      <c r="M35" s="10">
        <v>119.71</v>
      </c>
      <c r="N35" s="11">
        <v>82</v>
      </c>
      <c r="O35" s="22">
        <v>82</v>
      </c>
      <c r="P35" s="17">
        <f t="shared" si="0"/>
        <v>1342.0600000000002</v>
      </c>
      <c r="Q35" s="19">
        <f t="shared" si="1"/>
        <v>111.83833333333335</v>
      </c>
    </row>
    <row r="36" spans="2:17" ht="15" thickBot="1">
      <c r="B36" s="34" t="s">
        <v>25</v>
      </c>
      <c r="C36" s="35"/>
      <c r="D36" s="27">
        <f aca="true" t="shared" si="2" ref="D36:N36">SUM(D5:D35)</f>
        <v>345986.68999999994</v>
      </c>
      <c r="E36" s="27">
        <f t="shared" si="2"/>
        <v>189488.09</v>
      </c>
      <c r="F36" s="27">
        <f t="shared" si="2"/>
        <v>198190.44999999995</v>
      </c>
      <c r="G36" s="27">
        <f>SUM(G5:G35)</f>
        <v>353207.2299999999</v>
      </c>
      <c r="H36" s="27">
        <f t="shared" si="2"/>
        <v>434070.24</v>
      </c>
      <c r="I36" s="27">
        <f t="shared" si="2"/>
        <v>366681.6900000001</v>
      </c>
      <c r="J36" s="27">
        <f>SUM(J5:J35)</f>
        <v>406946.67000000004</v>
      </c>
      <c r="K36" s="27">
        <f t="shared" si="2"/>
        <v>386997.98999999993</v>
      </c>
      <c r="L36" s="27">
        <f t="shared" si="2"/>
        <v>376515.81</v>
      </c>
      <c r="M36" s="27">
        <f t="shared" si="2"/>
        <v>286385.98</v>
      </c>
      <c r="N36" s="27">
        <f t="shared" si="2"/>
        <v>307069.11000000004</v>
      </c>
      <c r="O36" s="28">
        <f>SUM(O5:O35)</f>
        <v>272872.17000000004</v>
      </c>
      <c r="P36" s="29">
        <f>SUM(D36:O36)</f>
        <v>3924412.1199999996</v>
      </c>
      <c r="Q36" s="30">
        <f>P36/12</f>
        <v>327034.3433333333</v>
      </c>
    </row>
    <row r="37" ht="15">
      <c r="O37" s="1"/>
    </row>
    <row r="38" spans="11:16" ht="15">
      <c r="K38" s="2"/>
      <c r="M38" s="2"/>
      <c r="P38" s="2"/>
    </row>
    <row r="39" spans="10:13" ht="15">
      <c r="J39" s="2"/>
      <c r="M39" s="2"/>
    </row>
  </sheetData>
  <mergeCells count="2">
    <mergeCell ref="B4:C4"/>
    <mergeCell ref="B36:C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Diegp</dc:creator>
  <cp:keywords/>
  <dc:description/>
  <cp:lastModifiedBy>Usuario</cp:lastModifiedBy>
  <cp:lastPrinted>2020-01-28T20:34:19Z</cp:lastPrinted>
  <dcterms:created xsi:type="dcterms:W3CDTF">2019-12-06T14:13:39Z</dcterms:created>
  <dcterms:modified xsi:type="dcterms:W3CDTF">2020-01-28T20:34:38Z</dcterms:modified>
  <cp:category/>
  <cp:version/>
  <cp:contentType/>
  <cp:contentStatus/>
</cp:coreProperties>
</file>