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GIE - GERENCIA INFRA ESTRUTURA\7_St Pedro Ludovico\ORÇAMENTO PISCINA\"/>
    </mc:Choice>
  </mc:AlternateContent>
  <xr:revisionPtr revIDLastSave="0" documentId="13_ncr:1_{7AC9A710-FFA0-4707-B31D-D850FD78F56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Orçamento " sheetId="5" r:id="rId1"/>
    <sheet name="Composição" sheetId="8" r:id="rId2"/>
    <sheet name="Memória de Cálculo" sheetId="7" r:id="rId3"/>
    <sheet name="Cronograma" sheetId="9" r:id="rId4"/>
    <sheet name="BDI" sheetId="18" r:id="rId5"/>
  </sheets>
  <definedNames>
    <definedName name="_xlnm.Print_Area" localSheetId="4">BDI!$B$2:$F$56</definedName>
    <definedName name="_xlnm.Print_Area" localSheetId="1">Composição!$B$2:$K$248</definedName>
    <definedName name="_xlnm.Print_Area" localSheetId="3">Cronograma!$A$1:$E$24</definedName>
    <definedName name="_xlnm.Print_Area" localSheetId="2">'Memória de Cálculo'!$B$1:$E$139</definedName>
    <definedName name="_xlnm.Print_Area" localSheetId="0">'Orçamento '!$B$2:$L$50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9" l="1"/>
  <c r="D17" i="9"/>
  <c r="D21" i="9"/>
  <c r="E21" i="9" s="1"/>
  <c r="E20" i="9"/>
  <c r="E23" i="9" l="1"/>
  <c r="E24" i="9" l="1"/>
  <c r="D24" i="9"/>
  <c r="I11" i="5"/>
  <c r="K11" i="5"/>
  <c r="G14" i="5"/>
  <c r="G32" i="5"/>
  <c r="J21" i="5"/>
  <c r="K21" i="5" s="1"/>
  <c r="H21" i="5"/>
  <c r="G21" i="5"/>
  <c r="K167" i="8"/>
  <c r="K175" i="8"/>
  <c r="K174" i="8"/>
  <c r="K173" i="8"/>
  <c r="K172" i="8" s="1"/>
  <c r="K88" i="8"/>
  <c r="K87" i="8"/>
  <c r="K86" i="8"/>
  <c r="K85" i="8"/>
  <c r="D87" i="7"/>
  <c r="E85" i="7" s="1"/>
  <c r="D83" i="7"/>
  <c r="I21" i="5"/>
  <c r="D37" i="7"/>
  <c r="E37" i="7" s="1"/>
  <c r="E39" i="7"/>
  <c r="K176" i="8" l="1"/>
  <c r="H32" i="5"/>
  <c r="I32" i="5" s="1"/>
  <c r="I19" i="5" s="1"/>
  <c r="K84" i="8"/>
  <c r="K89" i="8" s="1"/>
  <c r="K90" i="8" s="1"/>
  <c r="G26" i="5"/>
  <c r="I125" i="8"/>
  <c r="I116" i="8"/>
  <c r="K123" i="8"/>
  <c r="K122" i="8"/>
  <c r="K121" i="8"/>
  <c r="K120" i="8"/>
  <c r="K177" i="8" l="1"/>
  <c r="K67" i="8" s="1"/>
  <c r="J32" i="5"/>
  <c r="K32" i="5" s="1"/>
  <c r="K19" i="5" s="1"/>
  <c r="K119" i="8"/>
  <c r="K124" i="8" s="1"/>
  <c r="H26" i="5" l="1"/>
  <c r="K125" i="8"/>
  <c r="J26" i="5"/>
  <c r="K26" i="5" s="1"/>
  <c r="K230" i="8" l="1"/>
  <c r="K229" i="8" s="1"/>
  <c r="K231" i="8" s="1"/>
  <c r="J41" i="5" s="1"/>
  <c r="D133" i="7"/>
  <c r="E129" i="7" s="1"/>
  <c r="G41" i="5" s="1"/>
  <c r="K41" i="5" l="1"/>
  <c r="I232" i="8"/>
  <c r="K232" i="8" s="1"/>
  <c r="H41" i="5"/>
  <c r="I41" i="5" s="1"/>
  <c r="I26" i="5"/>
  <c r="K62" i="8" l="1"/>
  <c r="D34" i="7"/>
  <c r="E30" i="7" s="1"/>
  <c r="G18" i="5" s="1"/>
  <c r="K63" i="8"/>
  <c r="I238" i="8"/>
  <c r="I237" i="8"/>
  <c r="G17" i="5"/>
  <c r="I58" i="8"/>
  <c r="E24" i="7"/>
  <c r="I51" i="8" s="1"/>
  <c r="E122" i="7"/>
  <c r="K224" i="8"/>
  <c r="K213" i="8"/>
  <c r="K61" i="8" l="1"/>
  <c r="I65" i="8"/>
  <c r="G16" i="5"/>
  <c r="E46" i="7"/>
  <c r="K64" i="8" l="1"/>
  <c r="J18" i="5" s="1"/>
  <c r="K18" i="5" s="1"/>
  <c r="H18" i="5"/>
  <c r="I18" i="5" s="1"/>
  <c r="F17" i="18"/>
  <c r="K65" i="8" l="1"/>
  <c r="E108" i="7"/>
  <c r="E104" i="7" s="1"/>
  <c r="E101" i="7"/>
  <c r="D101" i="7"/>
  <c r="D94" i="7"/>
  <c r="E90" i="7" s="1"/>
  <c r="E97" i="7" l="1"/>
  <c r="E14" i="7"/>
  <c r="G12" i="5" s="1"/>
  <c r="K215" i="8" l="1"/>
  <c r="F30" i="18" l="1"/>
  <c r="F31" i="18"/>
  <c r="F37" i="18" l="1"/>
  <c r="K209" i="8"/>
  <c r="K210" i="8"/>
  <c r="K211" i="8"/>
  <c r="K212" i="8"/>
  <c r="K214" i="8"/>
  <c r="K216" i="8"/>
  <c r="K217" i="8"/>
  <c r="K218" i="8"/>
  <c r="G37" i="5" l="1"/>
  <c r="J200" i="8"/>
  <c r="J194" i="8"/>
  <c r="K194" i="8" s="1"/>
  <c r="K193" i="8" s="1"/>
  <c r="K195" i="8" s="1"/>
  <c r="I202" i="8"/>
  <c r="I196" i="8"/>
  <c r="D107" i="7"/>
  <c r="D106" i="7"/>
  <c r="F18" i="18"/>
  <c r="K196" i="8" l="1"/>
  <c r="F24" i="18"/>
  <c r="H36" i="5"/>
  <c r="J36" i="5"/>
  <c r="C100" i="7" l="1"/>
  <c r="C99" i="7"/>
  <c r="G13" i="5"/>
  <c r="G43" i="5"/>
  <c r="I240" i="8"/>
  <c r="D57" i="7"/>
  <c r="E55" i="7" s="1"/>
  <c r="G24" i="5" s="1"/>
  <c r="E44" i="7"/>
  <c r="D50" i="7"/>
  <c r="D69" i="7"/>
  <c r="E81" i="7" l="1"/>
  <c r="G31" i="5" s="1"/>
  <c r="G30" i="5"/>
  <c r="G29" i="5"/>
  <c r="I159" i="8"/>
  <c r="I152" i="8"/>
  <c r="D74" i="7"/>
  <c r="E72" i="7" s="1"/>
  <c r="I145" i="8" s="1"/>
  <c r="E48" i="7"/>
  <c r="G23" i="5" s="1"/>
  <c r="I44" i="8"/>
  <c r="G15" i="5"/>
  <c r="I37" i="8"/>
  <c r="I30" i="8"/>
  <c r="E67" i="7"/>
  <c r="G27" i="5" s="1"/>
  <c r="G25" i="5"/>
  <c r="E35" i="7"/>
  <c r="G20" i="5" s="1"/>
  <c r="D128" i="7"/>
  <c r="E124" i="7" s="1"/>
  <c r="G40" i="5" l="1"/>
  <c r="I226" i="8"/>
  <c r="I168" i="8"/>
  <c r="I108" i="8"/>
  <c r="I133" i="8"/>
  <c r="I99" i="8"/>
  <c r="K223" i="8" l="1"/>
  <c r="K238" i="8"/>
  <c r="K237" i="8"/>
  <c r="K236" i="8" l="1"/>
  <c r="H40" i="5"/>
  <c r="I40" i="5" s="1"/>
  <c r="H43" i="5" l="1"/>
  <c r="I43" i="5" s="1"/>
  <c r="I42" i="5" s="1"/>
  <c r="K56" i="8"/>
  <c r="K55" i="8"/>
  <c r="K54" i="8" l="1"/>
  <c r="K49" i="8"/>
  <c r="K48" i="8"/>
  <c r="K28" i="8"/>
  <c r="K27" i="8" s="1"/>
  <c r="H17" i="5" l="1"/>
  <c r="I17" i="5" s="1"/>
  <c r="H13" i="5"/>
  <c r="I13" i="5" s="1"/>
  <c r="K47" i="8"/>
  <c r="K42" i="8"/>
  <c r="K41" i="8"/>
  <c r="K35" i="8"/>
  <c r="K34" i="8"/>
  <c r="K113" i="8"/>
  <c r="H16" i="5" l="1"/>
  <c r="I16" i="5" s="1"/>
  <c r="K40" i="8"/>
  <c r="K33" i="8"/>
  <c r="K150" i="8"/>
  <c r="K157" i="8"/>
  <c r="K156" i="8"/>
  <c r="K149" i="8"/>
  <c r="K131" i="8"/>
  <c r="K130" i="8"/>
  <c r="K129" i="8"/>
  <c r="K114" i="8"/>
  <c r="K112" i="8"/>
  <c r="K106" i="8"/>
  <c r="K105" i="8"/>
  <c r="K104" i="8"/>
  <c r="K103" i="8"/>
  <c r="F100" i="7"/>
  <c r="H100" i="7" s="1"/>
  <c r="F99" i="7"/>
  <c r="H99" i="7" s="1"/>
  <c r="K111" i="8" l="1"/>
  <c r="H15" i="5"/>
  <c r="I15" i="5" s="1"/>
  <c r="H14" i="5"/>
  <c r="I14" i="5" s="1"/>
  <c r="K155" i="8"/>
  <c r="K148" i="8"/>
  <c r="K128" i="8"/>
  <c r="K102" i="8"/>
  <c r="G100" i="7"/>
  <c r="G99" i="7"/>
  <c r="K166" i="8"/>
  <c r="K165" i="8"/>
  <c r="K164" i="8"/>
  <c r="K163" i="8"/>
  <c r="H25" i="5" l="1"/>
  <c r="I25" i="5" s="1"/>
  <c r="H27" i="5"/>
  <c r="I27" i="5" s="1"/>
  <c r="H29" i="5"/>
  <c r="I29" i="5" s="1"/>
  <c r="H24" i="5"/>
  <c r="I24" i="5" s="1"/>
  <c r="H30" i="5"/>
  <c r="I30" i="5" s="1"/>
  <c r="K162" i="8"/>
  <c r="K142" i="8"/>
  <c r="K141" i="8"/>
  <c r="K140" i="8"/>
  <c r="K139" i="8"/>
  <c r="K138" i="8"/>
  <c r="K137" i="8"/>
  <c r="K143" i="8"/>
  <c r="K79" i="8"/>
  <c r="K78" i="8"/>
  <c r="K77" i="8"/>
  <c r="K76" i="8"/>
  <c r="K70" i="8"/>
  <c r="K69" i="8" s="1"/>
  <c r="H31" i="5" l="1"/>
  <c r="I31" i="5" s="1"/>
  <c r="G22" i="5"/>
  <c r="I81" i="8"/>
  <c r="I72" i="8"/>
  <c r="K136" i="8"/>
  <c r="H28" i="5" s="1"/>
  <c r="K75" i="8"/>
  <c r="H20" i="5"/>
  <c r="I20" i="5" l="1"/>
  <c r="H22" i="5"/>
  <c r="I22" i="5" s="1"/>
  <c r="K208" i="8" l="1"/>
  <c r="K207" i="8"/>
  <c r="K206" i="8" s="1"/>
  <c r="E120" i="7" l="1"/>
  <c r="G39" i="5" s="1"/>
  <c r="I220" i="8" l="1"/>
  <c r="H39" i="5"/>
  <c r="I39" i="5" l="1"/>
  <c r="I38" i="5" s="1"/>
  <c r="K21" i="8" l="1"/>
  <c r="K20" i="8"/>
  <c r="K19" i="8"/>
  <c r="K18" i="8"/>
  <c r="K17" i="8"/>
  <c r="K16" i="8"/>
  <c r="K15" i="8"/>
  <c r="K22" i="8"/>
  <c r="K14" i="8"/>
  <c r="K13" i="8"/>
  <c r="K12" i="8" l="1"/>
  <c r="H12" i="5" l="1"/>
  <c r="I12" i="5" s="1"/>
  <c r="K23" i="8"/>
  <c r="K24" i="8" s="1"/>
  <c r="K219" i="8"/>
  <c r="K225" i="8"/>
  <c r="K239" i="8"/>
  <c r="K29" i="8"/>
  <c r="J13" i="5" s="1"/>
  <c r="K57" i="8"/>
  <c r="K50" i="8"/>
  <c r="K43" i="8"/>
  <c r="K36" i="8"/>
  <c r="K132" i="8"/>
  <c r="K158" i="8"/>
  <c r="K115" i="8"/>
  <c r="K116" i="8" s="1"/>
  <c r="K151" i="8"/>
  <c r="K107" i="8"/>
  <c r="K71" i="8"/>
  <c r="K80" i="8"/>
  <c r="K144" i="8"/>
  <c r="J12" i="5" l="1"/>
  <c r="K12" i="5" s="1"/>
  <c r="J30" i="5"/>
  <c r="K30" i="5" s="1"/>
  <c r="K159" i="8"/>
  <c r="J27" i="5"/>
  <c r="K27" i="5" s="1"/>
  <c r="K133" i="8"/>
  <c r="K37" i="8"/>
  <c r="J14" i="5"/>
  <c r="K14" i="5" s="1"/>
  <c r="K44" i="8"/>
  <c r="J15" i="5"/>
  <c r="K15" i="5" s="1"/>
  <c r="K51" i="8"/>
  <c r="J16" i="5"/>
  <c r="K16" i="5" s="1"/>
  <c r="J28" i="5"/>
  <c r="K145" i="8"/>
  <c r="J22" i="5"/>
  <c r="K22" i="5" s="1"/>
  <c r="K81" i="8"/>
  <c r="K58" i="8"/>
  <c r="J17" i="5"/>
  <c r="K17" i="5" s="1"/>
  <c r="J31" i="5"/>
  <c r="K31" i="5" s="1"/>
  <c r="K168" i="8"/>
  <c r="K30" i="8"/>
  <c r="K13" i="5"/>
  <c r="K220" i="8"/>
  <c r="K204" i="8" s="1"/>
  <c r="J39" i="5"/>
  <c r="K39" i="5" s="1"/>
  <c r="J20" i="5"/>
  <c r="K20" i="5" s="1"/>
  <c r="K72" i="8"/>
  <c r="K240" i="8"/>
  <c r="K234" i="8" s="1"/>
  <c r="J43" i="5"/>
  <c r="K43" i="5" s="1"/>
  <c r="K42" i="5" s="1"/>
  <c r="K108" i="8"/>
  <c r="J24" i="5"/>
  <c r="K24" i="5" s="1"/>
  <c r="J40" i="5"/>
  <c r="K40" i="5" s="1"/>
  <c r="K226" i="8"/>
  <c r="J25" i="5"/>
  <c r="K25" i="5" s="1"/>
  <c r="K152" i="8"/>
  <c r="J29" i="5"/>
  <c r="K29" i="5" s="1"/>
  <c r="G36" i="5"/>
  <c r="K36" i="5" s="1"/>
  <c r="K200" i="8"/>
  <c r="K199" i="8" s="1"/>
  <c r="K201" i="8" s="1"/>
  <c r="J182" i="8"/>
  <c r="K9" i="8" l="1"/>
  <c r="K38" i="5"/>
  <c r="H37" i="5"/>
  <c r="I37" i="5" s="1"/>
  <c r="G35" i="5"/>
  <c r="I190" i="8"/>
  <c r="G28" i="5"/>
  <c r="G34" i="5"/>
  <c r="I184" i="8"/>
  <c r="J188" i="8"/>
  <c r="M42" i="5" l="1"/>
  <c r="I28" i="5"/>
  <c r="K28" i="5"/>
  <c r="K202" i="8"/>
  <c r="J37" i="5" l="1"/>
  <c r="K37" i="5" s="1"/>
  <c r="K182" i="8" l="1"/>
  <c r="K181" i="8" s="1"/>
  <c r="K183" i="8" s="1"/>
  <c r="K184" i="8" l="1"/>
  <c r="H34" i="5"/>
  <c r="I34" i="5" s="1"/>
  <c r="J34" i="5" l="1"/>
  <c r="K34" i="5" s="1"/>
  <c r="K188" i="8" l="1"/>
  <c r="K187" i="8" s="1"/>
  <c r="K189" i="8" s="1"/>
  <c r="K97" i="8"/>
  <c r="K96" i="8"/>
  <c r="K95" i="8"/>
  <c r="K94" i="8"/>
  <c r="H35" i="5" l="1"/>
  <c r="I35" i="5" s="1"/>
  <c r="K93" i="8"/>
  <c r="J35" i="5"/>
  <c r="I36" i="5"/>
  <c r="I33" i="5" l="1"/>
  <c r="J46" i="5" s="1"/>
  <c r="K98" i="8"/>
  <c r="H23" i="5"/>
  <c r="I23" i="5" s="1"/>
  <c r="K190" i="8"/>
  <c r="K179" i="8" s="1"/>
  <c r="K35" i="5"/>
  <c r="K33" i="5" l="1"/>
  <c r="J48" i="5" s="1"/>
  <c r="L35" i="5" s="1"/>
  <c r="K99" i="8"/>
  <c r="J23" i="5"/>
  <c r="K23" i="5" s="1"/>
  <c r="L12" i="5" l="1"/>
  <c r="L11" i="5" s="1"/>
  <c r="L14" i="5"/>
  <c r="L24" i="5"/>
  <c r="L36" i="5"/>
  <c r="L26" i="5"/>
  <c r="L27" i="5"/>
  <c r="L13" i="5"/>
  <c r="L15" i="5"/>
  <c r="L16" i="5"/>
  <c r="L30" i="5"/>
  <c r="L41" i="5"/>
  <c r="L21" i="5"/>
  <c r="L18" i="5"/>
  <c r="J47" i="5"/>
  <c r="L29" i="5"/>
  <c r="L40" i="5"/>
  <c r="L32" i="5"/>
  <c r="L20" i="5"/>
  <c r="L19" i="5" s="1"/>
  <c r="L23" i="5"/>
  <c r="L25" i="5"/>
  <c r="L17" i="5"/>
  <c r="L22" i="5"/>
  <c r="L39" i="5"/>
  <c r="L38" i="5" s="1"/>
  <c r="L31" i="5"/>
  <c r="L28" i="5"/>
  <c r="L37" i="5"/>
  <c r="L34" i="5"/>
  <c r="I244" i="8"/>
  <c r="L33" i="5" l="1"/>
  <c r="N42" i="5"/>
  <c r="D8" i="5"/>
  <c r="I242" i="8"/>
  <c r="M48" i="5"/>
  <c r="L43" i="5"/>
  <c r="L42" i="5" s="1"/>
  <c r="L44" i="5" s="1"/>
</calcChain>
</file>

<file path=xl/sharedStrings.xml><?xml version="1.0" encoding="utf-8"?>
<sst xmlns="http://schemas.openxmlformats.org/spreadsheetml/2006/main" count="1343" uniqueCount="406">
  <si>
    <t>SINAPI</t>
  </si>
  <si>
    <t>un</t>
  </si>
  <si>
    <t>SERVIÇOS PRELIMINARES</t>
  </si>
  <si>
    <t>COTAÇÃO</t>
  </si>
  <si>
    <t>DESCRIÇÃO</t>
  </si>
  <si>
    <t xml:space="preserve">B.D.I.: </t>
  </si>
  <si>
    <t>Encargos Sociais Não Desonerado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</si>
  <si>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</si>
  <si>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</si>
  <si>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</si>
  <si>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</si>
  <si>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</si>
  <si>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</si>
  <si>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</si>
  <si>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</si>
  <si>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sem BDI</t>
  </si>
  <si>
    <t>Valor Unit com BDI</t>
  </si>
  <si>
    <t>Total</t>
  </si>
  <si>
    <t>Peso (%)</t>
  </si>
  <si>
    <t xml:space="preserve"> 1 </t>
  </si>
  <si>
    <t>Próprio</t>
  </si>
  <si>
    <t>m²</t>
  </si>
  <si>
    <t>m</t>
  </si>
  <si>
    <t xml:space="preserve"> 3.1 </t>
  </si>
  <si>
    <t xml:space="preserve"> 3.2</t>
  </si>
  <si>
    <t>_______________________________________________________________
Responsável Técnico</t>
  </si>
  <si>
    <t>2.1</t>
  </si>
  <si>
    <t xml:space="preserve"> 1.1</t>
  </si>
  <si>
    <t>INSTALAÇÃO ELÉTRICA</t>
  </si>
  <si>
    <t>CABO DE COBRE FLEXÍVEL ISOLADO, 35 MM², ANTI-CHAMA 0,6/1,0 KV, PARA REDE ENTERRADA DE DISTRIBUIÇÃO DE ENERGIA ELÉTRICA - FORNECIMENTO E INSTALAÇÃO. AF_12/2021</t>
  </si>
  <si>
    <t xml:space="preserve">B.D.I. diferenciado: </t>
  </si>
  <si>
    <t>COTAÇÃO 01</t>
  </si>
  <si>
    <t>COTAÇÃO 02</t>
  </si>
  <si>
    <t xml:space="preserve">                                                                                                                                        Planilha Orçamentária Analítica</t>
  </si>
  <si>
    <t>Tipo</t>
  </si>
  <si>
    <t>Composição</t>
  </si>
  <si>
    <t>SEDI - SERVIÇOS DIVERSOS</t>
  </si>
  <si>
    <t>Insumo</t>
  </si>
  <si>
    <t>Valor com BDI =&gt;</t>
  </si>
  <si>
    <t>Quant. =&gt;</t>
  </si>
  <si>
    <t>Preço Total =&gt;</t>
  </si>
  <si>
    <t>Revisão 00</t>
  </si>
  <si>
    <t>MEMÓRIA DE CÁLCULO</t>
  </si>
  <si>
    <t>PISCINAS SEMI-OLIMPICAS</t>
  </si>
  <si>
    <t>CRONOGRAMA FÍSICO FINANCEIRO</t>
  </si>
  <si>
    <t>30 DIAS</t>
  </si>
  <si>
    <t>END.: R. 1015 - St. Pedro Ludovico, Goiânia - GO, 74820-285</t>
  </si>
  <si>
    <t>Endereço: R. 1015 - St. Pedro Ludovico, Goiânia - GO, 74820-285</t>
  </si>
  <si>
    <t>Composição Auxiliar</t>
  </si>
  <si>
    <t>SERP - SERVIÇOS PRELIMINARES</t>
  </si>
  <si>
    <t>H</t>
  </si>
  <si>
    <t>AUXILIAR DE ELETRICISTA COM ENCARGOS COMPLEMENTARES</t>
  </si>
  <si>
    <t xml:space="preserve">	ELETRICISTA COM ENCARGOS COMPLEMENTARES</t>
  </si>
  <si>
    <t>CABO DE COBRE, FLEXIVEL, CLASSE 4 OU 5, ISOLACAO EM PVC/A, ANTICHAMA BWF-B, COBERTURA PVC-ST1, ANTICHAMA BWF-B, 1 CONDUTOR, 0,6/1 KV, SECAO NOMINAL 35 MM2</t>
  </si>
  <si>
    <t>Material</t>
  </si>
  <si>
    <t xml:space="preserve">M	</t>
  </si>
  <si>
    <t xml:space="preserve">UN	</t>
  </si>
  <si>
    <t xml:space="preserve"> 2.1 </t>
  </si>
  <si>
    <t>FITA ISOLANTE ADESIVA ANTICHAMA, USO ATE 750 V, EM ROLO DE 19 MM X 5 M</t>
  </si>
  <si>
    <t xml:space="preserve">Composição </t>
  </si>
  <si>
    <t xml:space="preserve">COTAÇÃO </t>
  </si>
  <si>
    <t>COTAÇÃO 1</t>
  </si>
  <si>
    <t>COTAÇÃO 2</t>
  </si>
  <si>
    <t>Total Por Etapa</t>
  </si>
  <si>
    <t xml:space="preserve"> 2 </t>
  </si>
  <si>
    <t xml:space="preserve"> 3 </t>
  </si>
  <si>
    <t xml:space="preserve"> 4 </t>
  </si>
  <si>
    <t>CABO DE COBRE FLEXÍVEL ISOLADO, 35 MM², ANTI-CHAMA 0,6/1,0 KV, PARA REDE ENTERRADA DE DISTRIBUIÇÃO DE ENERGIA ELÉTRICA - FORNECIMENTO E INSTALAÇÃO (m)</t>
  </si>
  <si>
    <t>Do poste para a casa de máquinas - piscina 01</t>
  </si>
  <si>
    <t>1.1</t>
  </si>
  <si>
    <t>3.1</t>
  </si>
  <si>
    <t>3.2</t>
  </si>
  <si>
    <t>COTAÇÃO 3</t>
  </si>
  <si>
    <t>COTAÇÃO 03</t>
  </si>
  <si>
    <t>Quantidade</t>
  </si>
  <si>
    <t>3.3</t>
  </si>
  <si>
    <t xml:space="preserve"> 3.3</t>
  </si>
  <si>
    <t xml:space="preserve">002 - GEINFRA </t>
  </si>
  <si>
    <t xml:space="preserve">003 - GEINFRA </t>
  </si>
  <si>
    <t xml:space="preserve">004 - GEINFRA </t>
  </si>
  <si>
    <t>1) COFINS</t>
  </si>
  <si>
    <t>2) PIS</t>
  </si>
  <si>
    <t>3) ISSQN</t>
  </si>
  <si>
    <t>4) CPRB</t>
  </si>
  <si>
    <t>6) Despesas Financeiras</t>
  </si>
  <si>
    <t>7) Seguros + Garantias</t>
  </si>
  <si>
    <t>8) Risco</t>
  </si>
  <si>
    <t>Notas:</t>
  </si>
  <si>
    <t>(1) e (2) Alíquota definida por lei.</t>
  </si>
  <si>
    <t>(3) Alíquota e base de cálculo definidas pela legislação municipal.</t>
  </si>
  <si>
    <t>(5) Valores definidos a partir dos limites no Acórdão nº 2.622/2013 - TCU – Plenário. Valores entre o 1º e 3º quartis.</t>
  </si>
  <si>
    <t>(6) Valor calculado pela expressão matemática do acórdão 2.369/2011 – TCU – Plenário e disponibilizado pela AGETOP em dezembro de 2018. (Foi utilizado para o cálculo a média da Taxa SELIC no período de 11/2017 a 10/2018)</t>
  </si>
  <si>
    <t>(7) Valores definidos pela AGETOP a partir dos limites no Acórdão nº 2.622/2013 - TCU – Plenário. Valores médios. 
Observação da AGETOP: (Seguros contra erros de execução, incêndio e explosão, danos da natureza (vendaval, destelhamento, alagamento, inundação, desmoronamento, geadas etc.), emprego de material defeituoso ou inadequado, roubo e/ou furto qualificado, quebra de equipamentos, desmoronamento de estrutura, nas modalidades de Obras Civis em Construção (OCC); Instalação e Montagem (IM); e Obras Civis em Construção e Instalação e Montagem (OCC/IM). Bem como coberturas adicionais para ampliação dessas coberturas básicas, como: cobertura de responsabilidade civil geral, cobertura de responsabilidade civil cruzada, cobertura de despesas extraordinárias, cobertura de tumultos, cobertura de desentulho do local, cobertura de riscos do fabricante, dentre outras, incluindo o seguro de vida em grupo regido pela convenção coletiva dos trabalhadores na indústria da construção civil). A partir de 24/02/2015 por intermédio da Portaria 449/2015 a Presidência da AGETOP, na pessoa do Senhor Jayme Eduardo Rincon, determinou a exclusão dos valores referentes aos Seguros de Risco de Engenharia e Responsabilidade Civil do Profissional na composição do cálculo do B.D.I..</t>
  </si>
  <si>
    <t>(8) Valores definidos a partir dos limites no Acórdão nº 2.622/2013 - TCU – Plenário. Valores entre 1º e 3° quartis.</t>
  </si>
  <si>
    <t>(9) Valores definidos a partir dos limites definidos no Acórdão nº 2.622/2013 - TCU – Plenário. Valores adotados e praticados no mercado ( “ ex ante ” ) ou aqueles entre os 1º e 3º quartis.</t>
  </si>
  <si>
    <t>5) Administração Central</t>
  </si>
  <si>
    <t>9) Lucro</t>
  </si>
  <si>
    <r>
      <t xml:space="preserve">(*) </t>
    </r>
    <r>
      <rPr>
        <sz val="7"/>
        <rFont val="Times New Roman"/>
        <family val="1"/>
      </rPr>
      <t>A fórmula para estipulação da taxa de BDI estimado adotado é a mesma que foi aplicada para a obtenção das tabelas contidas no Acórdão n. 2.622/2013 – TCUPlenário</t>
    </r>
  </si>
  <si>
    <r>
      <rPr>
        <b/>
        <sz val="7"/>
        <rFont val="Times New Roman"/>
        <family val="1"/>
      </rPr>
      <t>Obs.:</t>
    </r>
    <r>
      <rPr>
        <sz val="7"/>
        <rFont val="Times New Roman"/>
        <family val="1"/>
      </rPr>
      <t xml:space="preserve"> Para obras com valores superiores a </t>
    </r>
    <r>
      <rPr>
        <b/>
        <sz val="7"/>
        <rFont val="Times New Roman"/>
        <family val="1"/>
      </rPr>
      <t xml:space="preserve">R$ 20.000.000,00 </t>
    </r>
    <r>
      <rPr>
        <sz val="7"/>
        <rFont val="Times New Roman"/>
        <family val="1"/>
      </rPr>
      <t>sugere-se recalcular o BDI, dimensionando as taxas de administração central e lucro para patamares inferiores ao estipulado acima.</t>
    </r>
  </si>
  <si>
    <t>CARPINTEIRO DE FORMAS COM ENCARGOS COMPLEMENTARES</t>
  </si>
  <si>
    <t>AJUDANTE DE CARPINTEIRO COM ENCARGOS COMPLEMENTARES</t>
  </si>
  <si>
    <t>AGETOP CIVIL</t>
  </si>
  <si>
    <t>CHAPA DE EMENDA PARA MADEIRAMENTO</t>
  </si>
  <si>
    <t>Kg</t>
  </si>
  <si>
    <t>VIGA APARELHADA  *6 X 12* CM, EM MACARANDUBA, ANGELIM OU EQUIVALENTE DA REGIAO</t>
  </si>
  <si>
    <t>M</t>
  </si>
  <si>
    <t>PARAFUSO ZINCADO ROSCA SOBERBA, CABECA SEXTAVADA, 5/16 " X 110 MM, PARA FIXACAO DE TELHA EM MADEIRA</t>
  </si>
  <si>
    <t>UN</t>
  </si>
  <si>
    <t>PARAFUSO ZINCADO, SEXTAVADO, COM ROSCA SOBERBA, DIAMETRO 3/8", COMPRIMENTO 80 MM</t>
  </si>
  <si>
    <t>PREGO DE ACO POLIDO COM CABECA 19 X 33 (3 X 9)</t>
  </si>
  <si>
    <t>KG</t>
  </si>
  <si>
    <t>SARRAFO *2,5 X 10* CM EM PINUS, MISTA OU EQUIVALENTE DA REGIAO - BRUTA</t>
  </si>
  <si>
    <t>CIMENTO PORTLAND COMPOSTO CP II-32</t>
  </si>
  <si>
    <t>PLACA DE OBRA PLOTADA NA CHAPA 26 (0,50 MM)</t>
  </si>
  <si>
    <t>PLACA DE OBRA (m²)</t>
  </si>
  <si>
    <t>PISCINAS SEMIOLÍMPICAS</t>
  </si>
  <si>
    <t>PISCINA 1 - Área: 417,48m² - Prof.: 1,22m</t>
  </si>
  <si>
    <t>PISCINA 2 - Área: 409,55m² - Prof.: 1,40-1,57m</t>
  </si>
  <si>
    <t>SERVENTE COM ENCARGOS COMPLEMENTARES</t>
  </si>
  <si>
    <t>CASA DE MÁQUINA 01</t>
  </si>
  <si>
    <t>CASA DE MÁQUINA 02</t>
  </si>
  <si>
    <t>Área (m²)</t>
  </si>
  <si>
    <t>SERVIÇOS DIVERSOS</t>
  </si>
  <si>
    <t xml:space="preserve">001 - GEINFRA </t>
  </si>
  <si>
    <t>PEDREIRO COM ENCARGOS COMPLEMENTARES</t>
  </si>
  <si>
    <t>ELETRODO REVESTIDO AWS - E6013, DIAMETRO IGUAL A 2,50 MM</t>
  </si>
  <si>
    <t>FABRICAÇÃO / MONTAGEM</t>
  </si>
  <si>
    <t>TUBO INDUSTRIAL 30X30 CHAPA 18 (1,20 MM)</t>
  </si>
  <si>
    <t>MASSA PLASTICA</t>
  </si>
  <si>
    <t>FERRO REDONDO 1/2" (CHEIO)</t>
  </si>
  <si>
    <t>FERRO CANTONEIRA 1/8 X 1"</t>
  </si>
  <si>
    <t>CHAPA PERFILADA 3/16"</t>
  </si>
  <si>
    <t>DISCO DE DESBASTE 7/8" PARA CONCRETO/FERRO (1/4" X 7")</t>
  </si>
  <si>
    <t>DISCO DE CORTE DIAM. 5/8"- 10"</t>
  </si>
  <si>
    <t>LIXA EM FOLHA PARA FERRO, NUMERO 150</t>
  </si>
  <si>
    <t xml:space="preserve"> 4.1</t>
  </si>
  <si>
    <t>4.1</t>
  </si>
  <si>
    <t>Altura (m)</t>
  </si>
  <si>
    <t>Comprimento (m)</t>
  </si>
  <si>
    <t>AGETOP CIVIL MOD. (180311) - INSTALAÇÃO DE GRADES DE PROTEÇÃO TIPO GAIOLA</t>
  </si>
  <si>
    <t xml:space="preserve">4.2 </t>
  </si>
  <si>
    <t>4.2</t>
  </si>
  <si>
    <t>INSTALAÇÃO DE GRADES DE PROTEÇÃO TIPO GAIOLA (m²)</t>
  </si>
  <si>
    <t>ESCAVAÇÃO MANUAL DE VALA COM PROFUNDIDADE MENOR OU IGUAL A 1,30 M. AF_02/2021</t>
  </si>
  <si>
    <t>m³</t>
  </si>
  <si>
    <t>2.2</t>
  </si>
  <si>
    <t>2.3</t>
  </si>
  <si>
    <t>2.4</t>
  </si>
  <si>
    <t xml:space="preserve">101616	</t>
  </si>
  <si>
    <t>PREPARO DE FUNDO DE VALA COM LARGURA MENOR QUE 1,5 M (ACERTO DO SOLO NATURAL). AF_08/2020</t>
  </si>
  <si>
    <t>2.5</t>
  </si>
  <si>
    <t>2.6</t>
  </si>
  <si>
    <t>COMPACTADOR DE SOLOS DE PERCUSSÃO (SOQUETE) COM MOTOR A GASOLINA 4 TEMPOS, POTÊNCIA 4 CV - CHP DIURNO. AF_08/2015</t>
  </si>
  <si>
    <t xml:space="preserve">	COMPACTADOR DE SOLOS DE PERCUSSÃO (SOQUETE) COM MOTOR A GASOLINA 4 TEMPOS, POTÊNCIA 4 CV - CHI DIURNO. AF_08/2015</t>
  </si>
  <si>
    <t>CHP</t>
  </si>
  <si>
    <t xml:space="preserve"> 2.2</t>
  </si>
  <si>
    <t xml:space="preserve"> 2.4</t>
  </si>
  <si>
    <t>ARGAMASSA TRAÇO 1:4 (EM VOLUME DE CIMENTO E AREIA GROSSA ÚMIDA) PARA CHAPISCO CONVENCIONAL, PREPARO MECÂNICO COM BETONEIRA 400 L. AF_08/2019</t>
  </si>
  <si>
    <t>ARGAMASSA TRAÇO 1:3 (EM VOLUME DE CIMENTO E AREIA MÉDIA ÚMIDA) COM ADIÇÃO DE IMPERMEABILIZANTE, PREPARO MECÂNICO COM BETONEIRA 400 L. AF_08/2019</t>
  </si>
  <si>
    <t>PREPARO DE FUNDO DE VALA COM LARGURA MENOR QUE 1,5 M, COM CAMADA DE BRITA, LANÇAMENTO MANUAL. AF_08/2020</t>
  </si>
  <si>
    <t>Un</t>
  </si>
  <si>
    <t>REATERRO MANUAL DE VALAS, COM PLACA VIBRATÓRIA. AF_08/2023</t>
  </si>
  <si>
    <t>CAMINHÃO PIPA 10.000 L TRUCADO, PESO BRUTO TOTAL 23.000 KG, CARGA ÚTIL MÁXIMA 15.935 KG, DISTÂNCIA ENTRE EIXOS 4,8 M, POTÊNCIA 230 CV, INCLUSIVE TANQUE DE AÇO PARA TRANSPORTE DE ÁGUA - CHP DIURNO. AF_06/20144</t>
  </si>
  <si>
    <t xml:space="preserve">	CAMINHÃO PIPA 10.000 L TRUCADO, PESO BRUTO TOTAL 23.000 KG, CARGA ÚTIL MÁXIMA 15.935 KG, DISTÂNCIA ENTRE EIXOS 4,8 M, POTÊNCIA 230 CV, INCLUSIVE TANQUE DE AÇO PARA TRANSPORTE DE ÁGUA - CHI DIURNO. AF_06/2014</t>
  </si>
  <si>
    <t xml:space="preserve">	5903</t>
  </si>
  <si>
    <t>PLACA VIBRATÓRIA REVERSÍVEL COM MOTOR 4 TEMPOS A GASOLINA, FORÇA CENTRÍFUGA DE 25 KN (2500 KGF), POTÊNCIA 5,5 CV - CHP DIURNO. AF_08/2015</t>
  </si>
  <si>
    <t xml:space="preserve">91277	</t>
  </si>
  <si>
    <t>CHI</t>
  </si>
  <si>
    <t xml:space="preserve"> 2.6</t>
  </si>
  <si>
    <t>Volume (m³)</t>
  </si>
  <si>
    <t>ESCAVAÇÃO MANUAL DE VALA COM PROFUNDIDADE  (m³)</t>
  </si>
  <si>
    <t>PREPARO DE FUNDO DE VALA (ACERTO DO SOLO NATURAL) (m²)</t>
  </si>
  <si>
    <t>ELETRODUTO FLEXÍVEL CORRUGADO, PEAD, DN 50 (1 1/2"), PARA REDE ENTERRADA DE DISTRIBUIÇÃO DE ENERGIA ELÉTRICA  (m)</t>
  </si>
  <si>
    <t>CAIXA ENTERRADA ELÉTRICA RETANGULAR  (un)</t>
  </si>
  <si>
    <t>REATERRO MANUAL DE VALAS (m³)</t>
  </si>
  <si>
    <t>6hs</t>
  </si>
  <si>
    <t>8hs</t>
  </si>
  <si>
    <t>volume</t>
  </si>
  <si>
    <t>CABO DE COBRE FLEXÍVEL ISOLADO, 50 MM², ANTI-CHAMA 0,6/1,0 KV, PARA REDE ENTERRADA DE DISTRIBUIÇÃO DE ENERGIA ELÉTRICA - FORNECIMENTO E INSTALAÇÃO. AF_12/2022</t>
  </si>
  <si>
    <t>2.7</t>
  </si>
  <si>
    <t>2.8</t>
  </si>
  <si>
    <t>2.9</t>
  </si>
  <si>
    <t>2.10</t>
  </si>
  <si>
    <t>2.11</t>
  </si>
  <si>
    <t>DISJUNTOR TRIPOLAR TIPO NEMA, CORRENTE NOMINAL DE 60 ATÉ 100A - FORNECIMENTO E INSTALAÇÃO. AF_10/2020</t>
  </si>
  <si>
    <t>COMISSIONAMENTO DE QUADRO ELÉTRICO</t>
  </si>
  <si>
    <t>REMOÇÃO DE CABOS ELÉTRICOS, COM SEÇÃO DE 25 MM², FORMA MANUAL, SEM REAPROVEITAMENTO. AF_09/2023</t>
  </si>
  <si>
    <t xml:space="preserve"> 1.2</t>
  </si>
  <si>
    <t>CABO DE COBRE, FLEXIVEL, CLASSE 4 OU 5, ISOLACAO EM PVC/A, ANTICHAMA BWF-B, COBERTURA PVC-ST1, ANTICHAMA BWF-B, 1 CONDUTOR, 0,6/1 KV, SECAO NOMINAL 50 MM2</t>
  </si>
  <si>
    <t xml:space="preserve"> 2.7</t>
  </si>
  <si>
    <t xml:space="preserve">1576	</t>
  </si>
  <si>
    <t>TERMINAL A COMPRESSAO EM COBRE ESTANHADO PARA CABO 25 MM2, 1 FURO E 1 COMPRESSAO, PARA PARAFUSO DE FIXACAO M8</t>
  </si>
  <si>
    <t>DISJUNTOR TIPO NEMA, TRIPOLAR 60 ATE 100 A, TENSAO MAXIMA DE 415 V</t>
  </si>
  <si>
    <t xml:space="preserve">0002373	</t>
  </si>
  <si>
    <t xml:space="preserve"> 2.8</t>
  </si>
  <si>
    <t xml:space="preserve"> 2.10</t>
  </si>
  <si>
    <t xml:space="preserve"> 2.11</t>
  </si>
  <si>
    <t xml:space="preserve">	1577</t>
  </si>
  <si>
    <t>CAIXA ENTERRADA ELÉTRICA RETANGULAR, EM ALVENARIA COM BLOCOS DE CONCRETO, FUNDO COM BRITA, DIMENSÕES INTERNAS: 0,8X0,8X0,6 M. AF_12/2020</t>
  </si>
  <si>
    <t xml:space="preserve">BLOCO DE VEDACAO DE CONCRETO, 9 X 19 X 39 CM (CLASSE C - NBR 6136) </t>
  </si>
  <si>
    <t>PEÇA RETANGULAR PRÉ-MOLDADA, VOLUME DE CONCRETO DE 30 A 100 LITROS, TAXA DE AÇO APROXIMADA DE 30KG/M³. AF_01/2018</t>
  </si>
  <si>
    <t>COMISSIONAMENTO DE QUADRO ELÉTRICO - ORGANIZAÇÃO, LIMPEZA E IDENTIFICAÇÃO DE 
CIRCUITOS</t>
  </si>
  <si>
    <t xml:space="preserve">005 - GEINFRA </t>
  </si>
  <si>
    <t xml:space="preserve">006 - GEINFRA </t>
  </si>
  <si>
    <t>SBC-I</t>
  </si>
  <si>
    <t>ELETRICISTA COM ENCARGOS COMPLEMENTARES</t>
  </si>
  <si>
    <t xml:space="preserve">KIT ANILHAS PARA IDENTIFICACAO NUMERICA DE CABOS (100 UNIDADES) </t>
  </si>
  <si>
    <t>ADMINISTRAÇÃO LOCAL</t>
  </si>
  <si>
    <t xml:space="preserve">	SERVENTE COM ENCARGOS COMPLEMENTARES</t>
  </si>
  <si>
    <t xml:space="preserve"> 1.3</t>
  </si>
  <si>
    <t>ART DE EXECUÇÃO DE OBRA - PARTE ELÉTRICA</t>
  </si>
  <si>
    <t>TX</t>
  </si>
  <si>
    <t>tx</t>
  </si>
  <si>
    <t xml:space="preserve"> 1.4</t>
  </si>
  <si>
    <t>ART DE EXECUÇÃO DE OBRA</t>
  </si>
  <si>
    <t xml:space="preserve"> 00000020 </t>
  </si>
  <si>
    <t>Taxas</t>
  </si>
  <si>
    <t xml:space="preserve"> 1.5</t>
  </si>
  <si>
    <t>ENCANADOR OU BOMBEIRO HIDRÁULICO COM ENCARGOS COMPLEMENTARES</t>
  </si>
  <si>
    <t xml:space="preserve"> 1.6</t>
  </si>
  <si>
    <t>TRAN - TRANSPORTES, CARGAS E DESCARGAS</t>
  </si>
  <si>
    <t xml:space="preserve"> 88316 </t>
  </si>
  <si>
    <t>TRANSPORTE DE ENTULHO EM CACAMBA ESTACIONARIA</t>
  </si>
  <si>
    <t>ADMINISTRAÇÃO LOCAL DE OBRA</t>
  </si>
  <si>
    <t>5.1</t>
  </si>
  <si>
    <t xml:space="preserve"> 5.1 </t>
  </si>
  <si>
    <t>SERT - SERVIÇOS TÉCNICOS</t>
  </si>
  <si>
    <t>ENGENHEIRO CIVIL JUNIOR COM ENCARGOS COMPLEMENTARES</t>
  </si>
  <si>
    <t>MES</t>
  </si>
  <si>
    <t xml:space="preserve">	ELETROTÉCNICO COM ENCARGOS COMPLEMENTARES</t>
  </si>
  <si>
    <t>Total sem adm.</t>
  </si>
  <si>
    <t>ADMINISTRAÇÃO</t>
  </si>
  <si>
    <t>0000064</t>
  </si>
  <si>
    <t>SBC</t>
  </si>
  <si>
    <t xml:space="preserve">	m²</t>
  </si>
  <si>
    <t>ART DE EXECUÇÃO DE OBRA (tx)</t>
  </si>
  <si>
    <t>De acordo com tabela do CREA GO</t>
  </si>
  <si>
    <t>1.2</t>
  </si>
  <si>
    <t>1.3</t>
  </si>
  <si>
    <t>REMOÇÃO DE CABOS ELÉTRICOS (m)</t>
  </si>
  <si>
    <t>1.4</t>
  </si>
  <si>
    <t>1.5</t>
  </si>
  <si>
    <t>1.6</t>
  </si>
  <si>
    <t>REMOÇÃO MANUAL DE DISJUNTOR  (un)</t>
  </si>
  <si>
    <t>CABO DE COBRE FLEXÍVEL ISOLADO, 50 MM², ANTI-CHAMA 0,6/1,0 KV, PARA REDE ENTERRADA DE DISTRIBUIÇÃO DE ENERGIA ELÉTRICA - FORNECIMENTO E INSTALAÇÃO (m)</t>
  </si>
  <si>
    <t>COMISSIONAMENTO DE QUADRO ELÉTRICO (un)</t>
  </si>
  <si>
    <t>DISJUNTOR TRIPOLAR TIPO NEMA, CORRENTE NOMINAL DE 60 ATÉ 100A - FORNECIMENTO E INSTALAÇÃO (un)</t>
  </si>
  <si>
    <t>ADMINISTRAÇÃO LOCAL (un)</t>
  </si>
  <si>
    <t>COMPOSIÇÃO DA ADM. LOCAL</t>
  </si>
  <si>
    <t>MÊS</t>
  </si>
  <si>
    <t>ENGENHEIRO CIVIL DE OBRA JUNIOR COM ENCARGOS COMPLEMENTARES</t>
  </si>
  <si>
    <t>ELETRODUTO FLEXÍVEL CORRUGADO, PEAD, DN 63 (2"), PARA REDE ENTERRADADE DISTRIBUIÇÃO DE ENERGIA ELÉTRICA - FORNECIMENTO E INSTALAÇÃO. AF_12/2021</t>
  </si>
  <si>
    <t>ELETRODUTO/DUTO PEAD FLEXIVEL PAREDE SIMPLES, CORRUGACAO HELICOIDAL, COR PRETA, SEM ROSCA, DE 2", CRC 680 N, PARA CABEAMENTO SUBTERRANEO (NBR 15715)</t>
  </si>
  <si>
    <t>SINAPI MOD.</t>
  </si>
  <si>
    <t xml:space="preserve"> 2.5</t>
  </si>
  <si>
    <t>AGETOP CIVIL MOD. (20168) - REMOÇÃO MANUAL DE DISJUNTOR</t>
  </si>
  <si>
    <t xml:space="preserve">007 - GEINFRA </t>
  </si>
  <si>
    <t xml:space="preserve">008 - GEINFRA </t>
  </si>
  <si>
    <t xml:space="preserve">009 - GEINFRA </t>
  </si>
  <si>
    <t xml:space="preserve"> 010 - GEINFRA </t>
  </si>
  <si>
    <t xml:space="preserve">011 - GEINFRA </t>
  </si>
  <si>
    <t xml:space="preserve">012 - GEINFRA </t>
  </si>
  <si>
    <t xml:space="preserve">013 - GEINFRA </t>
  </si>
  <si>
    <t>AGETOP CIVIL MOD. (20168) - REMOÇÃO MANUAL DE INTERRUPTOR/TOMADA ELÉTRICA/DISJUNTOR</t>
  </si>
  <si>
    <t>AGETOP CIVIL MOD. (30105) - TRANSPORTE DE ENTULHO EM CAÇAMBA  ESTACIONÁRIA INCLUSO A CARGA MANUAL</t>
  </si>
  <si>
    <t xml:space="preserve">010 - GEINFRA </t>
  </si>
  <si>
    <t>FORNECIMENTO DE MOTOBOMBA CENTRÍFUGA COM PRÉ-FILTRO COM CAPACIDADE DE VAZÃO PARA RECIRCULAÇÃO E AQUECIMENTO DAS PISCINAS SEMIOLÍMPICAS DE 6hs A 8hs  (un)</t>
  </si>
  <si>
    <t>ADMINISTRAÇÃO LOCAL - PARTE ELÉTRICA</t>
  </si>
  <si>
    <t>1 "perna" (T) de cabo do QGBT até o Quadro do Aquecedor da Piscina 1 em 180m + 10% de perda+1 "perna" (T) de cabo do QGBT até o Quadro do Aquecedor da Piscina 2 em 45m + 10% de perda</t>
  </si>
  <si>
    <t>1 serviço em cada Quadro de Distribuição (Quadro dos Vestiários das Piscinas, Quadro do Aquecedor da Piscina 1, QGBT e Quadro do Aquecedor da Piscina 2)</t>
  </si>
  <si>
    <t>180m de vala mais 10% de perda no eletroduto</t>
  </si>
  <si>
    <t>1 unidade a cada 30m ao longo de 180m</t>
  </si>
  <si>
    <t xml:space="preserve">Do poste para as casas de máquinas </t>
  </si>
  <si>
    <t>Do poste para as casas de máquinas  - piscina 01 e 02</t>
  </si>
  <si>
    <t xml:space="preserve"> 2.9</t>
  </si>
  <si>
    <t>AGETOP CIVIL MOD. (30105) - TRANSPORTE DE ENTULHO INCLUSO A CARGA MANUAL</t>
  </si>
  <si>
    <t>M³</t>
  </si>
  <si>
    <t xml:space="preserve">	M²</t>
  </si>
  <si>
    <t>M²</t>
  </si>
  <si>
    <t>OBRA/SERVIÇO: AQUISIÇÃO E INSTALAÇÃO DE EQUIPAMENTOS DE AQUECIMENTO, MOTOBOMBAS E FILTROS PARA AS PISCINAS SEMIOLÍMPICAS DA PRAÇA DE ESPORTES PEDRO LUDOVICO - GOIÂNIA -GO</t>
  </si>
  <si>
    <t>OBRA/SERVIÇO: AQUISIÇÃO E INSTALAÇÃO DE EQUIPAMENTOS DE AQUECIMENTO, MOTOBOMBAS E FILTROS PARA AS PISCINAS                                               SEMIOLÍMPICAS DA PRAÇA DE ESPORTES PEDRO LUDOVICO - GOIÂNIA -GO</t>
  </si>
  <si>
    <t>1º Quartil</t>
  </si>
  <si>
    <t>Médio</t>
  </si>
  <si>
    <t>3º Quartil</t>
  </si>
  <si>
    <t>% UTILIZADO</t>
  </si>
  <si>
    <t>Alíquota definida por lei</t>
  </si>
  <si>
    <t>COTAÇÃO 04</t>
  </si>
  <si>
    <t>3.4</t>
  </si>
  <si>
    <t xml:space="preserve"> 3.4</t>
  </si>
  <si>
    <t>COTAÇÃO 4</t>
  </si>
  <si>
    <t>Total sem BDI:</t>
  </si>
  <si>
    <t>Total do BDI:</t>
  </si>
  <si>
    <t>Total Geral:</t>
  </si>
  <si>
    <r>
      <t xml:space="preserve">ORSE MOD. (7928) - TERMINAL DE COMPRESSÃO PARA CABO DE 35 MM² - FORNECIMENTO E </t>
    </r>
    <r>
      <rPr>
        <sz val="10"/>
        <rFont val="Arial"/>
        <family val="2"/>
      </rPr>
      <t>INSTALAÇÃO</t>
    </r>
  </si>
  <si>
    <t>Quantidade Reserva</t>
  </si>
  <si>
    <t xml:space="preserve">PISCINA 1 </t>
  </si>
  <si>
    <t xml:space="preserve">PISCINA 2 </t>
  </si>
  <si>
    <t>AGETOP CIVIL MOD. (21301) PLACA DE OBRA PLOTADA EM CHAPA METÁLICA 26 , AFIXADA EM CAVALETES DE MADEIRA DE LEI (VIGOTAS 6X12CM) - PADRÃO GOINFRA</t>
  </si>
  <si>
    <t>(4) Alíquota definida pelas leis 12.546/11, 12844/13 e 13.161/15 (CPRB – contribuição previdenciária sobre a receita bruta). Neste caso ela vai ser zerada, pois estes valores de BDI são para orçamentos onerados (INSS=20% nas leis sociais)</t>
  </si>
  <si>
    <t>2 - BDI REDUZIDO PARA OBRAS DE EDIFICAÇÕES – ITENS DE MERO FORNECIMENTO DE MATERIAIS E EQUIPAMENTOS</t>
  </si>
  <si>
    <t>BDI REDUZIDO ESTIMADO</t>
  </si>
  <si>
    <t>BDI ESTIMADO</t>
  </si>
  <si>
    <t>Os custos deste orçamento foram coletados da TABELA DE CUSTOS DE OBRAS CIVIS - SEM DESONERAÇÃO.</t>
  </si>
  <si>
    <t>não incide</t>
  </si>
  <si>
    <t>Bancos: SINAPI GO - 04/2024; GOINFRA 02/2024; SBC 04/2024 - Não Desonerado</t>
  </si>
  <si>
    <t>Administração local:</t>
  </si>
  <si>
    <r>
      <t xml:space="preserve">Encargos Sociais: </t>
    </r>
    <r>
      <rPr>
        <sz val="10"/>
        <rFont val="Arial"/>
        <family val="2"/>
      </rPr>
      <t>Não Desonerado - embutido nos preços unitário dos insumos de mão de obra, de acordo com a base SINAPI</t>
    </r>
  </si>
  <si>
    <t>DETALHAMENTO DOS BDI's ESTIMADOS NO ORÇAMENTO ONERADO</t>
  </si>
  <si>
    <t>COMPOSIÇÃO DE BDI</t>
  </si>
  <si>
    <t>1 - COMPOSIÇÃO BDI PARA OBRAS CIVIS - CONSTRUÇÃO E REFORMA</t>
  </si>
  <si>
    <t xml:space="preserve">CAIXA ENTERRADA ELÉTRICA RETANGULAR, EM ALVENARIA COM BLOCOS DE CONCRETO, FUNDO COM BRITA, DIMENSÕES INTERNAS: 0,8X0,8X0,6 M. </t>
  </si>
  <si>
    <t xml:space="preserve">ELETRODUTO FLEXÍVEL CORRUGADO, PEAD, DN 63 (2"), PARA REDE ENTERRADADE DISTRIBUIÇÃO DE ENERGIA ELÉTRICA - FORNECIMENTO E INSTALAÇÃO. </t>
  </si>
  <si>
    <t xml:space="preserve">CABO DE COBRE FLEXÍVEL ISOLADO, 50 MM², ANTI-CHAMA 0,6/1,0 KV, PARA REDE ENTERRADA DE DISTRIBUIÇÃO DE ENERGIA ELÉTRICA - FORNECIMENTO E INSTALAÇÃO. </t>
  </si>
  <si>
    <t xml:space="preserve">	REATERRO MANUAL DE VALAS, COM PLACA VIBRATÓRIA. </t>
  </si>
  <si>
    <t xml:space="preserve">PREPARO DE FUNDO DE VALA COM LARGURA MENOR QUE 1,5 M (ACERTO DO SOLO NATURAL). </t>
  </si>
  <si>
    <t>ESCAVAÇÃO MANUAL DE VALA COM PROFUNDIDADE MENOR OU IGUAL A 1,30 M.</t>
  </si>
  <si>
    <t>AGETOP CIVIL MOD. (021301) - PLACA DE OBRA PLOTADA EM CHAPA METÁLICA 26, AFIXADA EM CAVALETES DE MADEIRA DE LEI (VIGOTAS 6X12CM) - PADRÃO GOINFRA</t>
  </si>
  <si>
    <r>
      <t xml:space="preserve">FORNECIMENTO DE </t>
    </r>
    <r>
      <rPr>
        <sz val="10"/>
        <rFont val="Arial"/>
        <family val="2"/>
      </rPr>
      <t>FILTRO DE AREIA</t>
    </r>
    <r>
      <rPr>
        <sz val="10"/>
        <color rgb="FF000000"/>
        <rFont val="Arial"/>
        <family val="1"/>
      </rPr>
      <t xml:space="preserve"> PARA PISCINA SEMIOLÍMPICA</t>
    </r>
  </si>
  <si>
    <t>FORNECIMENTO DE FILTRO DE AREIA PARA PISCINA SEMIOLÍMPICA</t>
  </si>
  <si>
    <t>Dimensão (3,00X2,00m)</t>
  </si>
  <si>
    <t>Valor Total sem BDI</t>
  </si>
  <si>
    <t>Valor Total com BDI</t>
  </si>
  <si>
    <t xml:space="preserve">3.2 </t>
  </si>
  <si>
    <t xml:space="preserve">3.1 </t>
  </si>
  <si>
    <t>ORSE MOD. (7923) - TERMINAL DE COMPRESSÃO PARA CABO DE 50 MM² - FORNECIMENTO E INSTALAÇÃO</t>
  </si>
  <si>
    <t>TRANSPORTE DE ENTULHO EM CAÇAMBA ESTACIONÁRIA INCLUSO A CARGA MANUAL (m³)</t>
  </si>
  <si>
    <t>TERMINAL DE COMPRESSÃO PARA CABO DE 35 MM² - FORNECIMENTO E INSTALAÇÃO  (un)</t>
  </si>
  <si>
    <t>TERMINAL DE COMPRESSÃO PARA CABO DE 50 MM² - FORNECIMENTO E INSTALAÇÃO  (un)</t>
  </si>
  <si>
    <t>ORSE MOD. (7928) - TERMINAL DE COMPRESSÃO PARA CABO DE 35 MM² - FORNECIMENTO E INSTALAÇÃO</t>
  </si>
  <si>
    <t>TERMINAL A COMPRESSAO EM COBRE ESTANHADO PARA CABO 35 MM², 1 FURO E 1 COMPRESSAO, PARA PARAFUSO DE FIXACAO M8</t>
  </si>
  <si>
    <t>TERMINAL A COMPRESSAO EM COBRE ESTANHADO PARA CABO 50 MM², 1 FURO E 1 COMPRESSAO, PARA PARAFUSO DE FIXACAO M8</t>
  </si>
  <si>
    <t>Os filtros de areia deverão se compatíveis com as motobombas e atender a vazão de recirculação da piscina conforme NBR 10.339/2018</t>
  </si>
  <si>
    <t>Sobre a base de cálculo, definir a respectiva alíquota do ISS (entre 2% e 5%)</t>
  </si>
  <si>
    <t>Conforme legislação tributária municipal, definir estimativa de percentual da base de cálculo para o ISS:</t>
  </si>
  <si>
    <r>
      <t xml:space="preserve">Bancos: </t>
    </r>
    <r>
      <rPr>
        <sz val="9"/>
        <color rgb="FF000000"/>
        <rFont val="Times New Roman"/>
        <family val="1"/>
      </rPr>
      <t>SINAPI GO - 04/2024; GOINFRA 02/2024; SBC 04/2024</t>
    </r>
  </si>
  <si>
    <t xml:space="preserve">	PROJETO "AS BUILT" DE INSTALAÇÕES HIDRÁULICAS  E ELÉTRICAS</t>
  </si>
  <si>
    <t>PROJETO "AS BUILT" DE INSTALAÇÕES HIDRÁULICAS E ELÉTRICAS</t>
  </si>
  <si>
    <r>
      <t>PROJETO "</t>
    </r>
    <r>
      <rPr>
        <b/>
        <i/>
        <sz val="10"/>
        <color theme="1"/>
        <rFont val="Calibri"/>
        <family val="2"/>
        <scheme val="minor"/>
      </rPr>
      <t>AS BUILT</t>
    </r>
    <r>
      <rPr>
        <b/>
        <sz val="10"/>
        <color theme="1"/>
        <rFont val="Calibri"/>
        <family val="2"/>
        <scheme val="minor"/>
      </rPr>
      <t>" DE INSTALAÇÕES HIDRÁULICAS E ELÉTRICAS</t>
    </r>
  </si>
  <si>
    <t>FORNECIMENTO DE BOMBA DE CALOR  (TROCADOR) COM CAPACIDADE MÍNIMA DE 240.000 BTU/H - PARA PISCINA SEMIOLÍMPICA</t>
  </si>
  <si>
    <t xml:space="preserve">TROCADOR DE CALOR DE 240.000BTU/H PARA PISCINA SEMIOLÍMPICA  </t>
  </si>
  <si>
    <t>FORNECIMENTO BOMBA DE CALOR (TROCADOR) COM CAPACIDADE MÍNIMA DE 240.000 BTU/H - PARA PISCINA SEMIOLÍMPICA</t>
  </si>
  <si>
    <t>FORNECIMENTO DE BOMBA DE CALOR (TROCADOR) 240.000 BTU/H - PARA PISCINAS SEMIOLÍMPICAS (un)</t>
  </si>
  <si>
    <t>FORNECIMENTO DE MOTOBOMBA CENTRÍFUGA COM PRÉ-FILTRO COM CAPACIDADE DE VAZÃO PARA RECIRCULAÇÃO E AQUECIMENTO DA PISCINA SEMIOLÍMPICA (INCLUSO BOMBA RESERVA)</t>
  </si>
  <si>
    <t>FORNECIMENTO DE MOTOBOMBA CENTRÍFUGA COM PRÉ-FILTRO COM CAPACIDADE PARA RECIRCULAÇÃO E AQUECIMENTO DA PISCINA SEMIOLÍMPICA</t>
  </si>
  <si>
    <t xml:space="preserve">FORNECIMENTO DE MOTOBOMBA CENTRÍFUGA COM PRÉ-FILTRO COM CAPACIDADE PARA RECIRCULAÇÃO E AQUECIMENTO DA PISCINA SEMIOLÍMPICA DE 6hs A 8hs. </t>
  </si>
  <si>
    <t xml:space="preserve">INSTALAÇÃO DAS BOMBAS DE CALOR, MOTOBOMBAS E FILTROS DE AREIA - INCLUSO MATERIAIS HIDRÁULICOS (TUBOS, CONEXÕES, BOCAIS: DISPOSITIVOS DE RETORNO E ASPIRAÇÃO, RALOS DE FUNDO ANTI-APRISIONAMENTO, ETC) E ELÉTRICOS (FIOS, DISJUNTORES, QUADRO DE PROTEÇÃO, QUADRO DE COMANDO DE TEMPERATURA - FULLGAUGE , ETC) PARA 2 (DUAS) CASAS DE MÁQUINAS COM RESPONSÁVEL TÉCNICO E ART </t>
  </si>
  <si>
    <t xml:space="preserve">INSTALAÇÃO DAS BOMBAS DE CALOR, MOTOBOMBAS E FILTROS DE AREIA - INCLUSO MATERIAIS HIDRÁULICOS (TUBOS, CONEXÕES, BOCAIS, RALOS DE FUNDO ANTI-APRISIONAMENTO, ETC) E ELÉTRICOS (FIOS, DISJUNTORES, QUADRO DE PROTEÇÃO, QUADRO DE TEMPERATURA, ETC) PARA 2 (DUAS) CASAS DE MÁQUINAS E ART </t>
  </si>
  <si>
    <t>REMOÇÃO DE FILTROS E RALOS COM REAPROVEITAMENTO</t>
  </si>
  <si>
    <t xml:space="preserve">INSTALAÇÃO DAS BOMBAS DE CALOR, MOTOBOMBAS E FILTROS DE AREIA - INCLUSO MATERIAIS HIDRÁULICOS (TUBOS, CONEXÕES, BOCAIS, RALOS DE FUNDO ANTI-APRISIONAMENTO, ETC) E ELÉTRICOS (FIOS, DISJUNTORES, QUADRO DE PROTEÇÃO, QUADRO DE TEMPERATURA, ETC) PARA 2 (DUAS) CASAS DE MÁQUINAS COM RESPONSÁVEL TÉCNICO E ART </t>
  </si>
  <si>
    <t>Características:</t>
  </si>
  <si>
    <t>Tanque em resina de poliester reforçado com fibra de vidro com tampa de inspeção do interior do filtro;</t>
  </si>
  <si>
    <t>Areia especial para filtro, composta de pedregulho e areia sílica livre de carbonatos e matéria orgânica, com granulometria controlada</t>
  </si>
  <si>
    <t>A motobomba deverá conter pré-filtro (retentor de cabelos) e atender a vazão de recirculação da piscina conforme NBR 10.339/2018</t>
  </si>
  <si>
    <t>4.3</t>
  </si>
  <si>
    <t xml:space="preserve">Quantidade </t>
  </si>
  <si>
    <t>REMOÇÃO DE FILTROS E RALOS COM REAPROVEITAMENTO (un)</t>
  </si>
  <si>
    <t>Casa de máquinas e piscinas</t>
  </si>
  <si>
    <t>LIMPEZA DE SUPERFÍCIE COM JATO DE ALTA PRESSÃO. AF_04/2019</t>
  </si>
  <si>
    <t>1.7</t>
  </si>
  <si>
    <t>LAVADORA DE ALTA PRESSAO (LAVA-JATO) PARA AGUA FRIA, PRESSAO DE OPERACAO ENTRE 1400 E 1900 LIB/POL2, VAZAO MAXIMA ENTRE 400 E 700 L/H - CHP DIURNO. AF_05/2023</t>
  </si>
  <si>
    <t>LIMPEZA DE SUPERFÍCIE (m²)</t>
  </si>
  <si>
    <t xml:space="preserve">AGETOP CIVIL MOD. (270501) - LIMPEZA FINAL </t>
  </si>
  <si>
    <t>LIMPEZA FINAL  (m²)</t>
  </si>
  <si>
    <t xml:space="preserve">014 - GEINFRA </t>
  </si>
  <si>
    <t xml:space="preserve">Os trocadores de calor deverão atender as especificações de qualidade, normas e instrução do fabricante, garantindo a temperatura desejada de 28ºC a 32ºC. </t>
  </si>
  <si>
    <t>Pontos para escorva de ar interno e drenagem com registro de gaveta ou vávula de esfera;</t>
  </si>
  <si>
    <t>FORNECIMENTO DE FILTRO DE AREIA DE FIBRA DE VIDRO PARA 2 (DUAS) PISCINAS SEMIOLÍMPICAS - INCLUSO AREIA (un)</t>
  </si>
  <si>
    <t>FORNECIMENTO DE FILTRO DE AREIA DE FIBRA DE VIDRO - INCLUSO AREIA</t>
  </si>
  <si>
    <t>1 unidade em cada Quadro de Distribuição (Quadro dos Vestiários das Piscinas e QGBT)</t>
  </si>
  <si>
    <t>100,00%
445.993,02</t>
  </si>
  <si>
    <t>100,00%
4.379,76</t>
  </si>
  <si>
    <t>100,00%
5.492,84</t>
  </si>
  <si>
    <t>RASGO LINEAR MECANIZADO EM CONTRAPISO  (m)</t>
  </si>
  <si>
    <t>RASGO LINEAR MECANIZADO EM CONTRAPISO, PARA RAMAIS/ DISTRIBUIÇÃO DE INSTALAÇÕES HIDRÁULICAS, DIÂMETROS MENORES OU IGUAIS A 40 MM. AF_09/2023_PS</t>
  </si>
  <si>
    <t>RASGO LINEAR MECANIZADO EM CONTRAPISO, PARA RAMAIS/ DISTRIBUIÇÃO DE INSTALAÇÕES, DIÂMETROS MENORES OU IGUAIS A 40 MM. AF_09/2023_PS</t>
  </si>
  <si>
    <t>Estimado - somente nos locais necessários</t>
  </si>
  <si>
    <t>2.12</t>
  </si>
  <si>
    <t>2.13</t>
  </si>
  <si>
    <t xml:space="preserve"> 2.3 </t>
  </si>
  <si>
    <t xml:space="preserve"> 90444 </t>
  </si>
  <si>
    <t>INHI - INSTALAÇÕES HIDROS SANITÁRIAS</t>
  </si>
  <si>
    <t xml:space="preserve"> 102274 </t>
  </si>
  <si>
    <t>MARTELO DEMOLIDOR ELÉTRICO, COM POTÊNCIA DE 2.000 W, 1.000 IMPACTOS POR MINUTO, PESO DE 30 KG -  CHI DIURNO. AF_01/2021</t>
  </si>
  <si>
    <t>CHOR - CUSTOS HORÁRIOS DE MÁQUINAS E EQUIPAMENTOS</t>
  </si>
  <si>
    <t xml:space="preserve"> 102275 </t>
  </si>
  <si>
    <t>MARTELO DEMOLIDOR ELÉTRICO, COM POTÊNCIA DE 2.000 W, 1.000 IMPACTOS POR MINUTO, PESO DE 30 KG - CHP DIURNO. AF_01/2021</t>
  </si>
  <si>
    <t xml:space="preserve"> 88248 </t>
  </si>
  <si>
    <t>AUXILIAR DE ENCANADOR OU BOMBEIRO HIDRÁULICO COM ENCARGOS COMPLEMENTARES</t>
  </si>
  <si>
    <t xml:space="preserve"> 88298 </t>
  </si>
  <si>
    <t>OPERADOR DE MARTELETE OU MARTELETEIRO COM ENCARGOS COMPLEMENTARES</t>
  </si>
  <si>
    <t xml:space="preserve"> 2.12</t>
  </si>
  <si>
    <t xml:space="preserve"> 2.13</t>
  </si>
  <si>
    <t>SBC MOD. (171352) - CONTRAPISO ARGAMASSA PREFABRICADA QUALIMASSA 5,0cm</t>
  </si>
  <si>
    <t>PISO - PISOS</t>
  </si>
  <si>
    <t xml:space="preserve"> 88309 </t>
  </si>
  <si>
    <t xml:space="preserve"> 087021 </t>
  </si>
  <si>
    <t>ARGAMASSA PREFABRICADA PARA CONTRAPISO MATRIX VOTORANTIN (12,80 kg/m2xcm)</t>
  </si>
  <si>
    <t xml:space="preserve">015 - GEINFRA </t>
  </si>
  <si>
    <t>RECOMPOSIÇÃO DO CONTRAPISO (m³)</t>
  </si>
  <si>
    <t>SBC MOD. (171352) - RECOMPOSIÇÃO DO CONTRAPISO ARGAMASSA PREFABRICADA - 5,0cm</t>
  </si>
  <si>
    <t>100,00%
3.995,36</t>
  </si>
  <si>
    <t>100,00%
84.633,78</t>
  </si>
  <si>
    <r>
      <t xml:space="preserve">B.D.I.: </t>
    </r>
    <r>
      <rPr>
        <sz val="10"/>
        <color rgb="FF000000"/>
        <rFont val="Times New Roman"/>
        <family val="1"/>
      </rPr>
      <t>24,11%</t>
    </r>
    <r>
      <rPr>
        <b/>
        <sz val="10"/>
        <color rgb="FF000000"/>
        <rFont val="Times New Roman"/>
        <family val="1"/>
      </rPr>
      <t xml:space="preserve"> / B.D.I. DIFERENCIADO: </t>
    </r>
    <r>
      <rPr>
        <sz val="10"/>
        <color rgb="FF000000"/>
        <rFont val="Times New Roman"/>
        <family val="1"/>
      </rPr>
      <t>15,28%</t>
    </r>
  </si>
  <si>
    <t>60 DIAS</t>
  </si>
  <si>
    <t>Porcentagem dos Serv. Exec. em relação ao custo total da obra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</si>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</sst>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\ %"/>
    <numFmt numFmtId="167" formatCode="#,##0.0000000"/>
    <numFmt numFmtId="168" formatCode="0.000000"/>
  </numFmts>
  <fonts count="4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Arial"/>
      <family val="1"/>
    </font>
    <font>
      <b/>
      <sz val="11"/>
      <name val="Arial"/>
      <family val="1"/>
    </font>
    <font>
      <b/>
      <sz val="12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0"/>
      <name val="Arial"/>
      <family val="2"/>
    </font>
    <font>
      <sz val="12"/>
      <name val="Arial"/>
      <family val="1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name val="Arial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Arial"/>
      <family val="1"/>
    </font>
    <font>
      <sz val="11"/>
      <color rgb="FF000000"/>
      <name val="Times New Roman"/>
      <family val="1"/>
    </font>
    <font>
      <b/>
      <sz val="10"/>
      <color rgb="FFFF0000"/>
      <name val="Arial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rgb="FFFFFFFF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7"/>
      <color rgb="FF000000"/>
      <name val="Times New Roman"/>
      <family val="1"/>
    </font>
    <font>
      <sz val="8"/>
      <name val="Calibri"/>
      <family val="2"/>
      <scheme val="minor"/>
    </font>
    <font>
      <sz val="8"/>
      <name val="Times New Roman"/>
      <family val="1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EFEFEF"/>
      </patternFill>
    </fill>
    <fill>
      <patternFill patternType="solid">
        <fgColor rgb="FFD6D6D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FF5500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0" fillId="0" borderId="0"/>
    <xf numFmtId="0" fontId="15" fillId="0" borderId="0"/>
    <xf numFmtId="9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7">
    <xf numFmtId="0" fontId="0" fillId="0" borderId="0" xfId="0" applyAlignment="1">
      <alignment horizontal="left" vertical="top"/>
    </xf>
    <xf numFmtId="0" fontId="4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left" vertical="top" wrapText="1"/>
    </xf>
    <xf numFmtId="0" fontId="0" fillId="0" borderId="0" xfId="0"/>
    <xf numFmtId="10" fontId="4" fillId="3" borderId="0" xfId="0" applyNumberFormat="1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right" vertical="top" wrapText="1"/>
    </xf>
    <xf numFmtId="0" fontId="5" fillId="3" borderId="6" xfId="0" applyFont="1" applyFill="1" applyBorder="1" applyAlignment="1">
      <alignment horizontal="center" vertical="top" wrapText="1"/>
    </xf>
    <xf numFmtId="2" fontId="5" fillId="3" borderId="6" xfId="0" applyNumberFormat="1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left" vertical="top" wrapText="1"/>
    </xf>
    <xf numFmtId="2" fontId="7" fillId="4" borderId="6" xfId="0" applyNumberFormat="1" applyFont="1" applyFill="1" applyBorder="1" applyAlignment="1">
      <alignment horizontal="right" vertical="top" wrapText="1"/>
    </xf>
    <xf numFmtId="164" fontId="7" fillId="4" borderId="6" xfId="0" applyNumberFormat="1" applyFont="1" applyFill="1" applyBorder="1" applyAlignment="1">
      <alignment horizontal="right" vertical="top" wrapText="1"/>
    </xf>
    <xf numFmtId="165" fontId="7" fillId="4" borderId="6" xfId="0" applyNumberFormat="1" applyFont="1" applyFill="1" applyBorder="1" applyAlignment="1">
      <alignment horizontal="right" vertical="top" wrapText="1"/>
    </xf>
    <xf numFmtId="0" fontId="8" fillId="5" borderId="6" xfId="0" applyFont="1" applyFill="1" applyBorder="1" applyAlignment="1">
      <alignment horizontal="right" vertical="top" wrapText="1"/>
    </xf>
    <xf numFmtId="0" fontId="8" fillId="5" borderId="6" xfId="0" applyFont="1" applyFill="1" applyBorder="1" applyAlignment="1">
      <alignment horizontal="center" vertical="top" wrapText="1"/>
    </xf>
    <xf numFmtId="2" fontId="7" fillId="4" borderId="6" xfId="0" applyNumberFormat="1" applyFont="1" applyFill="1" applyBorder="1" applyAlignment="1">
      <alignment horizontal="center" vertical="top" wrapText="1"/>
    </xf>
    <xf numFmtId="164" fontId="7" fillId="4" borderId="6" xfId="0" applyNumberFormat="1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4" fillId="3" borderId="0" xfId="0" applyFont="1" applyFill="1" applyAlignment="1">
      <alignment horizontal="center" vertical="top" wrapText="1"/>
    </xf>
    <xf numFmtId="0" fontId="1" fillId="0" borderId="0" xfId="7" applyAlignment="1">
      <alignment horizontal="left" vertical="top"/>
    </xf>
    <xf numFmtId="167" fontId="8" fillId="5" borderId="6" xfId="0" applyNumberFormat="1" applyFont="1" applyFill="1" applyBorder="1" applyAlignment="1">
      <alignment horizontal="right" vertical="top" wrapText="1"/>
    </xf>
    <xf numFmtId="4" fontId="8" fillId="5" borderId="6" xfId="0" applyNumberFormat="1" applyFont="1" applyFill="1" applyBorder="1" applyAlignment="1">
      <alignment horizontal="right" vertical="top" wrapText="1"/>
    </xf>
    <xf numFmtId="0" fontId="9" fillId="6" borderId="6" xfId="0" applyFont="1" applyFill="1" applyBorder="1" applyAlignment="1">
      <alignment horizontal="right" vertical="top" wrapText="1"/>
    </xf>
    <xf numFmtId="0" fontId="9" fillId="6" borderId="6" xfId="0" applyFont="1" applyFill="1" applyBorder="1" applyAlignment="1">
      <alignment horizontal="center" vertical="top" wrapText="1"/>
    </xf>
    <xf numFmtId="167" fontId="9" fillId="6" borderId="6" xfId="0" applyNumberFormat="1" applyFont="1" applyFill="1" applyBorder="1" applyAlignment="1">
      <alignment horizontal="right" vertical="top" wrapText="1"/>
    </xf>
    <xf numFmtId="4" fontId="9" fillId="6" borderId="6" xfId="0" applyNumberFormat="1" applyFont="1" applyFill="1" applyBorder="1" applyAlignment="1">
      <alignment horizontal="right" vertical="top" wrapText="1"/>
    </xf>
    <xf numFmtId="4" fontId="9" fillId="3" borderId="0" xfId="0" applyNumberFormat="1" applyFont="1" applyFill="1" applyAlignment="1">
      <alignment horizontal="right" vertical="top" wrapText="1"/>
    </xf>
    <xf numFmtId="167" fontId="4" fillId="3" borderId="0" xfId="0" applyNumberFormat="1" applyFont="1" applyFill="1" applyAlignment="1">
      <alignment horizontal="right" vertical="top" wrapText="1"/>
    </xf>
    <xf numFmtId="4" fontId="4" fillId="3" borderId="0" xfId="0" applyNumberFormat="1" applyFont="1" applyFill="1" applyAlignment="1">
      <alignment horizontal="right" vertical="top" wrapText="1"/>
    </xf>
    <xf numFmtId="0" fontId="9" fillId="7" borderId="6" xfId="0" applyFont="1" applyFill="1" applyBorder="1" applyAlignment="1">
      <alignment horizontal="right" vertical="top" wrapText="1"/>
    </xf>
    <xf numFmtId="0" fontId="9" fillId="7" borderId="6" xfId="0" applyFont="1" applyFill="1" applyBorder="1" applyAlignment="1">
      <alignment horizontal="center" vertical="top" wrapText="1"/>
    </xf>
    <xf numFmtId="167" fontId="9" fillId="7" borderId="6" xfId="0" applyNumberFormat="1" applyFont="1" applyFill="1" applyBorder="1" applyAlignment="1">
      <alignment horizontal="right" vertical="top" wrapText="1"/>
    </xf>
    <xf numFmtId="4" fontId="9" fillId="7" borderId="6" xfId="0" applyNumberFormat="1" applyFont="1" applyFill="1" applyBorder="1" applyAlignment="1">
      <alignment horizontal="right" vertical="top" wrapText="1"/>
    </xf>
    <xf numFmtId="0" fontId="1" fillId="0" borderId="0" xfId="0" applyFont="1"/>
    <xf numFmtId="0" fontId="0" fillId="0" borderId="0" xfId="0"/>
    <xf numFmtId="0" fontId="0" fillId="0" borderId="0" xfId="0"/>
    <xf numFmtId="0" fontId="4" fillId="3" borderId="0" xfId="0" applyFont="1" applyFill="1" applyAlignment="1">
      <alignment horizontal="right" vertical="top" wrapText="1"/>
    </xf>
    <xf numFmtId="0" fontId="9" fillId="6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9" fillId="7" borderId="6" xfId="0" applyFont="1" applyFill="1" applyBorder="1" applyAlignment="1">
      <alignment horizontal="left" vertical="top" wrapText="1"/>
    </xf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0" xfId="0"/>
    <xf numFmtId="0" fontId="21" fillId="9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left" vertical="center" wrapText="1"/>
    </xf>
    <xf numFmtId="43" fontId="18" fillId="9" borderId="0" xfId="6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1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43" fontId="16" fillId="0" borderId="0" xfId="6" applyFont="1" applyFill="1" applyBorder="1" applyAlignment="1">
      <alignment horizontal="center" vertical="center"/>
    </xf>
    <xf numFmtId="0" fontId="21" fillId="0" borderId="1" xfId="0" applyFont="1" applyBorder="1"/>
    <xf numFmtId="0" fontId="17" fillId="0" borderId="1" xfId="0" applyFont="1" applyBorder="1"/>
    <xf numFmtId="2" fontId="17" fillId="0" borderId="1" xfId="0" applyNumberFormat="1" applyFont="1" applyBorder="1" applyAlignment="1">
      <alignment horizontal="center"/>
    </xf>
    <xf numFmtId="0" fontId="21" fillId="9" borderId="0" xfId="0" applyFont="1" applyFill="1" applyAlignment="1">
      <alignment horizontal="left" vertical="center"/>
    </xf>
    <xf numFmtId="0" fontId="22" fillId="8" borderId="6" xfId="0" applyFont="1" applyFill="1" applyBorder="1" applyAlignment="1">
      <alignment horizontal="left" vertical="top" wrapText="1"/>
    </xf>
    <xf numFmtId="0" fontId="22" fillId="8" borderId="6" xfId="0" applyFont="1" applyFill="1" applyBorder="1" applyAlignment="1">
      <alignment horizontal="right" vertical="top" wrapText="1"/>
    </xf>
    <xf numFmtId="4" fontId="22" fillId="8" borderId="6" xfId="0" applyNumberFormat="1" applyFont="1" applyFill="1" applyBorder="1" applyAlignment="1">
      <alignment horizontal="right" vertical="top" wrapText="1"/>
    </xf>
    <xf numFmtId="0" fontId="23" fillId="0" borderId="0" xfId="0" applyFont="1"/>
    <xf numFmtId="0" fontId="17" fillId="0" borderId="0" xfId="0" applyFont="1" applyBorder="1"/>
    <xf numFmtId="2" fontId="17" fillId="0" borderId="0" xfId="0" applyNumberFormat="1" applyFont="1" applyBorder="1" applyAlignment="1">
      <alignment horizontal="center"/>
    </xf>
    <xf numFmtId="0" fontId="4" fillId="3" borderId="0" xfId="0" applyFont="1" applyFill="1" applyAlignment="1">
      <alignment horizontal="right" vertical="top" wrapText="1"/>
    </xf>
    <xf numFmtId="0" fontId="9" fillId="3" borderId="0" xfId="0" applyFont="1" applyFill="1" applyAlignment="1">
      <alignment horizontal="center" vertical="top" wrapText="1"/>
    </xf>
    <xf numFmtId="0" fontId="0" fillId="0" borderId="0" xfId="0"/>
    <xf numFmtId="0" fontId="5" fillId="3" borderId="6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9" fillId="7" borderId="6" xfId="0" applyFont="1" applyFill="1" applyBorder="1" applyAlignment="1">
      <alignment horizontal="left" vertical="top" wrapText="1"/>
    </xf>
    <xf numFmtId="0" fontId="0" fillId="0" borderId="0" xfId="0"/>
    <xf numFmtId="0" fontId="4" fillId="3" borderId="0" xfId="0" applyFont="1" applyFill="1" applyAlignment="1">
      <alignment horizontal="right" vertical="top" wrapText="1"/>
    </xf>
    <xf numFmtId="0" fontId="9" fillId="7" borderId="6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26" fillId="0" borderId="0" xfId="0" applyFont="1"/>
    <xf numFmtId="4" fontId="0" fillId="0" borderId="0" xfId="0" applyNumberFormat="1"/>
    <xf numFmtId="0" fontId="25" fillId="0" borderId="0" xfId="7" applyFont="1"/>
    <xf numFmtId="0" fontId="31" fillId="0" borderId="1" xfId="7" applyFont="1" applyBorder="1" applyAlignment="1">
      <alignment vertical="center"/>
    </xf>
    <xf numFmtId="10" fontId="31" fillId="0" borderId="1" xfId="7" applyNumberFormat="1" applyFont="1" applyBorder="1" applyAlignment="1">
      <alignment horizontal="center" vertical="center"/>
    </xf>
    <xf numFmtId="0" fontId="25" fillId="0" borderId="0" xfId="7" applyFont="1" applyAlignment="1">
      <alignment horizontal="right"/>
    </xf>
    <xf numFmtId="0" fontId="8" fillId="5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 vertical="center" wrapText="1"/>
    </xf>
    <xf numFmtId="2" fontId="8" fillId="5" borderId="6" xfId="0" applyNumberFormat="1" applyFont="1" applyFill="1" applyBorder="1" applyAlignment="1">
      <alignment horizontal="center" vertical="center" wrapText="1"/>
    </xf>
    <xf numFmtId="164" fontId="8" fillId="5" borderId="6" xfId="0" applyNumberFormat="1" applyFont="1" applyFill="1" applyBorder="1" applyAlignment="1">
      <alignment horizontal="right" vertical="center" wrapText="1"/>
    </xf>
    <xf numFmtId="10" fontId="8" fillId="5" borderId="6" xfId="0" applyNumberFormat="1" applyFont="1" applyFill="1" applyBorder="1" applyAlignment="1">
      <alignment horizontal="righ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top" wrapText="1"/>
    </xf>
    <xf numFmtId="0" fontId="28" fillId="10" borderId="7" xfId="7" applyFont="1" applyFill="1" applyBorder="1" applyAlignment="1">
      <alignment vertical="center"/>
    </xf>
    <xf numFmtId="0" fontId="28" fillId="10" borderId="9" xfId="7" applyFont="1" applyFill="1" applyBorder="1" applyAlignment="1">
      <alignment vertical="center"/>
    </xf>
    <xf numFmtId="0" fontId="28" fillId="10" borderId="11" xfId="7" applyFont="1" applyFill="1" applyBorder="1" applyAlignment="1">
      <alignment vertical="center"/>
    </xf>
    <xf numFmtId="0" fontId="33" fillId="0" borderId="0" xfId="7" applyFont="1"/>
    <xf numFmtId="0" fontId="33" fillId="0" borderId="0" xfId="7" applyFont="1" applyAlignment="1">
      <alignment horizontal="right"/>
    </xf>
    <xf numFmtId="0" fontId="33" fillId="0" borderId="0" xfId="7" applyFont="1" applyAlignment="1">
      <alignment horizontal="left" vertical="center" wrapText="1"/>
    </xf>
    <xf numFmtId="0" fontId="33" fillId="10" borderId="0" xfId="7" applyFont="1" applyFill="1"/>
    <xf numFmtId="0" fontId="33" fillId="10" borderId="0" xfId="7" applyFont="1" applyFill="1" applyAlignment="1">
      <alignment horizontal="right"/>
    </xf>
    <xf numFmtId="0" fontId="35" fillId="0" borderId="0" xfId="7" applyFont="1" applyAlignment="1">
      <alignment horizontal="left" vertical="top"/>
    </xf>
    <xf numFmtId="2" fontId="21" fillId="9" borderId="0" xfId="0" applyNumberFormat="1" applyFont="1" applyFill="1" applyAlignment="1">
      <alignment horizontal="right" vertical="center"/>
    </xf>
    <xf numFmtId="0" fontId="9" fillId="3" borderId="0" xfId="0" applyFont="1" applyFill="1" applyAlignment="1">
      <alignment horizontal="center" vertical="top" wrapText="1"/>
    </xf>
    <xf numFmtId="0" fontId="0" fillId="0" borderId="0" xfId="0"/>
    <xf numFmtId="0" fontId="4" fillId="3" borderId="0" xfId="0" applyFont="1" applyFill="1" applyAlignment="1">
      <alignment horizontal="right" vertical="top" wrapText="1"/>
    </xf>
    <xf numFmtId="0" fontId="8" fillId="5" borderId="6" xfId="0" applyFont="1" applyFill="1" applyBorder="1" applyAlignment="1">
      <alignment horizontal="left" vertical="top" wrapText="1"/>
    </xf>
    <xf numFmtId="0" fontId="9" fillId="7" borderId="6" xfId="0" applyFont="1" applyFill="1" applyBorder="1" applyAlignment="1">
      <alignment horizontal="left" vertical="top" wrapText="1"/>
    </xf>
    <xf numFmtId="167" fontId="4" fillId="0" borderId="0" xfId="0" applyNumberFormat="1" applyFont="1" applyAlignment="1">
      <alignment horizontal="right" vertical="top" wrapText="1"/>
    </xf>
    <xf numFmtId="0" fontId="0" fillId="0" borderId="0" xfId="0"/>
    <xf numFmtId="0" fontId="4" fillId="3" borderId="0" xfId="0" applyFont="1" applyFill="1" applyAlignment="1">
      <alignment horizontal="righ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9" fillId="7" borderId="6" xfId="0" applyFont="1" applyFill="1" applyBorder="1" applyAlignment="1">
      <alignment horizontal="left" vertical="top" wrapText="1"/>
    </xf>
    <xf numFmtId="0" fontId="22" fillId="8" borderId="6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0" fillId="0" borderId="0" xfId="0"/>
    <xf numFmtId="0" fontId="4" fillId="3" borderId="0" xfId="0" applyFont="1" applyFill="1" applyAlignment="1">
      <alignment horizontal="right" vertical="top" wrapText="1"/>
    </xf>
    <xf numFmtId="0" fontId="5" fillId="3" borderId="6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9" fillId="7" borderId="6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0" fillId="0" borderId="0" xfId="0"/>
    <xf numFmtId="4" fontId="9" fillId="6" borderId="6" xfId="0" applyNumberFormat="1" applyFont="1" applyFill="1" applyBorder="1" applyAlignment="1">
      <alignment horizontal="right" vertical="center" wrapText="1"/>
    </xf>
    <xf numFmtId="43" fontId="17" fillId="0" borderId="0" xfId="6" applyFont="1" applyFill="1" applyBorder="1" applyAlignment="1">
      <alignment horizontal="center" vertical="center"/>
    </xf>
    <xf numFmtId="0" fontId="19" fillId="0" borderId="2" xfId="0" applyFont="1" applyBorder="1" applyAlignment="1">
      <alignment vertical="center" wrapText="1"/>
    </xf>
    <xf numFmtId="4" fontId="5" fillId="8" borderId="6" xfId="0" applyNumberFormat="1" applyFont="1" applyFill="1" applyBorder="1" applyAlignment="1">
      <alignment horizontal="right" vertical="top" wrapText="1"/>
    </xf>
    <xf numFmtId="0" fontId="36" fillId="0" borderId="0" xfId="0" applyFont="1" applyBorder="1" applyAlignment="1">
      <alignment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0" fillId="0" borderId="0" xfId="0"/>
    <xf numFmtId="0" fontId="4" fillId="3" borderId="0" xfId="0" applyFont="1" applyFill="1" applyAlignment="1">
      <alignment horizontal="right" vertical="top" wrapText="1"/>
    </xf>
    <xf numFmtId="0" fontId="5" fillId="3" borderId="6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9" fillId="7" borderId="6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center" vertical="center" wrapText="1"/>
    </xf>
    <xf numFmtId="2" fontId="9" fillId="5" borderId="6" xfId="0" applyNumberFormat="1" applyFont="1" applyFill="1" applyBorder="1" applyAlignment="1">
      <alignment horizontal="center" vertical="center" wrapText="1"/>
    </xf>
    <xf numFmtId="164" fontId="9" fillId="5" borderId="6" xfId="0" applyNumberFormat="1" applyFont="1" applyFill="1" applyBorder="1" applyAlignment="1">
      <alignment horizontal="right" vertical="center" wrapText="1"/>
    </xf>
    <xf numFmtId="0" fontId="0" fillId="0" borderId="0" xfId="0"/>
    <xf numFmtId="0" fontId="4" fillId="3" borderId="0" xfId="0" applyFont="1" applyFill="1" applyAlignment="1">
      <alignment horizontal="right" vertical="top" wrapText="1"/>
    </xf>
    <xf numFmtId="0" fontId="9" fillId="7" borderId="6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right" vertical="top" wrapText="1"/>
    </xf>
    <xf numFmtId="0" fontId="5" fillId="3" borderId="6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4" fontId="4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22" fillId="8" borderId="6" xfId="0" applyFont="1" applyFill="1" applyBorder="1" applyAlignment="1">
      <alignment horizontal="left" vertical="top" wrapText="1"/>
    </xf>
    <xf numFmtId="0" fontId="21" fillId="9" borderId="0" xfId="0" applyFont="1" applyFill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43" fontId="21" fillId="0" borderId="0" xfId="6" applyFont="1" applyFill="1" applyAlignment="1">
      <alignment horizontal="left" vertical="center"/>
    </xf>
    <xf numFmtId="0" fontId="38" fillId="0" borderId="2" xfId="0" applyFont="1" applyBorder="1"/>
    <xf numFmtId="43" fontId="38" fillId="0" borderId="1" xfId="6" applyFont="1" applyFill="1" applyBorder="1" applyAlignment="1"/>
    <xf numFmtId="168" fontId="38" fillId="0" borderId="1" xfId="0" applyNumberFormat="1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0" fillId="0" borderId="0" xfId="0"/>
    <xf numFmtId="0" fontId="4" fillId="3" borderId="0" xfId="0" applyFont="1" applyFill="1" applyAlignment="1">
      <alignment horizontal="right" vertical="top" wrapText="1"/>
    </xf>
    <xf numFmtId="0" fontId="8" fillId="5" borderId="6" xfId="0" applyFont="1" applyFill="1" applyBorder="1" applyAlignment="1">
      <alignment horizontal="left" vertical="top" wrapText="1"/>
    </xf>
    <xf numFmtId="10" fontId="0" fillId="0" borderId="0" xfId="10" applyNumberFormat="1" applyFont="1"/>
    <xf numFmtId="0" fontId="0" fillId="0" borderId="0" xfId="0"/>
    <xf numFmtId="0" fontId="9" fillId="7" borderId="6" xfId="0" applyFont="1" applyFill="1" applyBorder="1" applyAlignment="1">
      <alignment horizontal="left" vertical="top" wrapText="1"/>
    </xf>
    <xf numFmtId="0" fontId="0" fillId="0" borderId="0" xfId="0"/>
    <xf numFmtId="0" fontId="21" fillId="0" borderId="1" xfId="0" applyFont="1" applyBorder="1" applyAlignment="1">
      <alignment horizontal="center" vertical="center"/>
    </xf>
    <xf numFmtId="43" fontId="16" fillId="0" borderId="0" xfId="0" applyNumberFormat="1" applyFont="1"/>
    <xf numFmtId="0" fontId="40" fillId="0" borderId="0" xfId="0" applyFont="1" applyBorder="1" applyAlignment="1">
      <alignment vertical="center" wrapText="1"/>
    </xf>
    <xf numFmtId="3" fontId="21" fillId="9" borderId="0" xfId="0" applyNumberFormat="1" applyFont="1" applyFill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43" fontId="17" fillId="0" borderId="0" xfId="6" applyFont="1" applyAlignment="1">
      <alignment horizontal="center" vertical="center"/>
    </xf>
    <xf numFmtId="43" fontId="17" fillId="0" borderId="0" xfId="6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2" fontId="17" fillId="0" borderId="2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2" fontId="17" fillId="0" borderId="1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18" fillId="9" borderId="0" xfId="0" applyFont="1" applyFill="1" applyAlignment="1">
      <alignment horizontal="left" vertical="center"/>
    </xf>
    <xf numFmtId="0" fontId="33" fillId="0" borderId="0" xfId="7" applyFont="1" applyAlignment="1">
      <alignment horizontal="left" vertical="center" wrapText="1"/>
    </xf>
    <xf numFmtId="2" fontId="21" fillId="9" borderId="0" xfId="6" applyNumberFormat="1" applyFont="1" applyFill="1" applyAlignment="1">
      <alignment horizontal="right" vertical="center"/>
    </xf>
    <xf numFmtId="0" fontId="0" fillId="0" borderId="0" xfId="0"/>
    <xf numFmtId="0" fontId="4" fillId="3" borderId="0" xfId="0" applyFont="1" applyFill="1" applyAlignment="1">
      <alignment horizontal="right" vertical="top" wrapText="1"/>
    </xf>
    <xf numFmtId="0" fontId="5" fillId="3" borderId="6" xfId="0" applyFont="1" applyFill="1" applyBorder="1" applyAlignment="1">
      <alignment horizontal="left" vertical="top" wrapText="1"/>
    </xf>
    <xf numFmtId="0" fontId="9" fillId="7" borderId="6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/>
    </xf>
    <xf numFmtId="10" fontId="31" fillId="0" borderId="1" xfId="4" applyNumberFormat="1" applyFont="1" applyBorder="1" applyAlignment="1">
      <alignment horizontal="center" vertical="center"/>
    </xf>
    <xf numFmtId="0" fontId="31" fillId="2" borderId="1" xfId="7" applyFont="1" applyFill="1" applyBorder="1" applyAlignment="1">
      <alignment vertical="center"/>
    </xf>
    <xf numFmtId="10" fontId="30" fillId="9" borderId="1" xfId="7" applyNumberFormat="1" applyFont="1" applyFill="1" applyBorder="1" applyAlignment="1">
      <alignment horizontal="center" vertical="center"/>
    </xf>
    <xf numFmtId="0" fontId="30" fillId="13" borderId="1" xfId="7" applyFont="1" applyFill="1" applyBorder="1" applyAlignment="1">
      <alignment horizontal="center"/>
    </xf>
    <xf numFmtId="0" fontId="0" fillId="0" borderId="0" xfId="0"/>
    <xf numFmtId="0" fontId="4" fillId="3" borderId="0" xfId="0" applyFont="1" applyFill="1" applyAlignment="1">
      <alignment horizontal="right" vertical="top" wrapText="1"/>
    </xf>
    <xf numFmtId="0" fontId="8" fillId="5" borderId="6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9" fillId="7" borderId="6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29" fillId="11" borderId="10" xfId="8" applyFont="1" applyFill="1" applyBorder="1" applyAlignment="1">
      <alignment horizontal="center" vertical="center"/>
    </xf>
    <xf numFmtId="0" fontId="29" fillId="11" borderId="13" xfId="8" applyFont="1" applyFill="1" applyBorder="1" applyAlignment="1">
      <alignment horizontal="center" vertical="center"/>
    </xf>
    <xf numFmtId="0" fontId="29" fillId="11" borderId="11" xfId="8" applyFont="1" applyFill="1" applyBorder="1" applyAlignment="1">
      <alignment horizontal="center" vertical="center"/>
    </xf>
    <xf numFmtId="10" fontId="10" fillId="3" borderId="0" xfId="0" applyNumberFormat="1" applyFont="1" applyFill="1" applyAlignment="1">
      <alignment horizontal="left" vertical="top" wrapText="1"/>
    </xf>
    <xf numFmtId="10" fontId="4" fillId="3" borderId="0" xfId="0" applyNumberFormat="1" applyFont="1" applyFill="1" applyAlignment="1">
      <alignment vertical="top" wrapText="1"/>
    </xf>
    <xf numFmtId="2" fontId="16" fillId="0" borderId="0" xfId="0" applyNumberFormat="1" applyFont="1" applyBorder="1" applyAlignment="1">
      <alignment horizontal="center"/>
    </xf>
    <xf numFmtId="10" fontId="31" fillId="0" borderId="1" xfId="8" applyNumberFormat="1" applyFont="1" applyFill="1" applyBorder="1" applyAlignment="1">
      <alignment horizontal="center" vertical="center"/>
    </xf>
    <xf numFmtId="164" fontId="25" fillId="0" borderId="0" xfId="0" applyNumberFormat="1" applyFont="1"/>
    <xf numFmtId="0" fontId="4" fillId="3" borderId="0" xfId="0" applyFont="1" applyFill="1" applyAlignment="1">
      <alignment horizontal="right" vertical="top" wrapText="1"/>
    </xf>
    <xf numFmtId="0" fontId="0" fillId="0" borderId="0" xfId="0"/>
    <xf numFmtId="4" fontId="4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5" fillId="3" borderId="6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right" vertical="top" wrapText="1"/>
    </xf>
    <xf numFmtId="0" fontId="9" fillId="7" borderId="6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right" vertical="top" wrapText="1"/>
    </xf>
    <xf numFmtId="0" fontId="0" fillId="0" borderId="0" xfId="0"/>
    <xf numFmtId="0" fontId="9" fillId="6" borderId="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9" fillId="7" borderId="6" xfId="0" applyFont="1" applyFill="1" applyBorder="1" applyAlignment="1">
      <alignment horizontal="left" vertical="top" wrapText="1"/>
    </xf>
    <xf numFmtId="0" fontId="9" fillId="3" borderId="0" xfId="0" applyFont="1" applyFill="1" applyAlignment="1">
      <alignment horizontal="right" vertical="top" wrapText="1"/>
    </xf>
    <xf numFmtId="0" fontId="17" fillId="0" borderId="0" xfId="0" applyFont="1" applyAlignment="1">
      <alignment vertical="top"/>
    </xf>
    <xf numFmtId="0" fontId="13" fillId="3" borderId="6" xfId="9" applyFont="1" applyFill="1" applyBorder="1" applyAlignment="1">
      <alignment horizontal="left" vertical="top" wrapText="1"/>
    </xf>
    <xf numFmtId="0" fontId="13" fillId="3" borderId="6" xfId="9" applyFont="1" applyFill="1" applyBorder="1" applyAlignment="1">
      <alignment horizontal="right" vertical="top" wrapText="1"/>
    </xf>
    <xf numFmtId="0" fontId="0" fillId="0" borderId="0" xfId="0"/>
    <xf numFmtId="164" fontId="4" fillId="0" borderId="0" xfId="0" applyNumberFormat="1" applyFont="1" applyAlignment="1">
      <alignment horizontal="righ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164" fontId="4" fillId="3" borderId="0" xfId="0" applyNumberFormat="1" applyFont="1" applyFill="1" applyAlignment="1">
      <alignment horizontal="right" vertical="top" wrapText="1"/>
    </xf>
    <xf numFmtId="0" fontId="24" fillId="3" borderId="0" xfId="0" applyFont="1" applyFill="1" applyAlignment="1">
      <alignment horizontal="right" vertical="top" wrapText="1"/>
    </xf>
    <xf numFmtId="0" fontId="9" fillId="3" borderId="0" xfId="0" applyFont="1" applyFill="1" applyAlignment="1">
      <alignment horizontal="center" vertical="top" wrapText="1"/>
    </xf>
    <xf numFmtId="0" fontId="0" fillId="0" borderId="0" xfId="0"/>
    <xf numFmtId="0" fontId="6" fillId="3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9" fillId="3" borderId="0" xfId="0" applyFont="1" applyFill="1" applyAlignment="1">
      <alignment horizontal="right" vertical="top" wrapText="1"/>
    </xf>
    <xf numFmtId="0" fontId="5" fillId="3" borderId="6" xfId="0" applyFont="1" applyFill="1" applyBorder="1" applyAlignment="1">
      <alignment horizontal="left" vertical="top" wrapText="1"/>
    </xf>
    <xf numFmtId="0" fontId="8" fillId="5" borderId="6" xfId="0" applyFont="1" applyFill="1" applyBorder="1" applyAlignment="1">
      <alignment horizontal="left" vertical="top" wrapText="1"/>
    </xf>
    <xf numFmtId="0" fontId="9" fillId="7" borderId="6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22" fillId="8" borderId="6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wrapText="1"/>
    </xf>
    <xf numFmtId="0" fontId="11" fillId="0" borderId="0" xfId="0" applyFont="1" applyAlignment="1">
      <alignment horizontal="left"/>
    </xf>
    <xf numFmtId="4" fontId="4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9" fillId="3" borderId="17" xfId="0" applyFont="1" applyFill="1" applyBorder="1" applyAlignment="1">
      <alignment horizontal="right" vertical="top" wrapText="1"/>
    </xf>
    <xf numFmtId="0" fontId="9" fillId="6" borderId="15" xfId="0" applyFont="1" applyFill="1" applyBorder="1" applyAlignment="1">
      <alignment horizontal="left" vertical="top" wrapText="1"/>
    </xf>
    <xf numFmtId="0" fontId="9" fillId="6" borderId="16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8" fillId="5" borderId="15" xfId="0" applyFont="1" applyFill="1" applyBorder="1" applyAlignment="1">
      <alignment horizontal="left" vertical="top" wrapText="1"/>
    </xf>
    <xf numFmtId="0" fontId="8" fillId="5" borderId="16" xfId="0" applyFont="1" applyFill="1" applyBorder="1" applyAlignment="1">
      <alignment horizontal="left" vertical="top" wrapText="1"/>
    </xf>
    <xf numFmtId="0" fontId="9" fillId="7" borderId="15" xfId="0" applyFont="1" applyFill="1" applyBorder="1" applyAlignment="1">
      <alignment horizontal="left" vertical="top" wrapText="1"/>
    </xf>
    <xf numFmtId="0" fontId="9" fillId="7" borderId="16" xfId="0" applyFont="1" applyFill="1" applyBorder="1" applyAlignment="1">
      <alignment horizontal="left" vertical="top" wrapText="1"/>
    </xf>
    <xf numFmtId="0" fontId="21" fillId="9" borderId="0" xfId="0" applyFont="1" applyFill="1" applyBorder="1" applyAlignment="1">
      <alignment horizontal="left" vertical="center" wrapText="1"/>
    </xf>
    <xf numFmtId="0" fontId="18" fillId="9" borderId="0" xfId="0" applyFont="1" applyFill="1" applyBorder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wrapText="1"/>
    </xf>
    <xf numFmtId="0" fontId="41" fillId="0" borderId="0" xfId="0" applyFont="1" applyAlignment="1">
      <alignment horizontal="left" wrapText="1"/>
    </xf>
    <xf numFmtId="0" fontId="20" fillId="8" borderId="0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8" fillId="9" borderId="0" xfId="0" applyFont="1" applyFill="1" applyAlignment="1">
      <alignment horizontal="left" vertical="center" wrapText="1"/>
    </xf>
    <xf numFmtId="0" fontId="18" fillId="9" borderId="0" xfId="0" applyFont="1" applyFill="1" applyAlignment="1">
      <alignment horizontal="left" vertical="center"/>
    </xf>
    <xf numFmtId="0" fontId="21" fillId="9" borderId="1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27" fillId="0" borderId="1" xfId="7" applyFont="1" applyBorder="1" applyAlignment="1">
      <alignment horizontal="center" vertical="center" wrapText="1"/>
    </xf>
    <xf numFmtId="0" fontId="25" fillId="0" borderId="8" xfId="7" applyFont="1" applyBorder="1" applyAlignment="1">
      <alignment horizontal="center"/>
    </xf>
    <xf numFmtId="0" fontId="25" fillId="0" borderId="0" xfId="7" applyFont="1" applyAlignment="1">
      <alignment horizontal="center"/>
    </xf>
    <xf numFmtId="0" fontId="25" fillId="0" borderId="9" xfId="7" applyFont="1" applyBorder="1" applyAlignment="1">
      <alignment horizontal="center"/>
    </xf>
    <xf numFmtId="0" fontId="29" fillId="11" borderId="10" xfId="8" applyFont="1" applyFill="1" applyBorder="1" applyAlignment="1">
      <alignment horizontal="center" vertical="center"/>
    </xf>
    <xf numFmtId="0" fontId="29" fillId="11" borderId="13" xfId="8" applyFont="1" applyFill="1" applyBorder="1" applyAlignment="1">
      <alignment horizontal="center" vertical="center"/>
    </xf>
    <xf numFmtId="0" fontId="29" fillId="11" borderId="11" xfId="8" applyFont="1" applyFill="1" applyBorder="1" applyAlignment="1">
      <alignment horizontal="center" vertical="center"/>
    </xf>
    <xf numFmtId="0" fontId="32" fillId="12" borderId="2" xfId="8" applyFont="1" applyFill="1" applyBorder="1" applyAlignment="1">
      <alignment horizontal="left" vertical="center"/>
    </xf>
    <xf numFmtId="0" fontId="32" fillId="12" borderId="3" xfId="8" applyFont="1" applyFill="1" applyBorder="1" applyAlignment="1">
      <alignment horizontal="left" vertical="center"/>
    </xf>
    <xf numFmtId="0" fontId="32" fillId="12" borderId="4" xfId="8" applyFont="1" applyFill="1" applyBorder="1" applyAlignment="1">
      <alignment horizontal="left" vertical="center"/>
    </xf>
    <xf numFmtId="0" fontId="33" fillId="0" borderId="0" xfId="7" applyFont="1" applyAlignment="1">
      <alignment horizontal="left" vertical="center" wrapText="1"/>
    </xf>
    <xf numFmtId="10" fontId="31" fillId="0" borderId="2" xfId="4" applyNumberFormat="1" applyFont="1" applyBorder="1" applyAlignment="1">
      <alignment horizontal="center" vertical="center"/>
    </xf>
    <xf numFmtId="10" fontId="31" fillId="0" borderId="3" xfId="4" applyNumberFormat="1" applyFont="1" applyBorder="1" applyAlignment="1">
      <alignment horizontal="center" vertical="center"/>
    </xf>
    <xf numFmtId="10" fontId="31" fillId="0" borderId="4" xfId="4" applyNumberFormat="1" applyFont="1" applyBorder="1" applyAlignment="1">
      <alignment horizontal="center" vertical="center"/>
    </xf>
    <xf numFmtId="0" fontId="30" fillId="0" borderId="1" xfId="7" applyFont="1" applyBorder="1" applyAlignment="1">
      <alignment horizontal="left" vertical="center"/>
    </xf>
    <xf numFmtId="0" fontId="31" fillId="0" borderId="1" xfId="8" applyFont="1" applyFill="1" applyBorder="1" applyAlignment="1">
      <alignment horizontal="left" vertical="center" wrapText="1"/>
    </xf>
    <xf numFmtId="0" fontId="33" fillId="10" borderId="0" xfId="7" applyFont="1" applyFill="1" applyAlignment="1">
      <alignment horizontal="center"/>
    </xf>
    <xf numFmtId="0" fontId="34" fillId="0" borderId="0" xfId="7" applyFont="1" applyAlignment="1">
      <alignment horizontal="left" vertical="center" wrapText="1"/>
    </xf>
    <xf numFmtId="0" fontId="33" fillId="0" borderId="0" xfId="7" applyFont="1" applyAlignment="1">
      <alignment horizontal="left" wrapText="1"/>
    </xf>
    <xf numFmtId="0" fontId="32" fillId="12" borderId="2" xfId="8" applyFont="1" applyFill="1" applyBorder="1" applyAlignment="1">
      <alignment horizontal="left" vertical="center" wrapText="1"/>
    </xf>
    <xf numFmtId="0" fontId="32" fillId="12" borderId="3" xfId="8" applyFont="1" applyFill="1" applyBorder="1" applyAlignment="1">
      <alignment horizontal="left" vertical="center" wrapText="1"/>
    </xf>
    <xf numFmtId="0" fontId="32" fillId="12" borderId="4" xfId="8" applyFont="1" applyFill="1" applyBorder="1" applyAlignment="1">
      <alignment horizontal="left" vertical="center" wrapText="1"/>
    </xf>
    <xf numFmtId="0" fontId="20" fillId="8" borderId="5" xfId="0" applyFont="1" applyFill="1" applyBorder="1" applyAlignment="1">
      <alignment horizontal="center"/>
    </xf>
    <xf numFmtId="0" fontId="13" fillId="3" borderId="0" xfId="9" applyFont="1" applyFill="1" applyBorder="1" applyAlignment="1">
      <alignment horizontal="right" vertical="top" wrapText="1"/>
    </xf>
    <xf numFmtId="0" fontId="16" fillId="9" borderId="18" xfId="9" applyFont="1" applyFill="1" applyBorder="1" applyAlignment="1">
      <alignment horizontal="center" vertical="center" wrapText="1"/>
    </xf>
    <xf numFmtId="0" fontId="16" fillId="9" borderId="19" xfId="9" applyFont="1" applyFill="1" applyBorder="1" applyAlignment="1">
      <alignment horizontal="center" vertical="center" wrapText="1"/>
    </xf>
    <xf numFmtId="0" fontId="16" fillId="9" borderId="18" xfId="9" applyFont="1" applyFill="1" applyBorder="1" applyAlignment="1">
      <alignment horizontal="left" vertical="center" wrapText="1"/>
    </xf>
    <xf numFmtId="0" fontId="16" fillId="9" borderId="19" xfId="9" applyFont="1" applyFill="1" applyBorder="1" applyAlignment="1">
      <alignment horizontal="left" vertical="center" wrapText="1"/>
    </xf>
    <xf numFmtId="0" fontId="16" fillId="9" borderId="18" xfId="9" applyFont="1" applyFill="1" applyBorder="1" applyAlignment="1">
      <alignment horizontal="right" vertical="center" wrapText="1"/>
    </xf>
    <xf numFmtId="0" fontId="16" fillId="9" borderId="19" xfId="9" applyFont="1" applyFill="1" applyBorder="1" applyAlignment="1">
      <alignment horizontal="right" vertical="center" wrapText="1"/>
    </xf>
    <xf numFmtId="10" fontId="17" fillId="9" borderId="14" xfId="9" applyNumberFormat="1" applyFont="1" applyFill="1" applyBorder="1" applyAlignment="1">
      <alignment horizontal="right" wrapText="1"/>
    </xf>
    <xf numFmtId="0" fontId="16" fillId="9" borderId="18" xfId="9" applyFont="1" applyFill="1" applyBorder="1" applyAlignment="1">
      <alignment horizontal="right" wrapText="1"/>
    </xf>
    <xf numFmtId="0" fontId="16" fillId="9" borderId="19" xfId="9" applyFont="1" applyFill="1" applyBorder="1" applyAlignment="1">
      <alignment horizontal="right" wrapText="1"/>
    </xf>
    <xf numFmtId="44" fontId="17" fillId="9" borderId="6" xfId="9" applyNumberFormat="1" applyFont="1" applyFill="1" applyBorder="1" applyAlignment="1">
      <alignment horizontal="right" vertical="center" wrapText="1"/>
    </xf>
    <xf numFmtId="0" fontId="16" fillId="9" borderId="18" xfId="9" applyFont="1" applyFill="1" applyBorder="1" applyAlignment="1">
      <alignment horizontal="right" vertical="top" wrapText="1"/>
    </xf>
    <xf numFmtId="4" fontId="16" fillId="9" borderId="19" xfId="9" applyNumberFormat="1" applyFont="1" applyFill="1" applyBorder="1" applyAlignment="1">
      <alignment horizontal="right" vertical="top" wrapText="1"/>
    </xf>
    <xf numFmtId="44" fontId="0" fillId="0" borderId="0" xfId="0" applyNumberFormat="1"/>
    <xf numFmtId="4" fontId="16" fillId="9" borderId="20" xfId="9" applyNumberFormat="1" applyFont="1" applyFill="1" applyBorder="1" applyAlignment="1">
      <alignment horizontal="right" vertical="top" wrapText="1"/>
    </xf>
    <xf numFmtId="0" fontId="16" fillId="9" borderId="20" xfId="9" applyFont="1" applyFill="1" applyBorder="1" applyAlignment="1">
      <alignment horizontal="center" vertical="center" wrapText="1"/>
    </xf>
    <xf numFmtId="0" fontId="16" fillId="9" borderId="20" xfId="9" applyFont="1" applyFill="1" applyBorder="1" applyAlignment="1">
      <alignment horizontal="left" vertical="center" wrapText="1"/>
    </xf>
    <xf numFmtId="44" fontId="17" fillId="9" borderId="18" xfId="9" applyNumberFormat="1" applyFont="1" applyFill="1" applyBorder="1" applyAlignment="1">
      <alignment horizontal="right" vertical="center" wrapText="1"/>
    </xf>
    <xf numFmtId="0" fontId="4" fillId="14" borderId="10" xfId="0" applyFont="1" applyFill="1" applyBorder="1" applyAlignment="1">
      <alignment horizontal="left" vertical="top" wrapText="1"/>
    </xf>
    <xf numFmtId="0" fontId="4" fillId="14" borderId="13" xfId="0" applyFont="1" applyFill="1" applyBorder="1" applyAlignment="1">
      <alignment horizontal="left" vertical="top" wrapText="1"/>
    </xf>
    <xf numFmtId="0" fontId="4" fillId="14" borderId="11" xfId="0" applyFont="1" applyFill="1" applyBorder="1" applyAlignment="1">
      <alignment horizontal="left" vertical="top" wrapText="1"/>
    </xf>
    <xf numFmtId="10" fontId="7" fillId="14" borderId="12" xfId="0" applyNumberFormat="1" applyFont="1" applyFill="1" applyBorder="1" applyAlignment="1">
      <alignment horizontal="right" vertical="top" wrapText="1"/>
    </xf>
    <xf numFmtId="0" fontId="0" fillId="0" borderId="0" xfId="0" applyBorder="1" applyAlignment="1">
      <alignment horizontal="center"/>
    </xf>
    <xf numFmtId="164" fontId="14" fillId="0" borderId="0" xfId="0" applyNumberFormat="1" applyFont="1"/>
  </cellXfs>
  <cellStyles count="15">
    <cellStyle name="Moeda 2" xfId="3" xr:uid="{00000000-0005-0000-0000-000001000000}"/>
    <cellStyle name="Moeda 2 2" xfId="12" xr:uid="{89776011-CE0A-48BF-ADBE-7177E10D783B}"/>
    <cellStyle name="Moeda 3" xfId="1" xr:uid="{00000000-0005-0000-0000-000002000000}"/>
    <cellStyle name="Moeda 3 2" xfId="11" xr:uid="{8770F098-23CD-4426-ABB9-24D741867E80}"/>
    <cellStyle name="Moeda 4" xfId="5" xr:uid="{00000000-0005-0000-0000-000003000000}"/>
    <cellStyle name="Moeda 4 2" xfId="13" xr:uid="{5F5A46DC-D64E-4983-AFDC-E9A6A7987A72}"/>
    <cellStyle name="Normal" xfId="0" builtinId="0"/>
    <cellStyle name="Normal 2" xfId="2" xr:uid="{00000000-0005-0000-0000-000005000000}"/>
    <cellStyle name="Normal 2 2" xfId="8" xr:uid="{0C9E1982-C4E3-4449-BD3F-CD14E3D0FB60}"/>
    <cellStyle name="Normal 3" xfId="9" xr:uid="{DD9B5F0F-8E28-4A16-AA3E-88E5188F3D11}"/>
    <cellStyle name="Normal 9" xfId="7" xr:uid="{BC27C7D1-CD01-4502-86CA-3683C322FA99}"/>
    <cellStyle name="Porcentagem" xfId="10" builtinId="5"/>
    <cellStyle name="Porcentagem 2" xfId="4" xr:uid="{00000000-0005-0000-0000-000007000000}"/>
    <cellStyle name="Vírgula" xfId="6" builtinId="3"/>
    <cellStyle name="Vírgula 2" xfId="14" xr:uid="{17816736-178E-4324-8652-D1B7E6F81BC3}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76199</xdr:colOff>
      <xdr:row>1</xdr:row>
      <xdr:rowOff>47625</xdr:rowOff>
    </xdr:from>
    <xdr:to>
      <xdr:col>11</xdr:col>
      <xdr:colOff>638100</xdr:colOff>
      <xdr:row>8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0768294-43B5-4BDB-ACB0-4430527DFB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799" y="209550"/>
          <a:ext cx="4524301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5381625</xdr:colOff>
      <xdr:row>1</xdr:row>
      <xdr:rowOff>63500</xdr:rowOff>
    </xdr:from>
    <xdr:to>
      <xdr:col>10</xdr:col>
      <xdr:colOff>656031</xdr:colOff>
      <xdr:row>6</xdr:row>
      <xdr:rowOff>174252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55ABEF6-4F52-4334-8000-93F2BF6CBE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22250"/>
          <a:ext cx="6325273" cy="15264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133350</xdr:rowOff>
    </xdr:from>
    <xdr:to>
      <xdr:col>3</xdr:col>
      <xdr:colOff>1598958</xdr:colOff>
      <xdr:row>6</xdr:row>
      <xdr:rowOff>136281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37B6D22-F941-4E31-9F37-88107512C22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33350"/>
          <a:ext cx="5715000" cy="97448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818321</xdr:colOff>
      <xdr:row>84</xdr:row>
      <xdr:rowOff>19050</xdr:rowOff>
    </xdr:from>
    <xdr:ext cx="65" cy="172227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A6D2149-4E14-45B7-85D2-0FC4C60B2A80}"/>
            </a:ext>
          </a:extLst>
        </xdr:cNvPr>
        <xdr:cNvSpPr txBox="1"/>
      </xdr:nvSpPr>
      <xdr:spPr>
        <a:xfrm>
          <a:off x="7295321" y="1573944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3823</xdr:colOff>
      <xdr:row>2</xdr:row>
      <xdr:rowOff>0</xdr:rowOff>
    </xdr:from>
    <xdr:to>
      <xdr:col>1</xdr:col>
      <xdr:colOff>2142074</xdr:colOff>
      <xdr:row>5</xdr:row>
      <xdr:rowOff>194528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AFB8973-DD30-48EE-8E3E-B91A5273562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"/>
        <a:stretch/>
      </xdr:blipFill>
      <xdr:spPr bwMode="auto">
        <a:xfrm>
          <a:off x="3823" y="322385"/>
          <a:ext cx="3061443" cy="11103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29109</xdr:colOff>
      <xdr:row>46</xdr:row>
      <xdr:rowOff>26548</xdr:rowOff>
    </xdr:from>
    <xdr:to>
      <xdr:col>3</xdr:col>
      <xdr:colOff>492673</xdr:colOff>
      <xdr:row>46</xdr:row>
      <xdr:rowOff>633066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82D2139-2942-446C-8BEF-7AD5A245A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92" t="20427" r="3152" b="15376"/>
        <a:stretch>
          <a:fillRect/>
        </a:stretch>
      </xdr:blipFill>
      <xdr:spPr bwMode="auto">
        <a:xfrm>
          <a:off x="521781" y="8631893"/>
          <a:ext cx="2184633" cy="606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62279</xdr:colOff>
      <xdr:row>52</xdr:row>
      <xdr:rowOff>42956</xdr:rowOff>
    </xdr:from>
    <xdr:to>
      <xdr:col>5</xdr:col>
      <xdr:colOff>2016672</xdr:colOff>
      <xdr:row>55</xdr:row>
      <xdr:rowOff>146573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99A23AC-3ECB-4152-AFE2-DCEBC1DCF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94" t="1994"/>
        <a:stretch>
          <a:fillRect/>
        </a:stretch>
      </xdr:blipFill>
      <xdr:spPr bwMode="auto">
        <a:xfrm>
          <a:off x="557579" y="7653431"/>
          <a:ext cx="4976446" cy="589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45983</xdr:colOff>
      <xdr:row>1</xdr:row>
      <xdr:rowOff>74531</xdr:rowOff>
    </xdr:from>
    <xdr:to>
      <xdr:col>5</xdr:col>
      <xdr:colOff>2610167</xdr:colOff>
      <xdr:row>6</xdr:row>
      <xdr:rowOff>486103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EDBE391-B095-4D3D-B66F-918357AB897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2638" y="238755"/>
          <a:ext cx="2564184" cy="1232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0AAFA-67BB-4B46-94FF-2425BDADE59E}">
  <sheetPr>
    <pageSetUpPr fitToPage="1"/>
  </sheetPr>
  <dimension ref="A1:T53"/>
  <sheetViews>
    <sheetView view="pageBreakPreview" topLeftCell="A24" zoomScaleNormal="100" zoomScaleSheetLayoutView="100" workbookViewId="0">
      <selection activeCell="G12" sqref="G12:G43"/>
    </sheetView>
  </sheetViews>
  <sheetFormatPr defaultRowHeight="12.75" x14ac:dyDescent="0.2"/>
  <cols>
    <col min="1" max="1" width="9.33203125" style="160"/>
    <col min="2" max="2" width="7.5" style="3" bestFit="1" customWidth="1"/>
    <col min="3" max="3" width="17.5" style="3" customWidth="1"/>
    <col min="4" max="4" width="14.6640625" style="3" bestFit="1" customWidth="1"/>
    <col min="5" max="5" width="91" style="3" customWidth="1"/>
    <col min="6" max="6" width="6" style="3" bestFit="1" customWidth="1"/>
    <col min="7" max="7" width="9" style="3" bestFit="1" customWidth="1"/>
    <col min="8" max="8" width="14.1640625" style="3" bestFit="1" customWidth="1"/>
    <col min="9" max="9" width="16.6640625" style="3" customWidth="1"/>
    <col min="10" max="10" width="14.1640625" style="3" bestFit="1" customWidth="1"/>
    <col min="11" max="11" width="15.33203125" style="3" bestFit="1" customWidth="1"/>
    <col min="12" max="12" width="11.6640625" style="3" bestFit="1" customWidth="1"/>
    <col min="13" max="13" width="13.83203125" style="3" customWidth="1"/>
    <col min="14" max="15" width="13" style="3" bestFit="1" customWidth="1"/>
    <col min="16" max="16384" width="9.33203125" style="3"/>
  </cols>
  <sheetData>
    <row r="1" spans="1:12" s="160" customFormat="1" x14ac:dyDescent="0.2"/>
    <row r="2" spans="1:12" ht="29.25" customHeight="1" x14ac:dyDescent="0.2">
      <c r="B2" s="227" t="s">
        <v>279</v>
      </c>
      <c r="C2" s="227"/>
      <c r="D2" s="227"/>
      <c r="E2" s="227"/>
      <c r="F2" s="1"/>
      <c r="G2" s="1"/>
      <c r="H2" s="1"/>
      <c r="I2" s="1"/>
      <c r="J2" s="1"/>
      <c r="K2" s="1"/>
      <c r="L2" s="1"/>
    </row>
    <row r="3" spans="1:12" x14ac:dyDescent="0.2">
      <c r="B3" s="227" t="s">
        <v>46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12" ht="15" x14ac:dyDescent="0.2">
      <c r="B4" s="227" t="s">
        <v>304</v>
      </c>
      <c r="C4" s="227"/>
      <c r="D4" s="227"/>
      <c r="E4" s="227"/>
      <c r="F4" s="2"/>
      <c r="G4" s="2"/>
      <c r="H4" s="234"/>
      <c r="I4" s="234"/>
      <c r="J4" s="234"/>
      <c r="K4" s="234"/>
      <c r="L4" s="234"/>
    </row>
    <row r="5" spans="1:12" ht="15" customHeight="1" x14ac:dyDescent="0.2">
      <c r="B5" s="1" t="s">
        <v>5</v>
      </c>
      <c r="C5" s="4">
        <v>0.24110000000000001</v>
      </c>
      <c r="D5" s="4"/>
      <c r="E5" s="1"/>
      <c r="F5" s="2"/>
      <c r="G5" s="2"/>
      <c r="H5" s="234"/>
      <c r="I5" s="234"/>
      <c r="J5" s="234"/>
      <c r="K5" s="234"/>
      <c r="L5" s="234"/>
    </row>
    <row r="6" spans="1:12" ht="15" customHeight="1" x14ac:dyDescent="0.2">
      <c r="B6" s="227" t="s">
        <v>30</v>
      </c>
      <c r="C6" s="227"/>
      <c r="D6" s="4">
        <v>0.15279999999999999</v>
      </c>
      <c r="E6" s="1"/>
      <c r="F6" s="2"/>
      <c r="G6" s="2"/>
      <c r="H6" s="234"/>
      <c r="I6" s="234"/>
      <c r="J6" s="234"/>
      <c r="K6" s="234"/>
      <c r="L6" s="234"/>
    </row>
    <row r="7" spans="1:12" ht="15" customHeight="1" x14ac:dyDescent="0.2">
      <c r="B7" s="227" t="s">
        <v>306</v>
      </c>
      <c r="C7" s="227"/>
      <c r="D7" s="227"/>
      <c r="E7" s="227"/>
      <c r="F7" s="2"/>
      <c r="H7" s="234"/>
      <c r="I7" s="234"/>
      <c r="J7" s="234"/>
      <c r="K7" s="234"/>
      <c r="L7" s="234"/>
    </row>
    <row r="8" spans="1:12" s="195" customFormat="1" ht="15" hidden="1" customHeight="1" x14ac:dyDescent="0.2">
      <c r="B8" s="227" t="s">
        <v>305</v>
      </c>
      <c r="C8" s="227"/>
      <c r="D8" s="200">
        <f>K42/(K11+K19+K38)</f>
        <v>5.9057143993746834E-2</v>
      </c>
      <c r="E8" s="193"/>
      <c r="F8" s="2"/>
      <c r="H8" s="194"/>
      <c r="I8" s="194"/>
      <c r="J8" s="194"/>
      <c r="K8" s="194"/>
      <c r="L8" s="194"/>
    </row>
    <row r="9" spans="1:12" ht="29.25" customHeight="1" x14ac:dyDescent="0.25">
      <c r="B9" s="233" t="s">
        <v>7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</row>
    <row r="10" spans="1:12" ht="30" customHeight="1" x14ac:dyDescent="0.2">
      <c r="B10" s="6" t="s">
        <v>8</v>
      </c>
      <c r="C10" s="7" t="s">
        <v>9</v>
      </c>
      <c r="D10" s="6" t="s">
        <v>10</v>
      </c>
      <c r="E10" s="6" t="s">
        <v>11</v>
      </c>
      <c r="F10" s="8" t="s">
        <v>12</v>
      </c>
      <c r="G10" s="9" t="s">
        <v>13</v>
      </c>
      <c r="H10" s="8" t="s">
        <v>15</v>
      </c>
      <c r="I10" s="8" t="s">
        <v>320</v>
      </c>
      <c r="J10" s="8" t="s">
        <v>16</v>
      </c>
      <c r="K10" s="8" t="s">
        <v>321</v>
      </c>
      <c r="L10" s="8" t="s">
        <v>18</v>
      </c>
    </row>
    <row r="11" spans="1:12" ht="24" customHeight="1" x14ac:dyDescent="0.2">
      <c r="B11" s="87" t="s">
        <v>19</v>
      </c>
      <c r="C11" s="10"/>
      <c r="D11" s="10"/>
      <c r="E11" s="87" t="s">
        <v>2</v>
      </c>
      <c r="F11" s="10"/>
      <c r="G11" s="11"/>
      <c r="H11" s="10"/>
      <c r="I11" s="12">
        <f>SUM(I12:I18)</f>
        <v>3220.36</v>
      </c>
      <c r="J11" s="10"/>
      <c r="K11" s="12">
        <f>SUM(K12:K18)</f>
        <v>3995.36</v>
      </c>
      <c r="L11" s="13" t="e">
        <f>SUM(L12:L18)</f>
        <v>#REF!</v>
      </c>
    </row>
    <row r="12" spans="1:12" s="70" customFormat="1" ht="39.75" customHeight="1" x14ac:dyDescent="0.2">
      <c r="A12" s="160"/>
      <c r="B12" s="82" t="s">
        <v>27</v>
      </c>
      <c r="C12" s="83" t="s">
        <v>123</v>
      </c>
      <c r="D12" s="83" t="s">
        <v>20</v>
      </c>
      <c r="E12" s="82" t="s">
        <v>316</v>
      </c>
      <c r="F12" s="83" t="s">
        <v>21</v>
      </c>
      <c r="G12" s="84">
        <f>'Memória de Cálculo'!E14</f>
        <v>6</v>
      </c>
      <c r="H12" s="85">
        <f>Composição!K12</f>
        <v>381.78</v>
      </c>
      <c r="I12" s="85">
        <f t="shared" ref="I12:I18" si="0">TRUNC((G12*H12),2)</f>
        <v>2290.6799999999998</v>
      </c>
      <c r="J12" s="85">
        <f>Composição!K23</f>
        <v>473.82</v>
      </c>
      <c r="K12" s="85">
        <f>TRUNC((G12*J12),2)</f>
        <v>2842.92</v>
      </c>
      <c r="L12" s="86" t="e">
        <f>K12/$J$48</f>
        <v>#REF!</v>
      </c>
    </row>
    <row r="13" spans="1:12" s="137" customFormat="1" ht="39.75" customHeight="1" x14ac:dyDescent="0.2">
      <c r="A13" s="160"/>
      <c r="B13" s="126" t="s">
        <v>187</v>
      </c>
      <c r="C13" s="83" t="s">
        <v>77</v>
      </c>
      <c r="D13" s="83" t="s">
        <v>20</v>
      </c>
      <c r="E13" s="82" t="s">
        <v>210</v>
      </c>
      <c r="F13" s="83" t="s">
        <v>212</v>
      </c>
      <c r="G13" s="84">
        <f>'Memória de Cálculo'!E17</f>
        <v>1</v>
      </c>
      <c r="H13" s="85">
        <f>Composição!K27</f>
        <v>262.55</v>
      </c>
      <c r="I13" s="85">
        <f t="shared" si="0"/>
        <v>262.55</v>
      </c>
      <c r="J13" s="85">
        <f>Composição!K29</f>
        <v>325.85000000000002</v>
      </c>
      <c r="K13" s="85">
        <f t="shared" ref="K13:K17" si="1">TRUNC((G13*J13),2)</f>
        <v>325.85000000000002</v>
      </c>
      <c r="L13" s="86" t="e">
        <f t="shared" ref="L13:L18" si="2">K13/$J$48</f>
        <v>#REF!</v>
      </c>
    </row>
    <row r="14" spans="1:12" s="120" customFormat="1" ht="28.5" customHeight="1" x14ac:dyDescent="0.2">
      <c r="A14" s="160"/>
      <c r="B14" s="126" t="s">
        <v>209</v>
      </c>
      <c r="C14" s="134">
        <v>104795</v>
      </c>
      <c r="D14" s="134" t="s">
        <v>0</v>
      </c>
      <c r="E14" s="126" t="s">
        <v>186</v>
      </c>
      <c r="F14" s="134" t="s">
        <v>22</v>
      </c>
      <c r="G14" s="135">
        <f>'Memória de Cálculo'!E20</f>
        <v>229.06</v>
      </c>
      <c r="H14" s="136">
        <f>Composição!K33</f>
        <v>1.35</v>
      </c>
      <c r="I14" s="136">
        <f t="shared" si="0"/>
        <v>309.23</v>
      </c>
      <c r="J14" s="136">
        <f>Composição!K36</f>
        <v>1.67</v>
      </c>
      <c r="K14" s="136">
        <f t="shared" si="1"/>
        <v>382.53</v>
      </c>
      <c r="L14" s="86" t="e">
        <f t="shared" si="2"/>
        <v>#REF!</v>
      </c>
    </row>
    <row r="15" spans="1:12" s="127" customFormat="1" ht="28.5" customHeight="1" x14ac:dyDescent="0.2">
      <c r="A15" s="160"/>
      <c r="B15" s="126" t="s">
        <v>213</v>
      </c>
      <c r="C15" s="83" t="s">
        <v>78</v>
      </c>
      <c r="D15" s="83" t="s">
        <v>20</v>
      </c>
      <c r="E15" s="126" t="s">
        <v>255</v>
      </c>
      <c r="F15" s="83" t="s">
        <v>1</v>
      </c>
      <c r="G15" s="135">
        <f>'Memória de Cálculo'!E22</f>
        <v>4</v>
      </c>
      <c r="H15" s="136">
        <f>Composição!K40</f>
        <v>1.45</v>
      </c>
      <c r="I15" s="136">
        <f t="shared" si="0"/>
        <v>5.8</v>
      </c>
      <c r="J15" s="136">
        <f>Composição!K43</f>
        <v>1.79</v>
      </c>
      <c r="K15" s="136">
        <f t="shared" si="1"/>
        <v>7.16</v>
      </c>
      <c r="L15" s="86" t="e">
        <f t="shared" si="2"/>
        <v>#REF!</v>
      </c>
    </row>
    <row r="16" spans="1:12" s="127" customFormat="1" ht="28.5" customHeight="1" x14ac:dyDescent="0.2">
      <c r="A16" s="160"/>
      <c r="B16" s="126" t="s">
        <v>217</v>
      </c>
      <c r="C16" s="134">
        <v>97664</v>
      </c>
      <c r="D16" s="134" t="s">
        <v>0</v>
      </c>
      <c r="E16" s="126" t="s">
        <v>347</v>
      </c>
      <c r="F16" s="83" t="s">
        <v>1</v>
      </c>
      <c r="G16" s="135">
        <f>'Memória de Cálculo'!E24</f>
        <v>6</v>
      </c>
      <c r="H16" s="136">
        <f>Composição!K47</f>
        <v>1.57</v>
      </c>
      <c r="I16" s="136">
        <f t="shared" si="0"/>
        <v>9.42</v>
      </c>
      <c r="J16" s="136">
        <f>Composição!K50</f>
        <v>1.94</v>
      </c>
      <c r="K16" s="136">
        <f t="shared" si="1"/>
        <v>11.64</v>
      </c>
      <c r="L16" s="86" t="e">
        <f t="shared" si="2"/>
        <v>#REF!</v>
      </c>
    </row>
    <row r="17" spans="1:13" s="137" customFormat="1" ht="28.5" customHeight="1" x14ac:dyDescent="0.2">
      <c r="A17" s="160"/>
      <c r="B17" s="126" t="s">
        <v>219</v>
      </c>
      <c r="C17" s="83" t="s">
        <v>79</v>
      </c>
      <c r="D17" s="83" t="s">
        <v>20</v>
      </c>
      <c r="E17" s="126" t="s">
        <v>275</v>
      </c>
      <c r="F17" s="83" t="s">
        <v>144</v>
      </c>
      <c r="G17" s="135">
        <f>'Memória de Cálculo'!E28</f>
        <v>3</v>
      </c>
      <c r="H17" s="136">
        <f>Composição!K54</f>
        <v>98.07</v>
      </c>
      <c r="I17" s="136">
        <f t="shared" si="0"/>
        <v>294.20999999999998</v>
      </c>
      <c r="J17" s="136">
        <f>Composição!K57</f>
        <v>121.71</v>
      </c>
      <c r="K17" s="136">
        <f t="shared" si="1"/>
        <v>365.13</v>
      </c>
      <c r="L17" s="86" t="e">
        <f t="shared" si="2"/>
        <v>#REF!</v>
      </c>
    </row>
    <row r="18" spans="1:13" s="206" customFormat="1" ht="28.5" customHeight="1" x14ac:dyDescent="0.2">
      <c r="B18" s="126" t="s">
        <v>358</v>
      </c>
      <c r="C18" s="83">
        <v>99814</v>
      </c>
      <c r="D18" s="83" t="s">
        <v>0</v>
      </c>
      <c r="E18" s="126" t="s">
        <v>357</v>
      </c>
      <c r="F18" s="83" t="s">
        <v>21</v>
      </c>
      <c r="G18" s="135">
        <f>'Memória de Cálculo'!E30</f>
        <v>25.92</v>
      </c>
      <c r="H18" s="136">
        <f>Composição!K61</f>
        <v>1.87</v>
      </c>
      <c r="I18" s="136">
        <f t="shared" si="0"/>
        <v>48.47</v>
      </c>
      <c r="J18" s="136">
        <f>Composição!K64</f>
        <v>2.3199999999999998</v>
      </c>
      <c r="K18" s="136">
        <f>TRUNC((G18*J18),2)</f>
        <v>60.13</v>
      </c>
      <c r="L18" s="86" t="e">
        <f t="shared" si="2"/>
        <v>#REF!</v>
      </c>
    </row>
    <row r="19" spans="1:13" ht="24" customHeight="1" x14ac:dyDescent="0.2">
      <c r="B19" s="87">
        <v>2</v>
      </c>
      <c r="C19" s="88"/>
      <c r="D19" s="88"/>
      <c r="E19" s="174" t="s">
        <v>28</v>
      </c>
      <c r="F19" s="10"/>
      <c r="G19" s="16"/>
      <c r="H19" s="17"/>
      <c r="I19" s="12">
        <f>SUM(I20:I32)</f>
        <v>68195.179999999993</v>
      </c>
      <c r="J19" s="17"/>
      <c r="K19" s="12">
        <f>SUM(K20:K32)</f>
        <v>84633.780000000013</v>
      </c>
      <c r="L19" s="13" t="e">
        <f>SUM(L20:L32)</f>
        <v>#REF!</v>
      </c>
      <c r="M19" s="76"/>
    </row>
    <row r="20" spans="1:13" s="114" customFormat="1" ht="27.75" customHeight="1" x14ac:dyDescent="0.2">
      <c r="A20" s="160"/>
      <c r="B20" s="82" t="s">
        <v>26</v>
      </c>
      <c r="C20" s="83">
        <v>93358</v>
      </c>
      <c r="D20" s="83" t="s">
        <v>0</v>
      </c>
      <c r="E20" s="126" t="s">
        <v>315</v>
      </c>
      <c r="F20" s="134" t="s">
        <v>144</v>
      </c>
      <c r="G20" s="135">
        <f>'Memória de Cálculo'!E35</f>
        <v>27.299999999999997</v>
      </c>
      <c r="H20" s="85">
        <f>Composição!K69</f>
        <v>82.32</v>
      </c>
      <c r="I20" s="85">
        <f>TRUNC((G20*H20),2)</f>
        <v>2247.33</v>
      </c>
      <c r="J20" s="85">
        <f>Composição!K71</f>
        <v>102.16</v>
      </c>
      <c r="K20" s="85">
        <f>TRUNC((G20*J20),2)</f>
        <v>2788.96</v>
      </c>
      <c r="L20" s="86" t="e">
        <f>K20/$J$48</f>
        <v>#REF!</v>
      </c>
    </row>
    <row r="21" spans="1:13" s="216" customFormat="1" ht="35.25" customHeight="1" x14ac:dyDescent="0.2">
      <c r="B21" s="82" t="s">
        <v>145</v>
      </c>
      <c r="C21" s="83">
        <v>90444</v>
      </c>
      <c r="D21" s="83" t="s">
        <v>0</v>
      </c>
      <c r="E21" s="126" t="s">
        <v>374</v>
      </c>
      <c r="F21" s="83" t="s">
        <v>22</v>
      </c>
      <c r="G21" s="135">
        <f>'Memória de Cálculo'!E39</f>
        <v>50</v>
      </c>
      <c r="H21" s="85">
        <f>Composição!K84</f>
        <v>11.83</v>
      </c>
      <c r="I21" s="85">
        <f>TRUNC((G21*H21),2)</f>
        <v>591.5</v>
      </c>
      <c r="J21" s="85">
        <f>Composição!K89</f>
        <v>14.68</v>
      </c>
      <c r="K21" s="85">
        <f>TRUNC((G21*J21),2)</f>
        <v>734</v>
      </c>
      <c r="L21" s="86" t="e">
        <f t="shared" ref="L21:L41" si="3">K21/$J$48</f>
        <v>#REF!</v>
      </c>
    </row>
    <row r="22" spans="1:13" s="114" customFormat="1" ht="27.75" customHeight="1" x14ac:dyDescent="0.2">
      <c r="A22" s="160"/>
      <c r="B22" s="82" t="s">
        <v>146</v>
      </c>
      <c r="C22" s="83" t="s">
        <v>148</v>
      </c>
      <c r="D22" s="83" t="s">
        <v>0</v>
      </c>
      <c r="E22" s="126" t="s">
        <v>314</v>
      </c>
      <c r="F22" s="134" t="s">
        <v>21</v>
      </c>
      <c r="G22" s="135">
        <f>'Memória de Cálculo'!E44</f>
        <v>54</v>
      </c>
      <c r="H22" s="85">
        <f>Composição!K75</f>
        <v>6.32</v>
      </c>
      <c r="I22" s="85">
        <f t="shared" ref="I22:I32" si="4">TRUNC((G22*H22),2)</f>
        <v>341.28</v>
      </c>
      <c r="J22" s="85">
        <f>Composição!K80</f>
        <v>7.84</v>
      </c>
      <c r="K22" s="85">
        <f t="shared" ref="K22:K31" si="5">TRUNC((G22*J22),2)</f>
        <v>423.36</v>
      </c>
      <c r="L22" s="86" t="e">
        <f t="shared" si="3"/>
        <v>#REF!</v>
      </c>
      <c r="M22" s="76"/>
    </row>
    <row r="23" spans="1:13" ht="40.5" customHeight="1" x14ac:dyDescent="0.2">
      <c r="B23" s="82" t="s">
        <v>147</v>
      </c>
      <c r="C23" s="83">
        <v>92986</v>
      </c>
      <c r="D23" s="83" t="s">
        <v>0</v>
      </c>
      <c r="E23" s="82" t="s">
        <v>29</v>
      </c>
      <c r="F23" s="83" t="s">
        <v>22</v>
      </c>
      <c r="G23" s="135">
        <f>'Memória de Cálculo'!E48</f>
        <v>247.50000000000003</v>
      </c>
      <c r="H23" s="85">
        <f>Composição!K93</f>
        <v>35.19</v>
      </c>
      <c r="I23" s="85">
        <f t="shared" si="4"/>
        <v>8709.52</v>
      </c>
      <c r="J23" s="85">
        <f>Composição!K98</f>
        <v>43.67</v>
      </c>
      <c r="K23" s="85">
        <f t="shared" si="5"/>
        <v>10808.32</v>
      </c>
      <c r="L23" s="86" t="e">
        <f t="shared" si="3"/>
        <v>#REF!</v>
      </c>
    </row>
    <row r="24" spans="1:13" s="120" customFormat="1" ht="40.5" customHeight="1" x14ac:dyDescent="0.2">
      <c r="A24" s="160"/>
      <c r="B24" s="82" t="s">
        <v>150</v>
      </c>
      <c r="C24" s="83">
        <v>92988</v>
      </c>
      <c r="D24" s="83" t="s">
        <v>0</v>
      </c>
      <c r="E24" s="82" t="s">
        <v>312</v>
      </c>
      <c r="F24" s="83" t="s">
        <v>22</v>
      </c>
      <c r="G24" s="135">
        <f>'Memória de Cálculo'!E55</f>
        <v>918</v>
      </c>
      <c r="H24" s="85">
        <f>Composição!K102</f>
        <v>51.02</v>
      </c>
      <c r="I24" s="85">
        <f t="shared" si="4"/>
        <v>46836.36</v>
      </c>
      <c r="J24" s="85">
        <f>Composição!K107</f>
        <v>63.32</v>
      </c>
      <c r="K24" s="85">
        <f t="shared" si="5"/>
        <v>58127.76</v>
      </c>
      <c r="L24" s="86" t="e">
        <f t="shared" si="3"/>
        <v>#REF!</v>
      </c>
    </row>
    <row r="25" spans="1:13" s="120" customFormat="1" ht="19.5" customHeight="1" x14ac:dyDescent="0.2">
      <c r="A25" s="160"/>
      <c r="B25" s="82" t="s">
        <v>151</v>
      </c>
      <c r="C25" s="83" t="s">
        <v>202</v>
      </c>
      <c r="D25" s="83" t="s">
        <v>20</v>
      </c>
      <c r="E25" s="126" t="s">
        <v>185</v>
      </c>
      <c r="F25" s="134" t="s">
        <v>1</v>
      </c>
      <c r="G25" s="84">
        <f>'Memória de Cálculo'!E59</f>
        <v>4</v>
      </c>
      <c r="H25" s="136">
        <f>Composição!K111</f>
        <v>662.28</v>
      </c>
      <c r="I25" s="136">
        <f t="shared" si="4"/>
        <v>2649.12</v>
      </c>
      <c r="J25" s="136">
        <f>Composição!K115</f>
        <v>821.95</v>
      </c>
      <c r="K25" s="136">
        <f t="shared" si="5"/>
        <v>3287.8</v>
      </c>
      <c r="L25" s="86" t="e">
        <f t="shared" si="3"/>
        <v>#REF!</v>
      </c>
    </row>
    <row r="26" spans="1:13" s="206" customFormat="1" ht="32.25" customHeight="1" x14ac:dyDescent="0.2">
      <c r="B26" s="82" t="s">
        <v>179</v>
      </c>
      <c r="C26" s="83">
        <v>101894</v>
      </c>
      <c r="D26" s="83" t="s">
        <v>0</v>
      </c>
      <c r="E26" s="82" t="s">
        <v>184</v>
      </c>
      <c r="F26" s="83" t="s">
        <v>1</v>
      </c>
      <c r="G26" s="84">
        <f>'Memória de Cálculo'!E63</f>
        <v>2</v>
      </c>
      <c r="H26" s="85">
        <f>Composição!K119</f>
        <v>141.51</v>
      </c>
      <c r="I26" s="85">
        <f t="shared" si="4"/>
        <v>283.02</v>
      </c>
      <c r="J26" s="85">
        <f>Composição!K124</f>
        <v>175.62</v>
      </c>
      <c r="K26" s="136">
        <f t="shared" si="5"/>
        <v>351.24</v>
      </c>
      <c r="L26" s="86" t="e">
        <f t="shared" si="3"/>
        <v>#REF!</v>
      </c>
    </row>
    <row r="27" spans="1:13" s="114" customFormat="1" ht="40.5" customHeight="1" x14ac:dyDescent="0.2">
      <c r="A27" s="160"/>
      <c r="B27" s="82" t="s">
        <v>180</v>
      </c>
      <c r="C27" s="83">
        <v>97668</v>
      </c>
      <c r="D27" s="83" t="s">
        <v>0</v>
      </c>
      <c r="E27" s="126" t="s">
        <v>311</v>
      </c>
      <c r="F27" s="83" t="s">
        <v>22</v>
      </c>
      <c r="G27" s="135">
        <f>'Memória de Cálculo'!E67</f>
        <v>198.00000000000003</v>
      </c>
      <c r="H27" s="85">
        <f>Composição!K128</f>
        <v>10.38</v>
      </c>
      <c r="I27" s="85">
        <f t="shared" si="4"/>
        <v>2055.2399999999998</v>
      </c>
      <c r="J27" s="85">
        <f>Composição!K132</f>
        <v>12.88</v>
      </c>
      <c r="K27" s="85">
        <f t="shared" si="5"/>
        <v>2550.2399999999998</v>
      </c>
      <c r="L27" s="86" t="e">
        <f t="shared" si="3"/>
        <v>#REF!</v>
      </c>
    </row>
    <row r="28" spans="1:13" s="114" customFormat="1" ht="36.75" customHeight="1" x14ac:dyDescent="0.2">
      <c r="A28" s="160"/>
      <c r="B28" s="82" t="s">
        <v>181</v>
      </c>
      <c r="C28" s="83">
        <v>97893</v>
      </c>
      <c r="D28" s="83" t="s">
        <v>253</v>
      </c>
      <c r="E28" s="126" t="s">
        <v>310</v>
      </c>
      <c r="F28" s="83" t="s">
        <v>1</v>
      </c>
      <c r="G28" s="135">
        <f>'Memória de Cálculo'!E90</f>
        <v>6</v>
      </c>
      <c r="H28" s="85">
        <f>Composição!K136</f>
        <v>522.20000000000005</v>
      </c>
      <c r="I28" s="85">
        <f t="shared" si="4"/>
        <v>3133.2</v>
      </c>
      <c r="J28" s="85">
        <f>Composição!K144</f>
        <v>648.1</v>
      </c>
      <c r="K28" s="85">
        <f t="shared" si="5"/>
        <v>3888.6</v>
      </c>
      <c r="L28" s="86" t="e">
        <f t="shared" si="3"/>
        <v>#REF!</v>
      </c>
    </row>
    <row r="29" spans="1:13" s="120" customFormat="1" ht="30" customHeight="1" x14ac:dyDescent="0.2">
      <c r="A29" s="160"/>
      <c r="B29" s="82" t="s">
        <v>182</v>
      </c>
      <c r="C29" s="83" t="s">
        <v>203</v>
      </c>
      <c r="D29" s="83" t="s">
        <v>20</v>
      </c>
      <c r="E29" s="126" t="s">
        <v>293</v>
      </c>
      <c r="F29" s="83" t="s">
        <v>1</v>
      </c>
      <c r="G29" s="84">
        <f>'Memória de Cálculo'!E77</f>
        <v>4</v>
      </c>
      <c r="H29" s="85">
        <f>Composição!K148</f>
        <v>4.3</v>
      </c>
      <c r="I29" s="85">
        <f t="shared" si="4"/>
        <v>17.2</v>
      </c>
      <c r="J29" s="85">
        <f>Composição!K151</f>
        <v>5.33</v>
      </c>
      <c r="K29" s="85">
        <f t="shared" si="5"/>
        <v>21.32</v>
      </c>
      <c r="L29" s="86" t="e">
        <f t="shared" si="3"/>
        <v>#REF!</v>
      </c>
    </row>
    <row r="30" spans="1:13" s="120" customFormat="1" ht="30" customHeight="1" x14ac:dyDescent="0.2">
      <c r="A30" s="160"/>
      <c r="B30" s="82" t="s">
        <v>183</v>
      </c>
      <c r="C30" s="83" t="s">
        <v>256</v>
      </c>
      <c r="D30" s="83" t="s">
        <v>20</v>
      </c>
      <c r="E30" s="126" t="s">
        <v>324</v>
      </c>
      <c r="F30" s="83" t="s">
        <v>1</v>
      </c>
      <c r="G30" s="84">
        <f>'Memória de Cálculo'!E79</f>
        <v>16</v>
      </c>
      <c r="H30" s="85">
        <f>Composição!K155</f>
        <v>6.07</v>
      </c>
      <c r="I30" s="85">
        <f t="shared" si="4"/>
        <v>97.12</v>
      </c>
      <c r="J30" s="85">
        <f>Composição!K158</f>
        <v>7.53</v>
      </c>
      <c r="K30" s="85">
        <f t="shared" si="5"/>
        <v>120.48</v>
      </c>
      <c r="L30" s="86" t="e">
        <f t="shared" si="3"/>
        <v>#REF!</v>
      </c>
    </row>
    <row r="31" spans="1:13" s="127" customFormat="1" ht="30" customHeight="1" x14ac:dyDescent="0.2">
      <c r="A31" s="160"/>
      <c r="B31" s="82" t="s">
        <v>376</v>
      </c>
      <c r="C31" s="83">
        <v>104737</v>
      </c>
      <c r="D31" s="83" t="s">
        <v>0</v>
      </c>
      <c r="E31" s="126" t="s">
        <v>313</v>
      </c>
      <c r="F31" s="83" t="s">
        <v>144</v>
      </c>
      <c r="G31" s="135">
        <f>'Memória de Cálculo'!E81</f>
        <v>20.099999999999998</v>
      </c>
      <c r="H31" s="85">
        <f>Composição!K162</f>
        <v>20.96</v>
      </c>
      <c r="I31" s="85">
        <f t="shared" si="4"/>
        <v>421.29</v>
      </c>
      <c r="J31" s="85">
        <f>Composição!K167</f>
        <v>26.01</v>
      </c>
      <c r="K31" s="85">
        <f t="shared" si="5"/>
        <v>522.79999999999995</v>
      </c>
      <c r="L31" s="86" t="e">
        <f t="shared" si="3"/>
        <v>#REF!</v>
      </c>
    </row>
    <row r="32" spans="1:13" s="216" customFormat="1" ht="30" customHeight="1" x14ac:dyDescent="0.2">
      <c r="B32" s="82" t="s">
        <v>377</v>
      </c>
      <c r="C32" s="83" t="s">
        <v>257</v>
      </c>
      <c r="D32" s="83" t="s">
        <v>20</v>
      </c>
      <c r="E32" s="82" t="s">
        <v>399</v>
      </c>
      <c r="F32" s="134" t="s">
        <v>21</v>
      </c>
      <c r="G32" s="135">
        <f>'Memória de Cálculo'!E85</f>
        <v>15</v>
      </c>
      <c r="H32" s="85">
        <f>Composição!K172</f>
        <v>54.2</v>
      </c>
      <c r="I32" s="85">
        <f t="shared" si="4"/>
        <v>813</v>
      </c>
      <c r="J32" s="85">
        <f>Composição!K176</f>
        <v>67.260000000000005</v>
      </c>
      <c r="K32" s="85">
        <f>TRUNC((G32*J32),2)</f>
        <v>1008.9</v>
      </c>
      <c r="L32" s="86" t="e">
        <f t="shared" si="3"/>
        <v>#REF!</v>
      </c>
    </row>
    <row r="33" spans="1:20" ht="24" customHeight="1" x14ac:dyDescent="0.2">
      <c r="B33" s="87">
        <v>3</v>
      </c>
      <c r="C33" s="88"/>
      <c r="D33" s="88"/>
      <c r="E33" s="87" t="s">
        <v>115</v>
      </c>
      <c r="F33" s="10"/>
      <c r="G33" s="16"/>
      <c r="H33" s="17"/>
      <c r="I33" s="12" t="e">
        <f>SUM(I34:I36)</f>
        <v>#REF!</v>
      </c>
      <c r="J33" s="17"/>
      <c r="K33" s="12" t="e">
        <f>TRUNC(SUM(K34:K37),2)</f>
        <v>#REF!</v>
      </c>
      <c r="L33" s="13" t="e">
        <f>L34+L35+L36+L37</f>
        <v>#REF!</v>
      </c>
      <c r="M33" s="45"/>
    </row>
    <row r="34" spans="1:20" ht="29.25" customHeight="1" x14ac:dyDescent="0.2">
      <c r="B34" s="82" t="s">
        <v>323</v>
      </c>
      <c r="C34" s="83" t="s">
        <v>258</v>
      </c>
      <c r="D34" s="83" t="s">
        <v>61</v>
      </c>
      <c r="E34" s="82" t="s">
        <v>338</v>
      </c>
      <c r="F34" s="83" t="s">
        <v>1</v>
      </c>
      <c r="G34" s="135">
        <f>'Memória de Cálculo'!E90</f>
        <v>6</v>
      </c>
      <c r="H34" s="85" t="e">
        <f>Composição!K181</f>
        <v>#REF!</v>
      </c>
      <c r="I34" s="85" t="e">
        <f>TRUNC((G34*H34),2)</f>
        <v>#REF!</v>
      </c>
      <c r="J34" s="85" t="e">
        <f>Composição!K183</f>
        <v>#REF!</v>
      </c>
      <c r="K34" s="85" t="e">
        <f>TRUNC((G34*J34),2)</f>
        <v>#REF!</v>
      </c>
      <c r="L34" s="86" t="e">
        <f t="shared" si="3"/>
        <v>#REF!</v>
      </c>
    </row>
    <row r="35" spans="1:20" s="66" customFormat="1" ht="38.25" x14ac:dyDescent="0.2">
      <c r="A35" s="160"/>
      <c r="B35" s="82" t="s">
        <v>322</v>
      </c>
      <c r="C35" s="83" t="s">
        <v>259</v>
      </c>
      <c r="D35" s="83" t="s">
        <v>62</v>
      </c>
      <c r="E35" s="126" t="s">
        <v>342</v>
      </c>
      <c r="F35" s="83" t="s">
        <v>1</v>
      </c>
      <c r="G35" s="84">
        <f>'Memória de Cálculo'!E97</f>
        <v>8</v>
      </c>
      <c r="H35" s="136" t="e">
        <f>Composição!K187</f>
        <v>#REF!</v>
      </c>
      <c r="I35" s="85" t="e">
        <f>TRUNC((G35*H35),2)</f>
        <v>#REF!</v>
      </c>
      <c r="J35" s="85" t="e">
        <f>Composição!K189</f>
        <v>#REF!</v>
      </c>
      <c r="K35" s="85" t="e">
        <f>TRUNC((G35*J35),2)</f>
        <v>#REF!</v>
      </c>
      <c r="L35" s="86" t="e">
        <f t="shared" si="3"/>
        <v>#REF!</v>
      </c>
    </row>
    <row r="36" spans="1:20" x14ac:dyDescent="0.2">
      <c r="B36" s="82" t="s">
        <v>75</v>
      </c>
      <c r="C36" s="83" t="s">
        <v>260</v>
      </c>
      <c r="D36" s="83" t="s">
        <v>72</v>
      </c>
      <c r="E36" s="82" t="s">
        <v>317</v>
      </c>
      <c r="F36" s="83" t="s">
        <v>1</v>
      </c>
      <c r="G36" s="84">
        <f>'Memória de Cálculo'!E104</f>
        <v>8</v>
      </c>
      <c r="H36" s="85" t="e">
        <f>Composição!K193</f>
        <v>#REF!</v>
      </c>
      <c r="I36" s="85" t="e">
        <f>TRUNC((G36*H36),2)</f>
        <v>#REF!</v>
      </c>
      <c r="J36" s="85" t="e">
        <f>Composição!K195</f>
        <v>#REF!</v>
      </c>
      <c r="K36" s="85" t="e">
        <f>TRUNC((G36*J36),2)</f>
        <v>#REF!</v>
      </c>
      <c r="L36" s="86" t="e">
        <f t="shared" si="3"/>
        <v>#REF!</v>
      </c>
      <c r="M36" s="45"/>
    </row>
    <row r="37" spans="1:20" s="178" customFormat="1" ht="63.75" x14ac:dyDescent="0.2">
      <c r="B37" s="82" t="s">
        <v>287</v>
      </c>
      <c r="C37" s="83" t="s">
        <v>261</v>
      </c>
      <c r="D37" s="83" t="s">
        <v>289</v>
      </c>
      <c r="E37" s="82" t="s">
        <v>348</v>
      </c>
      <c r="F37" s="83" t="s">
        <v>1</v>
      </c>
      <c r="G37" s="84">
        <f>'Memória de Cálculo'!E115</f>
        <v>1</v>
      </c>
      <c r="H37" s="85" t="e">
        <f>Composição!K199</f>
        <v>#REF!</v>
      </c>
      <c r="I37" s="85" t="e">
        <f>TRUNC((G37*H37),2)</f>
        <v>#REF!</v>
      </c>
      <c r="J37" s="85" t="e">
        <f>Composição!K202</f>
        <v>#REF!</v>
      </c>
      <c r="K37" s="85" t="e">
        <f>TRUNC((G37*J37),2)</f>
        <v>#REF!</v>
      </c>
      <c r="L37" s="86" t="e">
        <f t="shared" si="3"/>
        <v>#REF!</v>
      </c>
      <c r="M37" s="45"/>
    </row>
    <row r="38" spans="1:20" s="105" customFormat="1" x14ac:dyDescent="0.2">
      <c r="A38" s="160"/>
      <c r="B38" s="87">
        <v>4</v>
      </c>
      <c r="C38" s="88"/>
      <c r="D38" s="88"/>
      <c r="E38" s="87" t="s">
        <v>122</v>
      </c>
      <c r="F38" s="107"/>
      <c r="G38" s="16"/>
      <c r="H38" s="17"/>
      <c r="I38" s="12">
        <f>SUM(I39:I41)</f>
        <v>3529.2</v>
      </c>
      <c r="J38" s="17"/>
      <c r="K38" s="12">
        <f>SUM(K39:K41)</f>
        <v>4379.76</v>
      </c>
      <c r="L38" s="13" t="e">
        <f>SUM(L39:L41)</f>
        <v>#REF!</v>
      </c>
      <c r="M38" s="45"/>
    </row>
    <row r="39" spans="1:20" s="105" customFormat="1" ht="25.5" x14ac:dyDescent="0.2">
      <c r="A39" s="160"/>
      <c r="B39" s="82" t="s">
        <v>136</v>
      </c>
      <c r="C39" s="83" t="s">
        <v>262</v>
      </c>
      <c r="D39" s="15" t="s">
        <v>20</v>
      </c>
      <c r="E39" s="82" t="s">
        <v>139</v>
      </c>
      <c r="F39" s="83" t="s">
        <v>21</v>
      </c>
      <c r="G39" s="84">
        <f>'Memória de Cálculo'!E120</f>
        <v>10.799999999999999</v>
      </c>
      <c r="H39" s="85">
        <f>Composição!K206</f>
        <v>301.89</v>
      </c>
      <c r="I39" s="85">
        <f>TRUNC((G39*H39),2)</f>
        <v>3260.41</v>
      </c>
      <c r="J39" s="85">
        <f>Composição!K219</f>
        <v>374.67</v>
      </c>
      <c r="K39" s="85">
        <f>TRUNC((G39*J39),2)</f>
        <v>4046.43</v>
      </c>
      <c r="L39" s="86" t="e">
        <f t="shared" si="3"/>
        <v>#REF!</v>
      </c>
      <c r="M39" s="45"/>
    </row>
    <row r="40" spans="1:20" s="137" customFormat="1" x14ac:dyDescent="0.2">
      <c r="A40" s="160"/>
      <c r="B40" s="182" t="s">
        <v>140</v>
      </c>
      <c r="C40" s="83" t="s">
        <v>232</v>
      </c>
      <c r="D40" s="83" t="s">
        <v>233</v>
      </c>
      <c r="E40" s="82" t="s">
        <v>336</v>
      </c>
      <c r="F40" s="83" t="s">
        <v>234</v>
      </c>
      <c r="G40" s="84">
        <f>'Memória de Cálculo'!E124</f>
        <v>25.92</v>
      </c>
      <c r="H40" s="85">
        <f>Composição!K223</f>
        <v>7.25</v>
      </c>
      <c r="I40" s="85">
        <f>TRUNC((G40*H40),2)</f>
        <v>187.92</v>
      </c>
      <c r="J40" s="85">
        <f>Composição!K225</f>
        <v>8.99</v>
      </c>
      <c r="K40" s="85">
        <f>TRUNC((G40*J40),2)</f>
        <v>233.02</v>
      </c>
      <c r="L40" s="86" t="e">
        <f t="shared" si="3"/>
        <v>#REF!</v>
      </c>
    </row>
    <row r="41" spans="1:20" s="206" customFormat="1" x14ac:dyDescent="0.2">
      <c r="B41" s="210" t="s">
        <v>353</v>
      </c>
      <c r="C41" s="83" t="s">
        <v>363</v>
      </c>
      <c r="D41" s="15" t="s">
        <v>20</v>
      </c>
      <c r="E41" s="82" t="s">
        <v>361</v>
      </c>
      <c r="F41" s="83" t="s">
        <v>21</v>
      </c>
      <c r="G41" s="84">
        <f>'Memória de Cálculo'!E129</f>
        <v>25.92</v>
      </c>
      <c r="H41" s="85">
        <f>Composição!K229</f>
        <v>3.12</v>
      </c>
      <c r="I41" s="85">
        <f>TRUNC((G41*H41),2)</f>
        <v>80.87</v>
      </c>
      <c r="J41" s="85">
        <f>Composição!K231</f>
        <v>3.87</v>
      </c>
      <c r="K41" s="85">
        <f>TRUNC((G41*J41),2)</f>
        <v>100.31</v>
      </c>
      <c r="L41" s="86" t="e">
        <f t="shared" si="3"/>
        <v>#REF!</v>
      </c>
    </row>
    <row r="42" spans="1:20" s="127" customFormat="1" x14ac:dyDescent="0.2">
      <c r="A42" s="160"/>
      <c r="B42" s="87">
        <v>5</v>
      </c>
      <c r="C42" s="88"/>
      <c r="D42" s="88"/>
      <c r="E42" s="174" t="s">
        <v>267</v>
      </c>
      <c r="F42" s="107"/>
      <c r="G42" s="16"/>
      <c r="H42" s="17"/>
      <c r="I42" s="12">
        <f>I43</f>
        <v>4425.79</v>
      </c>
      <c r="J42" s="17"/>
      <c r="K42" s="12">
        <f>SUM(K43)</f>
        <v>5492.84</v>
      </c>
      <c r="L42" s="13" t="e">
        <f>SUM(L43)</f>
        <v>#REF!</v>
      </c>
      <c r="M42" s="157">
        <f>K42/(K11+K19+K38)</f>
        <v>5.9057143993746834E-2</v>
      </c>
      <c r="N42" s="157" t="e">
        <f>K42/(K11+K19+K38+K33)</f>
        <v>#REF!</v>
      </c>
    </row>
    <row r="43" spans="1:20" s="100" customFormat="1" x14ac:dyDescent="0.2">
      <c r="A43" s="160"/>
      <c r="B43" s="143" t="s">
        <v>224</v>
      </c>
      <c r="C43" s="83" t="s">
        <v>397</v>
      </c>
      <c r="D43" s="83" t="s">
        <v>20</v>
      </c>
      <c r="E43" s="82" t="s">
        <v>223</v>
      </c>
      <c r="F43" s="83" t="s">
        <v>1</v>
      </c>
      <c r="G43" s="84">
        <f>'Memória de Cálculo'!E135</f>
        <v>1</v>
      </c>
      <c r="H43" s="85">
        <f>Composição!K236</f>
        <v>4425.79</v>
      </c>
      <c r="I43" s="85">
        <f>TRUNC((G43*H43),2)</f>
        <v>4425.79</v>
      </c>
      <c r="J43" s="85">
        <f>Composição!K239</f>
        <v>5492.84</v>
      </c>
      <c r="K43" s="85">
        <f>TRUNC((G43*J43),2)</f>
        <v>5492.84</v>
      </c>
      <c r="L43" s="86" t="e">
        <f>K43/$J$48</f>
        <v>#REF!</v>
      </c>
    </row>
    <row r="44" spans="1:20" s="100" customFormat="1" hidden="1" x14ac:dyDescent="0.2">
      <c r="A44" s="160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44" t="e">
        <f>L11+L19+L33+L38+L42</f>
        <v>#REF!</v>
      </c>
    </row>
    <row r="45" spans="1:20" s="66" customFormat="1" x14ac:dyDescent="0.2">
      <c r="A45" s="160"/>
      <c r="B45" s="230"/>
      <c r="C45" s="230"/>
      <c r="D45" s="230"/>
      <c r="E45" s="65"/>
      <c r="F45" s="65"/>
      <c r="G45" s="65"/>
      <c r="H45" s="65"/>
      <c r="I45" s="65"/>
      <c r="J45" s="65"/>
      <c r="K45" s="65"/>
      <c r="L45" s="65"/>
    </row>
    <row r="46" spans="1:20" x14ac:dyDescent="0.2">
      <c r="B46" s="230"/>
      <c r="C46" s="230"/>
      <c r="D46" s="230"/>
      <c r="E46" s="18"/>
      <c r="F46" s="19"/>
      <c r="G46" s="227" t="s">
        <v>290</v>
      </c>
      <c r="H46" s="228"/>
      <c r="I46" s="19"/>
      <c r="J46" s="229" t="e">
        <f>I11+I19+I33+I38+I42</f>
        <v>#REF!</v>
      </c>
      <c r="K46" s="229"/>
      <c r="L46" s="229"/>
    </row>
    <row r="47" spans="1:20" x14ac:dyDescent="0.2">
      <c r="B47" s="20"/>
      <c r="C47" s="20"/>
      <c r="D47" s="20"/>
      <c r="E47" s="20"/>
      <c r="F47" s="19"/>
      <c r="G47" s="227" t="s">
        <v>291</v>
      </c>
      <c r="H47" s="228"/>
      <c r="I47" s="19"/>
      <c r="J47" s="229" t="e">
        <f>J48-J46</f>
        <v>#REF!</v>
      </c>
      <c r="K47" s="229"/>
      <c r="L47" s="229"/>
    </row>
    <row r="48" spans="1:20" x14ac:dyDescent="0.2">
      <c r="B48" s="18"/>
      <c r="C48" s="20"/>
      <c r="D48" s="20"/>
      <c r="E48" s="20"/>
      <c r="F48" s="20"/>
      <c r="G48" s="227" t="s">
        <v>292</v>
      </c>
      <c r="H48" s="228"/>
      <c r="I48" s="19"/>
      <c r="J48" s="226" t="e">
        <f>TRUNC(SUM(K11+K19+K33+K38+K42),2)</f>
        <v>#REF!</v>
      </c>
      <c r="K48" s="226"/>
      <c r="L48" s="226"/>
      <c r="M48" s="204" t="e">
        <f>500000-J48</f>
        <v>#REF!</v>
      </c>
      <c r="N48" s="45"/>
      <c r="O48" s="45"/>
      <c r="P48" s="35"/>
      <c r="Q48" s="35"/>
      <c r="R48" s="35"/>
      <c r="S48" s="35"/>
      <c r="T48" s="35"/>
    </row>
    <row r="49" spans="2:12" ht="36" customHeight="1" x14ac:dyDescent="0.2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</row>
    <row r="50" spans="2:12" s="188" customFormat="1" ht="36" customHeight="1" x14ac:dyDescent="0.2">
      <c r="B50" s="231" t="s">
        <v>25</v>
      </c>
      <c r="C50" s="232"/>
      <c r="D50" s="232"/>
      <c r="E50" s="232"/>
      <c r="F50" s="232"/>
      <c r="G50" s="232"/>
      <c r="H50" s="232"/>
      <c r="I50" s="232"/>
      <c r="J50" s="232"/>
      <c r="K50" s="232"/>
      <c r="L50" s="232"/>
    </row>
    <row r="53" spans="2:12" x14ac:dyDescent="0.2">
      <c r="C53" s="35"/>
    </row>
  </sheetData>
  <mergeCells count="17">
    <mergeCell ref="B2:E2"/>
    <mergeCell ref="B4:E4"/>
    <mergeCell ref="B9:L9"/>
    <mergeCell ref="B3:L3"/>
    <mergeCell ref="H4:L7"/>
    <mergeCell ref="B8:C8"/>
    <mergeCell ref="B7:E7"/>
    <mergeCell ref="B6:C6"/>
    <mergeCell ref="J48:L48"/>
    <mergeCell ref="G46:H46"/>
    <mergeCell ref="J46:L46"/>
    <mergeCell ref="B45:D45"/>
    <mergeCell ref="B50:L50"/>
    <mergeCell ref="G47:H47"/>
    <mergeCell ref="J47:L47"/>
    <mergeCell ref="B46:D46"/>
    <mergeCell ref="G48:H48"/>
  </mergeCells>
  <phoneticPr fontId="37" type="noConversion"/>
  <pageMargins left="0.511811024" right="0.511811024" top="0.78740157499999996" bottom="0.78740157499999996" header="0.31496062000000002" footer="0.31496062000000002"/>
  <pageSetup paperSize="9"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5537-6D84-4714-8154-90AC6818446A}">
  <dimension ref="A1:L254"/>
  <sheetViews>
    <sheetView view="pageBreakPreview" zoomScale="85" zoomScaleNormal="85" zoomScaleSheetLayoutView="85" workbookViewId="0">
      <selection activeCell="G239" sqref="G239"/>
    </sheetView>
  </sheetViews>
  <sheetFormatPr defaultRowHeight="12.75" x14ac:dyDescent="0.2"/>
  <cols>
    <col min="1" max="1" width="9.33203125" style="160"/>
    <col min="2" max="2" width="13.5" style="3" bestFit="1" customWidth="1"/>
    <col min="3" max="3" width="20.1640625" style="3" customWidth="1"/>
    <col min="4" max="4" width="18.33203125" style="3" customWidth="1"/>
    <col min="5" max="5" width="103.1640625" style="3" customWidth="1"/>
    <col min="6" max="6" width="23.5" style="3" customWidth="1"/>
    <col min="7" max="8" width="16" style="3" bestFit="1" customWidth="1"/>
    <col min="9" max="9" width="17.5" style="3" bestFit="1" customWidth="1"/>
    <col min="10" max="10" width="16.83203125" style="3" bestFit="1" customWidth="1"/>
    <col min="11" max="11" width="13.33203125" style="3" bestFit="1" customWidth="1"/>
    <col min="12" max="12" width="12.5" style="3" customWidth="1"/>
    <col min="13" max="16384" width="9.33203125" style="3"/>
  </cols>
  <sheetData>
    <row r="1" spans="1:12" s="160" customFormat="1" x14ac:dyDescent="0.2"/>
    <row r="2" spans="1:12" ht="31.5" customHeight="1" x14ac:dyDescent="0.2">
      <c r="B2" s="227" t="s">
        <v>280</v>
      </c>
      <c r="C2" s="227"/>
      <c r="D2" s="227"/>
      <c r="E2" s="227"/>
      <c r="F2" s="1"/>
      <c r="G2" s="1"/>
      <c r="H2" s="1"/>
      <c r="I2" s="1"/>
      <c r="J2" s="1"/>
      <c r="K2" s="1"/>
      <c r="L2" s="1"/>
    </row>
    <row r="3" spans="1:12" ht="19.5" customHeight="1" x14ac:dyDescent="0.2">
      <c r="B3" s="227" t="s">
        <v>46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12" ht="20.25" customHeight="1" x14ac:dyDescent="0.2">
      <c r="B4" s="227" t="s">
        <v>304</v>
      </c>
      <c r="C4" s="227"/>
      <c r="D4" s="227"/>
      <c r="E4" s="227"/>
      <c r="F4" s="2"/>
      <c r="G4" s="234"/>
      <c r="H4" s="234"/>
      <c r="I4" s="234"/>
      <c r="J4" s="234"/>
      <c r="K4" s="234"/>
    </row>
    <row r="5" spans="1:12" ht="19.5" customHeight="1" x14ac:dyDescent="0.2">
      <c r="B5" s="1" t="s">
        <v>5</v>
      </c>
      <c r="C5" s="4">
        <v>0.24110000000000001</v>
      </c>
      <c r="D5" s="201"/>
      <c r="E5" s="1"/>
      <c r="F5" s="2"/>
      <c r="G5" s="234"/>
      <c r="H5" s="234"/>
      <c r="I5" s="234"/>
      <c r="J5" s="234"/>
      <c r="K5" s="234"/>
    </row>
    <row r="6" spans="1:12" s="66" customFormat="1" ht="19.5" customHeight="1" x14ac:dyDescent="0.2">
      <c r="A6" s="160"/>
      <c r="B6" s="227" t="s">
        <v>30</v>
      </c>
      <c r="C6" s="227"/>
      <c r="D6" s="4">
        <v>0.15279999999999999</v>
      </c>
      <c r="E6" s="1"/>
      <c r="F6" s="2"/>
      <c r="G6" s="234"/>
      <c r="H6" s="234"/>
      <c r="I6" s="234"/>
      <c r="J6" s="234"/>
      <c r="K6" s="234"/>
    </row>
    <row r="7" spans="1:12" ht="18" customHeight="1" x14ac:dyDescent="0.2">
      <c r="B7" s="227" t="s">
        <v>6</v>
      </c>
      <c r="C7" s="227"/>
      <c r="D7" s="227"/>
      <c r="E7" s="5"/>
      <c r="F7" s="2"/>
      <c r="G7" s="234"/>
      <c r="H7" s="234"/>
      <c r="I7" s="234"/>
      <c r="J7" s="234"/>
      <c r="K7" s="234"/>
    </row>
    <row r="8" spans="1:12" ht="25.5" customHeight="1" x14ac:dyDescent="0.25">
      <c r="B8" s="241" t="s">
        <v>33</v>
      </c>
      <c r="C8" s="242"/>
      <c r="D8" s="242"/>
      <c r="E8" s="242"/>
      <c r="F8" s="242"/>
      <c r="G8" s="242"/>
      <c r="H8" s="242"/>
      <c r="I8" s="242"/>
      <c r="J8" s="242"/>
      <c r="K8" s="242"/>
    </row>
    <row r="9" spans="1:12" s="61" customFormat="1" ht="15" x14ac:dyDescent="0.25">
      <c r="B9" s="58" t="s">
        <v>19</v>
      </c>
      <c r="C9" s="58"/>
      <c r="D9" s="58"/>
      <c r="E9" s="58" t="s">
        <v>2</v>
      </c>
      <c r="F9" s="58"/>
      <c r="G9" s="240"/>
      <c r="H9" s="240"/>
      <c r="I9" s="59"/>
      <c r="J9" s="58"/>
      <c r="K9" s="60">
        <f>TRUNC(SUM(K24+K30+K37+K44+K51+K58+K65),2)</f>
        <v>3995.36</v>
      </c>
    </row>
    <row r="10" spans="1:12" s="70" customFormat="1" x14ac:dyDescent="0.2">
      <c r="A10" s="160"/>
      <c r="B10" s="71"/>
      <c r="C10" s="71"/>
      <c r="D10" s="71"/>
      <c r="E10" s="71"/>
      <c r="F10" s="71"/>
      <c r="G10" s="71"/>
      <c r="H10" s="71"/>
      <c r="I10" s="29"/>
      <c r="J10" s="71"/>
      <c r="K10" s="30"/>
    </row>
    <row r="11" spans="1:12" ht="15" x14ac:dyDescent="0.2">
      <c r="B11" s="74" t="s">
        <v>27</v>
      </c>
      <c r="C11" s="7" t="s">
        <v>9</v>
      </c>
      <c r="D11" s="74" t="s">
        <v>10</v>
      </c>
      <c r="E11" s="74" t="s">
        <v>11</v>
      </c>
      <c r="F11" s="236" t="s">
        <v>34</v>
      </c>
      <c r="G11" s="236"/>
      <c r="H11" s="8" t="s">
        <v>12</v>
      </c>
      <c r="I11" s="7" t="s">
        <v>13</v>
      </c>
      <c r="J11" s="7" t="s">
        <v>14</v>
      </c>
      <c r="K11" s="7" t="s">
        <v>17</v>
      </c>
    </row>
    <row r="12" spans="1:12" s="70" customFormat="1" ht="25.5" x14ac:dyDescent="0.2">
      <c r="A12" s="160"/>
      <c r="B12" s="75" t="s">
        <v>35</v>
      </c>
      <c r="C12" s="14" t="s">
        <v>123</v>
      </c>
      <c r="D12" s="156" t="s">
        <v>20</v>
      </c>
      <c r="E12" s="190" t="s">
        <v>297</v>
      </c>
      <c r="F12" s="237" t="s">
        <v>36</v>
      </c>
      <c r="G12" s="237"/>
      <c r="H12" s="15" t="s">
        <v>278</v>
      </c>
      <c r="I12" s="22"/>
      <c r="J12" s="23"/>
      <c r="K12" s="23">
        <f>TRUNC(SUM(K13:K22),2)</f>
        <v>381.78</v>
      </c>
    </row>
    <row r="13" spans="1:12" s="70" customFormat="1" ht="25.5" x14ac:dyDescent="0.2">
      <c r="A13" s="160"/>
      <c r="B13" s="72" t="s">
        <v>48</v>
      </c>
      <c r="C13" s="31">
        <v>88262</v>
      </c>
      <c r="D13" s="72" t="s">
        <v>0</v>
      </c>
      <c r="E13" s="72" t="s">
        <v>99</v>
      </c>
      <c r="F13" s="238" t="s">
        <v>36</v>
      </c>
      <c r="G13" s="238"/>
      <c r="H13" s="32" t="s">
        <v>50</v>
      </c>
      <c r="I13" s="33">
        <v>2.47E-2</v>
      </c>
      <c r="J13" s="34">
        <v>28.71</v>
      </c>
      <c r="K13" s="34">
        <f>TRUNC(I13*J13,2)</f>
        <v>0.7</v>
      </c>
    </row>
    <row r="14" spans="1:12" s="70" customFormat="1" ht="25.5" x14ac:dyDescent="0.2">
      <c r="A14" s="160"/>
      <c r="B14" s="72" t="s">
        <v>48</v>
      </c>
      <c r="C14" s="31">
        <v>88239</v>
      </c>
      <c r="D14" s="72" t="s">
        <v>0</v>
      </c>
      <c r="E14" s="72" t="s">
        <v>100</v>
      </c>
      <c r="F14" s="238" t="s">
        <v>36</v>
      </c>
      <c r="G14" s="238"/>
      <c r="H14" s="32" t="s">
        <v>50</v>
      </c>
      <c r="I14" s="33">
        <v>0.16919999999999999</v>
      </c>
      <c r="J14" s="34">
        <v>20.99</v>
      </c>
      <c r="K14" s="34">
        <f>TRUNC(I14*J14,2)</f>
        <v>3.55</v>
      </c>
    </row>
    <row r="15" spans="1:12" s="70" customFormat="1" ht="25.5" x14ac:dyDescent="0.2">
      <c r="A15" s="160"/>
      <c r="B15" s="73" t="s">
        <v>37</v>
      </c>
      <c r="C15" s="24">
        <v>20213</v>
      </c>
      <c r="D15" s="73" t="s">
        <v>0</v>
      </c>
      <c r="E15" s="73" t="s">
        <v>104</v>
      </c>
      <c r="F15" s="239" t="s">
        <v>54</v>
      </c>
      <c r="G15" s="239"/>
      <c r="H15" s="25" t="s">
        <v>105</v>
      </c>
      <c r="I15" s="26">
        <v>5.1400000000000001E-2</v>
      </c>
      <c r="J15" s="27">
        <v>14.16</v>
      </c>
      <c r="K15" s="27">
        <f t="shared" ref="K15:K21" si="0">TRUNC(I15*J15,2)</f>
        <v>0.72</v>
      </c>
    </row>
    <row r="16" spans="1:12" s="70" customFormat="1" ht="25.5" x14ac:dyDescent="0.2">
      <c r="A16" s="160"/>
      <c r="B16" s="73" t="s">
        <v>37</v>
      </c>
      <c r="C16" s="24">
        <v>4299</v>
      </c>
      <c r="D16" s="73" t="s">
        <v>0</v>
      </c>
      <c r="E16" s="73" t="s">
        <v>106</v>
      </c>
      <c r="F16" s="239" t="s">
        <v>54</v>
      </c>
      <c r="G16" s="239"/>
      <c r="H16" s="25" t="s">
        <v>107</v>
      </c>
      <c r="I16" s="26">
        <v>2.4022000000000001</v>
      </c>
      <c r="J16" s="27">
        <v>26.86</v>
      </c>
      <c r="K16" s="27">
        <f t="shared" si="0"/>
        <v>64.52</v>
      </c>
    </row>
    <row r="17" spans="1:11" s="70" customFormat="1" ht="25.5" x14ac:dyDescent="0.2">
      <c r="A17" s="160"/>
      <c r="B17" s="73" t="s">
        <v>37</v>
      </c>
      <c r="C17" s="24">
        <v>13294</v>
      </c>
      <c r="D17" s="73" t="s">
        <v>0</v>
      </c>
      <c r="E17" s="73" t="s">
        <v>108</v>
      </c>
      <c r="F17" s="239" t="s">
        <v>54</v>
      </c>
      <c r="G17" s="239"/>
      <c r="H17" s="25" t="s">
        <v>107</v>
      </c>
      <c r="I17" s="26">
        <v>1.3332999999999999</v>
      </c>
      <c r="J17" s="27">
        <v>1.32</v>
      </c>
      <c r="K17" s="27">
        <f t="shared" si="0"/>
        <v>1.75</v>
      </c>
    </row>
    <row r="18" spans="1:11" s="70" customFormat="1" x14ac:dyDescent="0.2">
      <c r="A18" s="160"/>
      <c r="B18" s="73" t="s">
        <v>37</v>
      </c>
      <c r="C18" s="24">
        <v>5062</v>
      </c>
      <c r="D18" s="73" t="s">
        <v>0</v>
      </c>
      <c r="E18" s="73" t="s">
        <v>109</v>
      </c>
      <c r="F18" s="239" t="s">
        <v>54</v>
      </c>
      <c r="G18" s="239"/>
      <c r="H18" s="25" t="s">
        <v>110</v>
      </c>
      <c r="I18" s="26">
        <v>1.1852</v>
      </c>
      <c r="J18" s="27">
        <v>1.59</v>
      </c>
      <c r="K18" s="27">
        <f t="shared" si="0"/>
        <v>1.88</v>
      </c>
    </row>
    <row r="19" spans="1:11" s="70" customFormat="1" x14ac:dyDescent="0.2">
      <c r="A19" s="160"/>
      <c r="B19" s="73" t="s">
        <v>37</v>
      </c>
      <c r="C19" s="24">
        <v>4509</v>
      </c>
      <c r="D19" s="73" t="s">
        <v>0</v>
      </c>
      <c r="E19" s="73" t="s">
        <v>111</v>
      </c>
      <c r="F19" s="239" t="s">
        <v>54</v>
      </c>
      <c r="G19" s="239"/>
      <c r="H19" s="25" t="s">
        <v>105</v>
      </c>
      <c r="I19" s="26">
        <v>1.15E-2</v>
      </c>
      <c r="J19" s="27">
        <v>22.16</v>
      </c>
      <c r="K19" s="27">
        <f t="shared" si="0"/>
        <v>0.25</v>
      </c>
    </row>
    <row r="20" spans="1:11" s="70" customFormat="1" x14ac:dyDescent="0.2">
      <c r="A20" s="160"/>
      <c r="B20" s="73" t="s">
        <v>37</v>
      </c>
      <c r="C20" s="24">
        <v>1379</v>
      </c>
      <c r="D20" s="73" t="s">
        <v>0</v>
      </c>
      <c r="E20" s="73" t="s">
        <v>112</v>
      </c>
      <c r="F20" s="239" t="s">
        <v>54</v>
      </c>
      <c r="G20" s="239"/>
      <c r="H20" s="25" t="s">
        <v>110</v>
      </c>
      <c r="I20" s="26">
        <v>1.2613000000000001</v>
      </c>
      <c r="J20" s="27">
        <v>5.2</v>
      </c>
      <c r="K20" s="27">
        <f t="shared" si="0"/>
        <v>6.55</v>
      </c>
    </row>
    <row r="21" spans="1:11" s="70" customFormat="1" x14ac:dyDescent="0.2">
      <c r="A21" s="160"/>
      <c r="B21" s="73" t="s">
        <v>37</v>
      </c>
      <c r="C21" s="24">
        <v>1890</v>
      </c>
      <c r="D21" s="73" t="s">
        <v>101</v>
      </c>
      <c r="E21" s="73" t="s">
        <v>113</v>
      </c>
      <c r="F21" s="239" t="s">
        <v>54</v>
      </c>
      <c r="G21" s="239"/>
      <c r="H21" s="25" t="s">
        <v>278</v>
      </c>
      <c r="I21" s="26">
        <v>2.6608000000000001</v>
      </c>
      <c r="J21" s="27">
        <v>0.7</v>
      </c>
      <c r="K21" s="27">
        <f t="shared" si="0"/>
        <v>1.86</v>
      </c>
    </row>
    <row r="22" spans="1:11" s="188" customFormat="1" x14ac:dyDescent="0.2">
      <c r="B22" s="73" t="s">
        <v>37</v>
      </c>
      <c r="C22" s="24">
        <v>1374</v>
      </c>
      <c r="D22" s="73" t="s">
        <v>101</v>
      </c>
      <c r="E22" s="73" t="s">
        <v>102</v>
      </c>
      <c r="F22" s="239" t="s">
        <v>54</v>
      </c>
      <c r="G22" s="239"/>
      <c r="H22" s="25" t="s">
        <v>103</v>
      </c>
      <c r="I22" s="26">
        <v>1</v>
      </c>
      <c r="J22" s="27">
        <v>300</v>
      </c>
      <c r="K22" s="27">
        <f>TRUNC(I22*J22,2)</f>
        <v>300</v>
      </c>
    </row>
    <row r="23" spans="1:11" s="70" customFormat="1" x14ac:dyDescent="0.2">
      <c r="A23" s="160"/>
      <c r="B23" s="71"/>
      <c r="C23" s="71"/>
      <c r="D23" s="71"/>
      <c r="E23" s="71"/>
      <c r="F23" s="71"/>
      <c r="G23" s="71"/>
      <c r="H23" s="71"/>
      <c r="I23" s="235" t="s">
        <v>38</v>
      </c>
      <c r="J23" s="235"/>
      <c r="K23" s="28">
        <f>TRUNC(K12*(1+$C$5),2)</f>
        <v>473.82</v>
      </c>
    </row>
    <row r="24" spans="1:11" s="70" customFormat="1" x14ac:dyDescent="0.2">
      <c r="A24" s="160"/>
      <c r="B24" s="71"/>
      <c r="C24" s="71"/>
      <c r="D24" s="71"/>
      <c r="E24" s="71"/>
      <c r="F24" s="71"/>
      <c r="G24" s="71"/>
      <c r="H24" s="71" t="s">
        <v>39</v>
      </c>
      <c r="I24" s="29">
        <v>6</v>
      </c>
      <c r="J24" s="71" t="s">
        <v>40</v>
      </c>
      <c r="K24" s="30">
        <f>TRUNC((I24*K23),2)</f>
        <v>2842.92</v>
      </c>
    </row>
    <row r="25" spans="1:11" s="70" customFormat="1" x14ac:dyDescent="0.2">
      <c r="A25" s="160"/>
      <c r="B25" s="71"/>
      <c r="C25" s="71"/>
      <c r="D25" s="71"/>
      <c r="E25" s="71"/>
      <c r="F25" s="71"/>
      <c r="G25" s="71"/>
      <c r="H25" s="71"/>
      <c r="I25" s="29"/>
      <c r="J25" s="71"/>
      <c r="K25" s="30"/>
    </row>
    <row r="26" spans="1:11" s="137" customFormat="1" ht="15" x14ac:dyDescent="0.2">
      <c r="A26" s="160"/>
      <c r="B26" s="142" t="s">
        <v>187</v>
      </c>
      <c r="C26" s="7" t="s">
        <v>9</v>
      </c>
      <c r="D26" s="142" t="s">
        <v>10</v>
      </c>
      <c r="E26" s="142" t="s">
        <v>11</v>
      </c>
      <c r="F26" s="236" t="s">
        <v>34</v>
      </c>
      <c r="G26" s="236"/>
      <c r="H26" s="8" t="s">
        <v>12</v>
      </c>
      <c r="I26" s="7" t="s">
        <v>13</v>
      </c>
      <c r="J26" s="7" t="s">
        <v>14</v>
      </c>
      <c r="K26" s="7" t="s">
        <v>17</v>
      </c>
    </row>
    <row r="27" spans="1:11" s="137" customFormat="1" x14ac:dyDescent="0.2">
      <c r="A27" s="160"/>
      <c r="B27" s="143" t="s">
        <v>35</v>
      </c>
      <c r="C27" s="14" t="s">
        <v>77</v>
      </c>
      <c r="D27" s="143" t="s">
        <v>20</v>
      </c>
      <c r="E27" s="143" t="s">
        <v>214</v>
      </c>
      <c r="F27" s="237" t="s">
        <v>36</v>
      </c>
      <c r="G27" s="237"/>
      <c r="H27" s="15" t="s">
        <v>211</v>
      </c>
      <c r="I27" s="22"/>
      <c r="J27" s="23"/>
      <c r="K27" s="23">
        <f>TRUNC(SUM(K28),2)</f>
        <v>262.55</v>
      </c>
    </row>
    <row r="28" spans="1:11" s="137" customFormat="1" x14ac:dyDescent="0.2">
      <c r="A28" s="160"/>
      <c r="B28" s="140" t="s">
        <v>37</v>
      </c>
      <c r="C28" s="24" t="s">
        <v>215</v>
      </c>
      <c r="D28" s="140" t="s">
        <v>20</v>
      </c>
      <c r="E28" s="140" t="s">
        <v>214</v>
      </c>
      <c r="F28" s="239" t="s">
        <v>216</v>
      </c>
      <c r="G28" s="239"/>
      <c r="H28" s="25" t="s">
        <v>211</v>
      </c>
      <c r="I28" s="26">
        <v>1</v>
      </c>
      <c r="J28" s="27">
        <v>262.55</v>
      </c>
      <c r="K28" s="27">
        <f>TRUNC(I28*J28,2)</f>
        <v>262.55</v>
      </c>
    </row>
    <row r="29" spans="1:11" s="137" customFormat="1" x14ac:dyDescent="0.2">
      <c r="A29" s="160"/>
      <c r="B29" s="138"/>
      <c r="C29" s="138"/>
      <c r="D29" s="138"/>
      <c r="E29" s="138"/>
      <c r="F29" s="138"/>
      <c r="G29" s="138"/>
      <c r="H29" s="138"/>
      <c r="I29" s="235" t="s">
        <v>38</v>
      </c>
      <c r="J29" s="235"/>
      <c r="K29" s="28">
        <f>TRUNC(K27*(1+$C$5),2)</f>
        <v>325.85000000000002</v>
      </c>
    </row>
    <row r="30" spans="1:11" s="137" customFormat="1" x14ac:dyDescent="0.2">
      <c r="A30" s="160"/>
      <c r="B30" s="138"/>
      <c r="C30" s="138"/>
      <c r="D30" s="138"/>
      <c r="E30" s="138"/>
      <c r="F30" s="138"/>
      <c r="G30" s="138"/>
      <c r="H30" s="138" t="s">
        <v>39</v>
      </c>
      <c r="I30" s="29">
        <f>'Memória de Cálculo'!E17</f>
        <v>1</v>
      </c>
      <c r="J30" s="138" t="s">
        <v>40</v>
      </c>
      <c r="K30" s="30">
        <f>TRUNC((I30*K29),2)</f>
        <v>325.85000000000002</v>
      </c>
    </row>
    <row r="31" spans="1:11" s="137" customFormat="1" x14ac:dyDescent="0.2">
      <c r="A31" s="160"/>
      <c r="B31" s="138"/>
      <c r="C31" s="138"/>
      <c r="D31" s="138"/>
      <c r="E31" s="138"/>
      <c r="F31" s="138"/>
      <c r="G31" s="138"/>
      <c r="H31" s="138"/>
      <c r="I31" s="29"/>
      <c r="J31" s="138"/>
      <c r="K31" s="30"/>
    </row>
    <row r="32" spans="1:11" s="127" customFormat="1" ht="15" x14ac:dyDescent="0.2">
      <c r="A32" s="160"/>
      <c r="B32" s="142" t="s">
        <v>209</v>
      </c>
      <c r="C32" s="7" t="s">
        <v>9</v>
      </c>
      <c r="D32" s="142" t="s">
        <v>10</v>
      </c>
      <c r="E32" s="142" t="s">
        <v>11</v>
      </c>
      <c r="F32" s="236" t="s">
        <v>34</v>
      </c>
      <c r="G32" s="236"/>
      <c r="H32" s="8" t="s">
        <v>12</v>
      </c>
      <c r="I32" s="7" t="s">
        <v>13</v>
      </c>
      <c r="J32" s="7" t="s">
        <v>14</v>
      </c>
      <c r="K32" s="7" t="s">
        <v>17</v>
      </c>
    </row>
    <row r="33" spans="1:11" s="127" customFormat="1" ht="25.5" x14ac:dyDescent="0.2">
      <c r="A33" s="160"/>
      <c r="B33" s="143" t="s">
        <v>35</v>
      </c>
      <c r="C33" s="14">
        <v>104795</v>
      </c>
      <c r="D33" s="143" t="s">
        <v>0</v>
      </c>
      <c r="E33" s="143" t="s">
        <v>186</v>
      </c>
      <c r="F33" s="237" t="s">
        <v>36</v>
      </c>
      <c r="G33" s="237"/>
      <c r="H33" s="15" t="s">
        <v>105</v>
      </c>
      <c r="I33" s="22"/>
      <c r="J33" s="23"/>
      <c r="K33" s="23">
        <f>TRUNC(SUM(K34:K35),2)</f>
        <v>1.35</v>
      </c>
    </row>
    <row r="34" spans="1:11" s="127" customFormat="1" ht="25.5" x14ac:dyDescent="0.2">
      <c r="A34" s="160"/>
      <c r="B34" s="139" t="s">
        <v>48</v>
      </c>
      <c r="C34" s="31">
        <v>88264</v>
      </c>
      <c r="D34" s="139" t="s">
        <v>0</v>
      </c>
      <c r="E34" s="139" t="s">
        <v>52</v>
      </c>
      <c r="F34" s="238" t="s">
        <v>36</v>
      </c>
      <c r="G34" s="238"/>
      <c r="H34" s="32" t="s">
        <v>50</v>
      </c>
      <c r="I34" s="33">
        <v>1.54E-2</v>
      </c>
      <c r="J34" s="34">
        <v>29.47</v>
      </c>
      <c r="K34" s="34">
        <f>TRUNC(I34*J34,2)</f>
        <v>0.45</v>
      </c>
    </row>
    <row r="35" spans="1:11" s="127" customFormat="1" ht="25.5" x14ac:dyDescent="0.2">
      <c r="A35" s="160"/>
      <c r="B35" s="139" t="s">
        <v>48</v>
      </c>
      <c r="C35" s="31">
        <v>88316</v>
      </c>
      <c r="D35" s="139" t="s">
        <v>0</v>
      </c>
      <c r="E35" s="139" t="s">
        <v>208</v>
      </c>
      <c r="F35" s="238" t="s">
        <v>36</v>
      </c>
      <c r="G35" s="238"/>
      <c r="H35" s="32" t="s">
        <v>50</v>
      </c>
      <c r="I35" s="33">
        <v>4.3499999999999997E-2</v>
      </c>
      <c r="J35" s="34">
        <v>20.81</v>
      </c>
      <c r="K35" s="34">
        <f>TRUNC(I35*J35,2)</f>
        <v>0.9</v>
      </c>
    </row>
    <row r="36" spans="1:11" s="127" customFormat="1" x14ac:dyDescent="0.2">
      <c r="A36" s="160"/>
      <c r="B36" s="138"/>
      <c r="C36" s="138"/>
      <c r="D36" s="138"/>
      <c r="E36" s="138"/>
      <c r="F36" s="138"/>
      <c r="G36" s="138"/>
      <c r="H36" s="138"/>
      <c r="I36" s="235" t="s">
        <v>38</v>
      </c>
      <c r="J36" s="235"/>
      <c r="K36" s="28">
        <f>TRUNC(K33*(1+$C$5),2)</f>
        <v>1.67</v>
      </c>
    </row>
    <row r="37" spans="1:11" s="127" customFormat="1" ht="12.75" customHeight="1" x14ac:dyDescent="0.2">
      <c r="A37" s="160"/>
      <c r="B37" s="138"/>
      <c r="C37" s="138"/>
      <c r="D37" s="138"/>
      <c r="E37" s="138"/>
      <c r="F37" s="138"/>
      <c r="G37" s="138"/>
      <c r="H37" s="138" t="s">
        <v>39</v>
      </c>
      <c r="I37" s="29">
        <f>'Memória de Cálculo'!E20</f>
        <v>229.06</v>
      </c>
      <c r="J37" s="138" t="s">
        <v>40</v>
      </c>
      <c r="K37" s="30">
        <f>TRUNC((I37*K36),2)</f>
        <v>382.53</v>
      </c>
    </row>
    <row r="38" spans="1:11" s="127" customFormat="1" x14ac:dyDescent="0.2">
      <c r="A38" s="160"/>
      <c r="B38" s="128"/>
      <c r="C38" s="128"/>
      <c r="D38" s="128"/>
      <c r="E38" s="128"/>
      <c r="F38" s="128"/>
      <c r="G38" s="128"/>
      <c r="H38" s="128"/>
      <c r="I38" s="29"/>
      <c r="J38" s="128"/>
      <c r="K38" s="30"/>
    </row>
    <row r="39" spans="1:11" s="127" customFormat="1" ht="15" x14ac:dyDescent="0.2">
      <c r="A39" s="160"/>
      <c r="B39" s="142" t="s">
        <v>213</v>
      </c>
      <c r="C39" s="7" t="s">
        <v>9</v>
      </c>
      <c r="D39" s="142" t="s">
        <v>10</v>
      </c>
      <c r="E39" s="142" t="s">
        <v>11</v>
      </c>
      <c r="F39" s="236" t="s">
        <v>34</v>
      </c>
      <c r="G39" s="236"/>
      <c r="H39" s="8" t="s">
        <v>12</v>
      </c>
      <c r="I39" s="7" t="s">
        <v>13</v>
      </c>
      <c r="J39" s="7" t="s">
        <v>14</v>
      </c>
      <c r="K39" s="7" t="s">
        <v>17</v>
      </c>
    </row>
    <row r="40" spans="1:11" s="127" customFormat="1" ht="25.5" x14ac:dyDescent="0.2">
      <c r="A40" s="160"/>
      <c r="B40" s="143" t="s">
        <v>35</v>
      </c>
      <c r="C40" s="14" t="s">
        <v>78</v>
      </c>
      <c r="D40" s="156" t="s">
        <v>20</v>
      </c>
      <c r="E40" s="143" t="s">
        <v>263</v>
      </c>
      <c r="F40" s="237" t="s">
        <v>36</v>
      </c>
      <c r="G40" s="237"/>
      <c r="H40" s="15" t="s">
        <v>160</v>
      </c>
      <c r="I40" s="22"/>
      <c r="J40" s="23"/>
      <c r="K40" s="23">
        <f>TRUNC(SUM(K41:K42),2)</f>
        <v>1.45</v>
      </c>
    </row>
    <row r="41" spans="1:11" s="137" customFormat="1" ht="25.5" x14ac:dyDescent="0.2">
      <c r="A41" s="160"/>
      <c r="B41" s="139" t="s">
        <v>48</v>
      </c>
      <c r="C41" s="31">
        <v>88264</v>
      </c>
      <c r="D41" s="139" t="s">
        <v>0</v>
      </c>
      <c r="E41" s="139" t="s">
        <v>52</v>
      </c>
      <c r="F41" s="238" t="s">
        <v>36</v>
      </c>
      <c r="G41" s="238"/>
      <c r="H41" s="32" t="s">
        <v>50</v>
      </c>
      <c r="I41" s="33">
        <v>6.1999999999999998E-3</v>
      </c>
      <c r="J41" s="34">
        <v>29.47</v>
      </c>
      <c r="K41" s="34">
        <f>TRUNC(I41*J41,2)</f>
        <v>0.18</v>
      </c>
    </row>
    <row r="42" spans="1:11" s="137" customFormat="1" ht="25.5" x14ac:dyDescent="0.2">
      <c r="A42" s="160"/>
      <c r="B42" s="139" t="s">
        <v>48</v>
      </c>
      <c r="C42" s="31">
        <v>88316</v>
      </c>
      <c r="D42" s="139" t="s">
        <v>0</v>
      </c>
      <c r="E42" s="139" t="s">
        <v>208</v>
      </c>
      <c r="F42" s="238" t="s">
        <v>36</v>
      </c>
      <c r="G42" s="238"/>
      <c r="H42" s="32" t="s">
        <v>50</v>
      </c>
      <c r="I42" s="33">
        <v>6.1499999999999999E-2</v>
      </c>
      <c r="J42" s="34">
        <v>20.81</v>
      </c>
      <c r="K42" s="34">
        <f>TRUNC(I42*J42,2)</f>
        <v>1.27</v>
      </c>
    </row>
    <row r="43" spans="1:11" s="137" customFormat="1" x14ac:dyDescent="0.2">
      <c r="A43" s="160"/>
      <c r="B43" s="138"/>
      <c r="C43" s="138"/>
      <c r="D43" s="138"/>
      <c r="E43" s="138"/>
      <c r="F43" s="138"/>
      <c r="G43" s="138"/>
      <c r="H43" s="138"/>
      <c r="I43" s="235" t="s">
        <v>38</v>
      </c>
      <c r="J43" s="235"/>
      <c r="K43" s="28">
        <f>TRUNC(K40*(1+$C$5),2)</f>
        <v>1.79</v>
      </c>
    </row>
    <row r="44" spans="1:11" s="137" customFormat="1" x14ac:dyDescent="0.2">
      <c r="A44" s="160"/>
      <c r="B44" s="138"/>
      <c r="C44" s="138"/>
      <c r="D44" s="138"/>
      <c r="E44" s="138"/>
      <c r="F44" s="138"/>
      <c r="G44" s="138"/>
      <c r="H44" s="138" t="s">
        <v>39</v>
      </c>
      <c r="I44" s="29">
        <f>'Memória de Cálculo'!E22</f>
        <v>4</v>
      </c>
      <c r="J44" s="138" t="s">
        <v>40</v>
      </c>
      <c r="K44" s="30">
        <f>TRUNC((I44*K43),2)</f>
        <v>7.16</v>
      </c>
    </row>
    <row r="45" spans="1:11" s="137" customFormat="1" x14ac:dyDescent="0.2">
      <c r="A45" s="160"/>
      <c r="B45" s="138"/>
      <c r="C45" s="138"/>
      <c r="D45" s="138"/>
      <c r="E45" s="138"/>
      <c r="F45" s="138"/>
      <c r="G45" s="138"/>
      <c r="H45" s="138"/>
      <c r="I45" s="29"/>
      <c r="J45" s="138"/>
      <c r="K45" s="30"/>
    </row>
    <row r="46" spans="1:11" s="137" customFormat="1" ht="15" x14ac:dyDescent="0.2">
      <c r="A46" s="160"/>
      <c r="B46" s="142" t="s">
        <v>217</v>
      </c>
      <c r="C46" s="7" t="s">
        <v>9</v>
      </c>
      <c r="D46" s="142" t="s">
        <v>10</v>
      </c>
      <c r="E46" s="142" t="s">
        <v>11</v>
      </c>
      <c r="F46" s="236" t="s">
        <v>34</v>
      </c>
      <c r="G46" s="236"/>
      <c r="H46" s="8" t="s">
        <v>12</v>
      </c>
      <c r="I46" s="7" t="s">
        <v>13</v>
      </c>
      <c r="J46" s="7" t="s">
        <v>14</v>
      </c>
      <c r="K46" s="7" t="s">
        <v>17</v>
      </c>
    </row>
    <row r="47" spans="1:11" s="137" customFormat="1" x14ac:dyDescent="0.2">
      <c r="A47" s="160"/>
      <c r="B47" s="190" t="s">
        <v>35</v>
      </c>
      <c r="C47" s="14">
        <v>97664</v>
      </c>
      <c r="D47" s="143" t="s">
        <v>0</v>
      </c>
      <c r="E47" s="143" t="s">
        <v>347</v>
      </c>
      <c r="F47" s="237" t="s">
        <v>36</v>
      </c>
      <c r="G47" s="237"/>
      <c r="H47" s="15" t="s">
        <v>160</v>
      </c>
      <c r="I47" s="22"/>
      <c r="J47" s="23"/>
      <c r="K47" s="23">
        <f>TRUNC(SUM(K48:K49),2)</f>
        <v>1.57</v>
      </c>
    </row>
    <row r="48" spans="1:11" s="137" customFormat="1" ht="25.5" x14ac:dyDescent="0.2">
      <c r="A48" s="160"/>
      <c r="B48" s="139" t="s">
        <v>48</v>
      </c>
      <c r="C48" s="31">
        <v>88267</v>
      </c>
      <c r="D48" s="139" t="s">
        <v>0</v>
      </c>
      <c r="E48" s="139" t="s">
        <v>218</v>
      </c>
      <c r="F48" s="238" t="s">
        <v>36</v>
      </c>
      <c r="G48" s="238"/>
      <c r="H48" s="32" t="s">
        <v>50</v>
      </c>
      <c r="I48" s="33">
        <v>1.8100000000000002E-2</v>
      </c>
      <c r="J48" s="34">
        <v>28.32</v>
      </c>
      <c r="K48" s="34">
        <f>TRUNC(I48*J48,2)</f>
        <v>0.51</v>
      </c>
    </row>
    <row r="49" spans="1:11" s="137" customFormat="1" ht="25.5" x14ac:dyDescent="0.2">
      <c r="A49" s="160"/>
      <c r="B49" s="139" t="s">
        <v>48</v>
      </c>
      <c r="C49" s="31">
        <v>88316</v>
      </c>
      <c r="D49" s="139" t="s">
        <v>0</v>
      </c>
      <c r="E49" s="139" t="s">
        <v>118</v>
      </c>
      <c r="F49" s="238" t="s">
        <v>36</v>
      </c>
      <c r="G49" s="238"/>
      <c r="H49" s="32" t="s">
        <v>50</v>
      </c>
      <c r="I49" s="33">
        <v>5.1200000000000002E-2</v>
      </c>
      <c r="J49" s="34">
        <v>20.81</v>
      </c>
      <c r="K49" s="34">
        <f>TRUNC(I49*J49,2)</f>
        <v>1.06</v>
      </c>
    </row>
    <row r="50" spans="1:11" s="137" customFormat="1" x14ac:dyDescent="0.2">
      <c r="A50" s="160"/>
      <c r="B50" s="138"/>
      <c r="C50" s="138"/>
      <c r="D50" s="138"/>
      <c r="E50" s="138"/>
      <c r="F50" s="138"/>
      <c r="G50" s="138"/>
      <c r="H50" s="138"/>
      <c r="I50" s="235" t="s">
        <v>38</v>
      </c>
      <c r="J50" s="235"/>
      <c r="K50" s="28">
        <f>TRUNC(K47*(1+$C$5),2)</f>
        <v>1.94</v>
      </c>
    </row>
    <row r="51" spans="1:11" s="137" customFormat="1" x14ac:dyDescent="0.2">
      <c r="A51" s="160"/>
      <c r="B51" s="138"/>
      <c r="C51" s="138"/>
      <c r="D51" s="138"/>
      <c r="E51" s="138"/>
      <c r="F51" s="138"/>
      <c r="G51" s="138"/>
      <c r="H51" s="138" t="s">
        <v>39</v>
      </c>
      <c r="I51" s="29">
        <f>'Memória de Cálculo'!E24</f>
        <v>6</v>
      </c>
      <c r="J51" s="138" t="s">
        <v>40</v>
      </c>
      <c r="K51" s="30">
        <f>TRUNC((I51*K50),2)</f>
        <v>11.64</v>
      </c>
    </row>
    <row r="52" spans="1:11" s="137" customFormat="1" x14ac:dyDescent="0.2">
      <c r="A52" s="160"/>
      <c r="B52" s="138"/>
      <c r="C52" s="138"/>
      <c r="D52" s="138"/>
      <c r="E52" s="138"/>
      <c r="F52" s="138"/>
      <c r="G52" s="138"/>
      <c r="H52" s="138"/>
      <c r="I52" s="29"/>
      <c r="J52" s="138"/>
      <c r="K52" s="30"/>
    </row>
    <row r="53" spans="1:11" s="137" customFormat="1" ht="15" x14ac:dyDescent="0.2">
      <c r="A53" s="160"/>
      <c r="B53" s="142" t="s">
        <v>242</v>
      </c>
      <c r="C53" s="7" t="s">
        <v>9</v>
      </c>
      <c r="D53" s="142" t="s">
        <v>10</v>
      </c>
      <c r="E53" s="142" t="s">
        <v>11</v>
      </c>
      <c r="F53" s="236" t="s">
        <v>34</v>
      </c>
      <c r="G53" s="236"/>
      <c r="H53" s="8" t="s">
        <v>12</v>
      </c>
      <c r="I53" s="7" t="s">
        <v>13</v>
      </c>
      <c r="J53" s="7" t="s">
        <v>14</v>
      </c>
      <c r="K53" s="7" t="s">
        <v>17</v>
      </c>
    </row>
    <row r="54" spans="1:11" s="127" customFormat="1" ht="25.5" x14ac:dyDescent="0.2">
      <c r="A54" s="160"/>
      <c r="B54" s="143" t="s">
        <v>35</v>
      </c>
      <c r="C54" s="14" t="s">
        <v>79</v>
      </c>
      <c r="D54" s="156" t="s">
        <v>20</v>
      </c>
      <c r="E54" s="143" t="s">
        <v>264</v>
      </c>
      <c r="F54" s="237" t="s">
        <v>220</v>
      </c>
      <c r="G54" s="237"/>
      <c r="H54" s="15" t="s">
        <v>276</v>
      </c>
      <c r="I54" s="22"/>
      <c r="J54" s="23"/>
      <c r="K54" s="23">
        <f>TRUNC(SUM(K55:K56),2)</f>
        <v>98.07</v>
      </c>
    </row>
    <row r="55" spans="1:11" s="127" customFormat="1" ht="25.5" x14ac:dyDescent="0.2">
      <c r="A55" s="160"/>
      <c r="B55" s="139" t="s">
        <v>48</v>
      </c>
      <c r="C55" s="31" t="s">
        <v>221</v>
      </c>
      <c r="D55" s="139" t="s">
        <v>0</v>
      </c>
      <c r="E55" s="139" t="s">
        <v>118</v>
      </c>
      <c r="F55" s="238" t="s">
        <v>36</v>
      </c>
      <c r="G55" s="238"/>
      <c r="H55" s="32" t="s">
        <v>50</v>
      </c>
      <c r="I55" s="33">
        <v>0.65</v>
      </c>
      <c r="J55" s="34">
        <v>20.81</v>
      </c>
      <c r="K55" s="34">
        <f>TRUNC(I55*J55,2)</f>
        <v>13.52</v>
      </c>
    </row>
    <row r="56" spans="1:11" s="127" customFormat="1" x14ac:dyDescent="0.2">
      <c r="A56" s="160"/>
      <c r="B56" s="140" t="s">
        <v>37</v>
      </c>
      <c r="C56" s="24">
        <v>2691</v>
      </c>
      <c r="D56" s="140" t="s">
        <v>101</v>
      </c>
      <c r="E56" s="140" t="s">
        <v>222</v>
      </c>
      <c r="F56" s="239" t="s">
        <v>54</v>
      </c>
      <c r="G56" s="239"/>
      <c r="H56" s="25" t="s">
        <v>276</v>
      </c>
      <c r="I56" s="26">
        <v>1</v>
      </c>
      <c r="J56" s="27">
        <v>84.55</v>
      </c>
      <c r="K56" s="27">
        <f>TRUNC(I56*J56,2)</f>
        <v>84.55</v>
      </c>
    </row>
    <row r="57" spans="1:11" s="127" customFormat="1" x14ac:dyDescent="0.2">
      <c r="A57" s="160"/>
      <c r="B57" s="141"/>
      <c r="C57" s="141"/>
      <c r="D57" s="141"/>
      <c r="E57" s="141"/>
      <c r="F57" s="141"/>
      <c r="G57" s="28"/>
      <c r="H57" s="141"/>
      <c r="I57" s="235" t="s">
        <v>38</v>
      </c>
      <c r="J57" s="235"/>
      <c r="K57" s="28">
        <f>TRUNC(K54*(1+$C$5),2)</f>
        <v>121.71</v>
      </c>
    </row>
    <row r="58" spans="1:11" s="127" customFormat="1" x14ac:dyDescent="0.2">
      <c r="A58" s="160"/>
      <c r="B58" s="138"/>
      <c r="C58" s="138"/>
      <c r="D58" s="138"/>
      <c r="E58" s="138"/>
      <c r="F58" s="138"/>
      <c r="G58" s="138"/>
      <c r="H58" s="138" t="s">
        <v>39</v>
      </c>
      <c r="I58" s="29">
        <f>'Memória de Cálculo'!E28</f>
        <v>3</v>
      </c>
      <c r="J58" s="138" t="s">
        <v>40</v>
      </c>
      <c r="K58" s="30">
        <f>TRUNC((I58*K57),2)</f>
        <v>365.13</v>
      </c>
    </row>
    <row r="59" spans="1:11" s="206" customFormat="1" x14ac:dyDescent="0.2">
      <c r="B59" s="205"/>
      <c r="C59" s="205"/>
      <c r="D59" s="205"/>
      <c r="E59" s="205"/>
      <c r="F59" s="205"/>
      <c r="G59" s="205"/>
      <c r="H59" s="205"/>
      <c r="I59" s="29"/>
      <c r="J59" s="205"/>
      <c r="K59" s="30"/>
    </row>
    <row r="60" spans="1:11" s="206" customFormat="1" ht="15" x14ac:dyDescent="0.2">
      <c r="B60" s="209" t="s">
        <v>358</v>
      </c>
      <c r="C60" s="7" t="s">
        <v>9</v>
      </c>
      <c r="D60" s="209" t="s">
        <v>10</v>
      </c>
      <c r="E60" s="209" t="s">
        <v>11</v>
      </c>
      <c r="F60" s="236" t="s">
        <v>34</v>
      </c>
      <c r="G60" s="236"/>
      <c r="H60" s="8" t="s">
        <v>12</v>
      </c>
      <c r="I60" s="7" t="s">
        <v>13</v>
      </c>
      <c r="J60" s="7" t="s">
        <v>14</v>
      </c>
      <c r="K60" s="7" t="s">
        <v>17</v>
      </c>
    </row>
    <row r="61" spans="1:11" s="206" customFormat="1" x14ac:dyDescent="0.2">
      <c r="B61" s="210" t="s">
        <v>35</v>
      </c>
      <c r="C61" s="14">
        <v>99814</v>
      </c>
      <c r="D61" s="210" t="s">
        <v>0</v>
      </c>
      <c r="E61" s="210" t="s">
        <v>357</v>
      </c>
      <c r="F61" s="237" t="s">
        <v>36</v>
      </c>
      <c r="G61" s="237"/>
      <c r="H61" s="15" t="s">
        <v>276</v>
      </c>
      <c r="I61" s="22"/>
      <c r="J61" s="23"/>
      <c r="K61" s="23">
        <f>TRUNC(SUM(K62:K63),2)</f>
        <v>1.87</v>
      </c>
    </row>
    <row r="62" spans="1:11" s="206" customFormat="1" ht="25.5" x14ac:dyDescent="0.2">
      <c r="B62" s="213" t="s">
        <v>48</v>
      </c>
      <c r="C62" s="31" t="s">
        <v>221</v>
      </c>
      <c r="D62" s="213" t="s">
        <v>0</v>
      </c>
      <c r="E62" s="213" t="s">
        <v>118</v>
      </c>
      <c r="F62" s="238" t="s">
        <v>36</v>
      </c>
      <c r="G62" s="238"/>
      <c r="H62" s="32" t="s">
        <v>50</v>
      </c>
      <c r="I62" s="33">
        <v>8.8999999999999996E-2</v>
      </c>
      <c r="J62" s="34">
        <v>20.81</v>
      </c>
      <c r="K62" s="34">
        <f>TRUNC(I62*J62,2)</f>
        <v>1.85</v>
      </c>
    </row>
    <row r="63" spans="1:11" s="206" customFormat="1" ht="25.5" x14ac:dyDescent="0.2">
      <c r="B63" s="213" t="s">
        <v>48</v>
      </c>
      <c r="C63" s="31">
        <v>99833</v>
      </c>
      <c r="D63" s="213" t="s">
        <v>0</v>
      </c>
      <c r="E63" s="213" t="s">
        <v>359</v>
      </c>
      <c r="F63" s="238" t="s">
        <v>36</v>
      </c>
      <c r="G63" s="238"/>
      <c r="H63" s="32" t="s">
        <v>50</v>
      </c>
      <c r="I63" s="33">
        <v>1.4999999999999999E-2</v>
      </c>
      <c r="J63" s="34">
        <v>1.98</v>
      </c>
      <c r="K63" s="34">
        <f>TRUNC(I63*J63,2)</f>
        <v>0.02</v>
      </c>
    </row>
    <row r="64" spans="1:11" s="206" customFormat="1" x14ac:dyDescent="0.2">
      <c r="B64" s="212"/>
      <c r="C64" s="212"/>
      <c r="D64" s="212"/>
      <c r="E64" s="212"/>
      <c r="F64" s="212"/>
      <c r="G64" s="28"/>
      <c r="H64" s="212"/>
      <c r="I64" s="235" t="s">
        <v>38</v>
      </c>
      <c r="J64" s="235"/>
      <c r="K64" s="28">
        <f>TRUNC(K61*(1+$C$5),2)</f>
        <v>2.3199999999999998</v>
      </c>
    </row>
    <row r="65" spans="2:11" s="206" customFormat="1" x14ac:dyDescent="0.2">
      <c r="B65" s="205"/>
      <c r="C65" s="205"/>
      <c r="D65" s="205"/>
      <c r="E65" s="205"/>
      <c r="F65" s="205"/>
      <c r="G65" s="205"/>
      <c r="H65" s="205" t="s">
        <v>39</v>
      </c>
      <c r="I65" s="29">
        <f>'Memória de Cálculo'!E30</f>
        <v>25.92</v>
      </c>
      <c r="J65" s="205" t="s">
        <v>40</v>
      </c>
      <c r="K65" s="30">
        <f>TRUNC((I65*K64),2)</f>
        <v>60.13</v>
      </c>
    </row>
    <row r="66" spans="2:11" s="206" customFormat="1" x14ac:dyDescent="0.2">
      <c r="B66" s="205"/>
      <c r="C66" s="205"/>
      <c r="D66" s="205"/>
      <c r="E66" s="205"/>
      <c r="F66" s="205"/>
      <c r="G66" s="205"/>
      <c r="H66" s="205"/>
      <c r="I66" s="29"/>
      <c r="J66" s="205"/>
      <c r="K66" s="30"/>
    </row>
    <row r="67" spans="2:11" s="61" customFormat="1" ht="15" x14ac:dyDescent="0.25">
      <c r="B67" s="58">
        <v>2</v>
      </c>
      <c r="C67" s="58"/>
      <c r="D67" s="58"/>
      <c r="E67" s="58" t="s">
        <v>28</v>
      </c>
      <c r="F67" s="58"/>
      <c r="G67" s="240"/>
      <c r="H67" s="240"/>
      <c r="I67" s="59"/>
      <c r="J67" s="58"/>
      <c r="K67" s="124">
        <f>TRUNC(SUM(K72+K81+K90+K99+K108+K116+K125+K133+K145+K152+K159+K168+K177),2)</f>
        <v>84633.78</v>
      </c>
    </row>
    <row r="68" spans="2:11" s="61" customFormat="1" ht="15" x14ac:dyDescent="0.25">
      <c r="B68" s="116" t="s">
        <v>57</v>
      </c>
      <c r="C68" s="7" t="s">
        <v>9</v>
      </c>
      <c r="D68" s="116" t="s">
        <v>10</v>
      </c>
      <c r="E68" s="116" t="s">
        <v>11</v>
      </c>
      <c r="F68" s="236" t="s">
        <v>34</v>
      </c>
      <c r="G68" s="236"/>
      <c r="H68" s="8" t="s">
        <v>12</v>
      </c>
      <c r="I68" s="7" t="s">
        <v>13</v>
      </c>
      <c r="J68" s="7" t="s">
        <v>14</v>
      </c>
      <c r="K68" s="7" t="s">
        <v>17</v>
      </c>
    </row>
    <row r="69" spans="2:11" s="61" customFormat="1" ht="25.5" x14ac:dyDescent="0.25">
      <c r="B69" s="117" t="s">
        <v>35</v>
      </c>
      <c r="C69" s="14">
        <v>93358</v>
      </c>
      <c r="D69" s="117" t="s">
        <v>0</v>
      </c>
      <c r="E69" s="117" t="s">
        <v>143</v>
      </c>
      <c r="F69" s="237" t="s">
        <v>49</v>
      </c>
      <c r="G69" s="237"/>
      <c r="H69" s="15" t="s">
        <v>276</v>
      </c>
      <c r="I69" s="22"/>
      <c r="J69" s="23"/>
      <c r="K69" s="23">
        <f>TRUNC(SUM(K70:K70),2)</f>
        <v>82.32</v>
      </c>
    </row>
    <row r="70" spans="2:11" s="61" customFormat="1" ht="25.5" x14ac:dyDescent="0.25">
      <c r="B70" s="118" t="s">
        <v>48</v>
      </c>
      <c r="C70" s="31">
        <v>88316</v>
      </c>
      <c r="D70" s="118" t="s">
        <v>0</v>
      </c>
      <c r="E70" s="118" t="s">
        <v>118</v>
      </c>
      <c r="F70" s="238" t="s">
        <v>36</v>
      </c>
      <c r="G70" s="238"/>
      <c r="H70" s="32" t="s">
        <v>50</v>
      </c>
      <c r="I70" s="33">
        <v>3.956</v>
      </c>
      <c r="J70" s="34">
        <v>20.81</v>
      </c>
      <c r="K70" s="34">
        <f>TRUNC(I70*J70,2)</f>
        <v>82.32</v>
      </c>
    </row>
    <row r="71" spans="2:11" s="61" customFormat="1" ht="15" x14ac:dyDescent="0.25">
      <c r="B71" s="115"/>
      <c r="C71" s="115"/>
      <c r="D71" s="115"/>
      <c r="E71" s="115"/>
      <c r="F71" s="115"/>
      <c r="G71" s="115"/>
      <c r="H71" s="115"/>
      <c r="I71" s="235" t="s">
        <v>38</v>
      </c>
      <c r="J71" s="235"/>
      <c r="K71" s="28">
        <f>TRUNC(K69*(1+$C$5),2)</f>
        <v>102.16</v>
      </c>
    </row>
    <row r="72" spans="2:11" s="61" customFormat="1" ht="15" x14ac:dyDescent="0.25">
      <c r="B72" s="115"/>
      <c r="C72" s="115"/>
      <c r="D72" s="115"/>
      <c r="E72" s="115"/>
      <c r="F72" s="115"/>
      <c r="G72" s="115"/>
      <c r="H72" s="115" t="s">
        <v>39</v>
      </c>
      <c r="I72" s="29">
        <f>'Memória de Cálculo'!E35</f>
        <v>27.299999999999997</v>
      </c>
      <c r="J72" s="115" t="s">
        <v>40</v>
      </c>
      <c r="K72" s="30">
        <f>TRUNC((I72*K71),2)</f>
        <v>2788.96</v>
      </c>
    </row>
    <row r="73" spans="2:11" s="61" customFormat="1" ht="15" x14ac:dyDescent="0.25">
      <c r="B73" s="115"/>
      <c r="C73" s="115"/>
      <c r="D73" s="115"/>
      <c r="E73" s="115"/>
      <c r="F73" s="115"/>
      <c r="G73" s="115"/>
      <c r="H73" s="115"/>
      <c r="I73" s="29"/>
      <c r="J73" s="115"/>
      <c r="K73" s="30"/>
    </row>
    <row r="74" spans="2:11" s="61" customFormat="1" ht="15" x14ac:dyDescent="0.25">
      <c r="B74" s="116" t="s">
        <v>155</v>
      </c>
      <c r="C74" s="7" t="s">
        <v>9</v>
      </c>
      <c r="D74" s="116" t="s">
        <v>10</v>
      </c>
      <c r="E74" s="116" t="s">
        <v>11</v>
      </c>
      <c r="F74" s="236" t="s">
        <v>34</v>
      </c>
      <c r="G74" s="236"/>
      <c r="H74" s="8" t="s">
        <v>12</v>
      </c>
      <c r="I74" s="7" t="s">
        <v>13</v>
      </c>
      <c r="J74" s="7" t="s">
        <v>14</v>
      </c>
      <c r="K74" s="7" t="s">
        <v>17</v>
      </c>
    </row>
    <row r="75" spans="2:11" s="61" customFormat="1" ht="25.5" x14ac:dyDescent="0.25">
      <c r="B75" s="117" t="s">
        <v>35</v>
      </c>
      <c r="C75" s="14" t="s">
        <v>148</v>
      </c>
      <c r="D75" s="117" t="s">
        <v>0</v>
      </c>
      <c r="E75" s="117" t="s">
        <v>149</v>
      </c>
      <c r="F75" s="237" t="s">
        <v>49</v>
      </c>
      <c r="G75" s="237"/>
      <c r="H75" s="15" t="s">
        <v>278</v>
      </c>
      <c r="I75" s="22"/>
      <c r="J75" s="23"/>
      <c r="K75" s="23">
        <f>TRUNC(SUM(K76:K79),2)</f>
        <v>6.32</v>
      </c>
    </row>
    <row r="76" spans="2:11" s="61" customFormat="1" ht="25.5" x14ac:dyDescent="0.25">
      <c r="B76" s="118" t="s">
        <v>48</v>
      </c>
      <c r="C76" s="31">
        <v>88309</v>
      </c>
      <c r="D76" s="118" t="s">
        <v>0</v>
      </c>
      <c r="E76" s="118" t="s">
        <v>124</v>
      </c>
      <c r="F76" s="238" t="s">
        <v>36</v>
      </c>
      <c r="G76" s="238"/>
      <c r="H76" s="32" t="s">
        <v>50</v>
      </c>
      <c r="I76" s="33">
        <v>0.10199999999999999</v>
      </c>
      <c r="J76" s="34">
        <v>29.09</v>
      </c>
      <c r="K76" s="34">
        <f>TRUNC(I76*J76,2)</f>
        <v>2.96</v>
      </c>
    </row>
    <row r="77" spans="2:11" s="61" customFormat="1" ht="25.5" x14ac:dyDescent="0.25">
      <c r="B77" s="118" t="s">
        <v>48</v>
      </c>
      <c r="C77" s="31">
        <v>88316</v>
      </c>
      <c r="D77" s="118" t="s">
        <v>0</v>
      </c>
      <c r="E77" s="118" t="s">
        <v>118</v>
      </c>
      <c r="F77" s="238" t="s">
        <v>36</v>
      </c>
      <c r="G77" s="238"/>
      <c r="H77" s="32" t="s">
        <v>50</v>
      </c>
      <c r="I77" s="33">
        <v>0.15310000000000001</v>
      </c>
      <c r="J77" s="34">
        <v>20.81</v>
      </c>
      <c r="K77" s="34">
        <f>TRUNC(I77*J77,2)</f>
        <v>3.18</v>
      </c>
    </row>
    <row r="78" spans="2:11" s="61" customFormat="1" ht="25.5" x14ac:dyDescent="0.25">
      <c r="B78" s="118" t="s">
        <v>48</v>
      </c>
      <c r="C78" s="31">
        <v>91533</v>
      </c>
      <c r="D78" s="118" t="s">
        <v>0</v>
      </c>
      <c r="E78" s="118" t="s">
        <v>152</v>
      </c>
      <c r="F78" s="238" t="s">
        <v>36</v>
      </c>
      <c r="G78" s="238"/>
      <c r="H78" s="32" t="s">
        <v>154</v>
      </c>
      <c r="I78" s="33">
        <v>3.5999999999999999E-3</v>
      </c>
      <c r="J78" s="34">
        <v>29.46</v>
      </c>
      <c r="K78" s="34">
        <f>TRUNC(I78*J78,2)</f>
        <v>0.1</v>
      </c>
    </row>
    <row r="79" spans="2:11" s="61" customFormat="1" ht="25.5" x14ac:dyDescent="0.25">
      <c r="B79" s="118" t="s">
        <v>48</v>
      </c>
      <c r="C79" s="31">
        <v>91534</v>
      </c>
      <c r="D79" s="118" t="s">
        <v>0</v>
      </c>
      <c r="E79" s="118" t="s">
        <v>153</v>
      </c>
      <c r="F79" s="238" t="s">
        <v>36</v>
      </c>
      <c r="G79" s="238"/>
      <c r="H79" s="32" t="s">
        <v>167</v>
      </c>
      <c r="I79" s="33">
        <v>3.5999999999999999E-3</v>
      </c>
      <c r="J79" s="34">
        <v>22.49</v>
      </c>
      <c r="K79" s="34">
        <f>TRUNC(I79*J79,2)</f>
        <v>0.08</v>
      </c>
    </row>
    <row r="80" spans="2:11" s="61" customFormat="1" ht="15" x14ac:dyDescent="0.25">
      <c r="B80" s="115"/>
      <c r="C80" s="115"/>
      <c r="D80" s="115"/>
      <c r="E80" s="115"/>
      <c r="F80" s="115"/>
      <c r="G80" s="115"/>
      <c r="H80" s="115"/>
      <c r="I80" s="235" t="s">
        <v>38</v>
      </c>
      <c r="J80" s="235"/>
      <c r="K80" s="28">
        <f>TRUNC(K75*(1+$C$5),2)</f>
        <v>7.84</v>
      </c>
    </row>
    <row r="81" spans="1:11" s="61" customFormat="1" ht="15" x14ac:dyDescent="0.25">
      <c r="B81" s="115"/>
      <c r="C81" s="115"/>
      <c r="D81" s="115"/>
      <c r="E81" s="115"/>
      <c r="F81" s="115"/>
      <c r="G81" s="115"/>
      <c r="H81" s="115" t="s">
        <v>39</v>
      </c>
      <c r="I81" s="29">
        <f>'Memória de Cálculo'!E44</f>
        <v>54</v>
      </c>
      <c r="J81" s="115" t="s">
        <v>40</v>
      </c>
      <c r="K81" s="30">
        <f>TRUNC((I81*K80),2)</f>
        <v>423.36</v>
      </c>
    </row>
    <row r="82" spans="1:11" s="61" customFormat="1" ht="15" x14ac:dyDescent="0.25">
      <c r="B82" s="215"/>
      <c r="C82" s="215"/>
      <c r="D82" s="215"/>
      <c r="E82" s="215"/>
      <c r="F82" s="215"/>
      <c r="G82" s="215"/>
      <c r="H82" s="215"/>
      <c r="I82" s="29"/>
      <c r="J82" s="215"/>
      <c r="K82" s="30"/>
    </row>
    <row r="83" spans="1:11" s="61" customFormat="1" ht="15" x14ac:dyDescent="0.25">
      <c r="B83" s="218" t="s">
        <v>378</v>
      </c>
      <c r="C83" s="7" t="s">
        <v>9</v>
      </c>
      <c r="D83" s="218" t="s">
        <v>10</v>
      </c>
      <c r="E83" s="218" t="s">
        <v>11</v>
      </c>
      <c r="F83" s="236" t="s">
        <v>34</v>
      </c>
      <c r="G83" s="236"/>
      <c r="H83" s="8" t="s">
        <v>12</v>
      </c>
      <c r="I83" s="7" t="s">
        <v>13</v>
      </c>
      <c r="J83" s="7" t="s">
        <v>14</v>
      </c>
      <c r="K83" s="7" t="s">
        <v>17</v>
      </c>
    </row>
    <row r="84" spans="1:11" s="61" customFormat="1" ht="25.5" x14ac:dyDescent="0.25">
      <c r="B84" s="219" t="s">
        <v>35</v>
      </c>
      <c r="C84" s="14" t="s">
        <v>379</v>
      </c>
      <c r="D84" s="219" t="s">
        <v>0</v>
      </c>
      <c r="E84" s="219" t="s">
        <v>373</v>
      </c>
      <c r="F84" s="237" t="s">
        <v>380</v>
      </c>
      <c r="G84" s="237"/>
      <c r="H84" s="15" t="s">
        <v>105</v>
      </c>
      <c r="I84" s="22"/>
      <c r="J84" s="23"/>
      <c r="K84" s="23">
        <f>TRUNC(SUM(K85:K88),2)</f>
        <v>11.83</v>
      </c>
    </row>
    <row r="85" spans="1:11" s="61" customFormat="1" ht="25.5" x14ac:dyDescent="0.25">
      <c r="B85" s="220" t="s">
        <v>48</v>
      </c>
      <c r="C85" s="31" t="s">
        <v>381</v>
      </c>
      <c r="D85" s="220" t="s">
        <v>0</v>
      </c>
      <c r="E85" s="220" t="s">
        <v>382</v>
      </c>
      <c r="F85" s="238" t="s">
        <v>383</v>
      </c>
      <c r="G85" s="238"/>
      <c r="H85" s="32" t="s">
        <v>167</v>
      </c>
      <c r="I85" s="33">
        <v>0.16320000000000001</v>
      </c>
      <c r="J85" s="34">
        <v>22.96</v>
      </c>
      <c r="K85" s="34">
        <f>TRUNC(I85*J85,2)</f>
        <v>3.74</v>
      </c>
    </row>
    <row r="86" spans="1:11" s="61" customFormat="1" ht="25.5" x14ac:dyDescent="0.25">
      <c r="B86" s="220" t="s">
        <v>48</v>
      </c>
      <c r="C86" s="31" t="s">
        <v>384</v>
      </c>
      <c r="D86" s="220" t="s">
        <v>0</v>
      </c>
      <c r="E86" s="220" t="s">
        <v>385</v>
      </c>
      <c r="F86" s="238" t="s">
        <v>383</v>
      </c>
      <c r="G86" s="238"/>
      <c r="H86" s="32" t="s">
        <v>154</v>
      </c>
      <c r="I86" s="33">
        <v>6.6799999999999998E-2</v>
      </c>
      <c r="J86" s="34">
        <v>25.31</v>
      </c>
      <c r="K86" s="34">
        <f>TRUNC(I86*J86,2)</f>
        <v>1.69</v>
      </c>
    </row>
    <row r="87" spans="1:11" s="61" customFormat="1" ht="25.5" x14ac:dyDescent="0.25">
      <c r="B87" s="220" t="s">
        <v>48</v>
      </c>
      <c r="C87" s="31" t="s">
        <v>386</v>
      </c>
      <c r="D87" s="220" t="s">
        <v>0</v>
      </c>
      <c r="E87" s="220" t="s">
        <v>387</v>
      </c>
      <c r="F87" s="238" t="s">
        <v>36</v>
      </c>
      <c r="G87" s="238"/>
      <c r="H87" s="32" t="s">
        <v>50</v>
      </c>
      <c r="I87" s="33">
        <v>6.4600000000000005E-2</v>
      </c>
      <c r="J87" s="34">
        <v>20.49</v>
      </c>
      <c r="K87" s="34">
        <f>TRUNC(I87*J87,2)</f>
        <v>1.32</v>
      </c>
    </row>
    <row r="88" spans="1:11" s="61" customFormat="1" ht="25.5" x14ac:dyDescent="0.25">
      <c r="B88" s="220" t="s">
        <v>48</v>
      </c>
      <c r="C88" s="31" t="s">
        <v>388</v>
      </c>
      <c r="D88" s="220" t="s">
        <v>0</v>
      </c>
      <c r="E88" s="220" t="s">
        <v>389</v>
      </c>
      <c r="F88" s="238" t="s">
        <v>36</v>
      </c>
      <c r="G88" s="238"/>
      <c r="H88" s="32" t="s">
        <v>50</v>
      </c>
      <c r="I88" s="33">
        <v>0.2298</v>
      </c>
      <c r="J88" s="34">
        <v>22.14</v>
      </c>
      <c r="K88" s="34">
        <f>TRUNC(I88*J88,2)</f>
        <v>5.08</v>
      </c>
    </row>
    <row r="89" spans="1:11" s="61" customFormat="1" ht="15" x14ac:dyDescent="0.25">
      <c r="B89" s="221"/>
      <c r="C89" s="221"/>
      <c r="D89" s="221"/>
      <c r="E89" s="221"/>
      <c r="F89" s="221"/>
      <c r="G89" s="28"/>
      <c r="H89" s="221"/>
      <c r="I89" s="235" t="s">
        <v>38</v>
      </c>
      <c r="J89" s="235"/>
      <c r="K89" s="28">
        <f>TRUNC(K84*(1+$C$5),2)</f>
        <v>14.68</v>
      </c>
    </row>
    <row r="90" spans="1:11" s="61" customFormat="1" ht="15" x14ac:dyDescent="0.25">
      <c r="B90" s="215"/>
      <c r="C90" s="215"/>
      <c r="D90" s="215"/>
      <c r="E90" s="215"/>
      <c r="F90" s="215"/>
      <c r="G90" s="215"/>
      <c r="H90" s="215" t="s">
        <v>39</v>
      </c>
      <c r="I90" s="29">
        <v>50</v>
      </c>
      <c r="J90" s="215" t="s">
        <v>40</v>
      </c>
      <c r="K90" s="30">
        <f>TRUNC((I90*K89),2)</f>
        <v>734</v>
      </c>
    </row>
    <row r="91" spans="1:11" s="61" customFormat="1" ht="15" x14ac:dyDescent="0.25">
      <c r="B91" s="215"/>
      <c r="C91" s="215"/>
      <c r="D91" s="215"/>
      <c r="E91" s="215"/>
      <c r="F91" s="215"/>
      <c r="G91" s="215"/>
      <c r="H91" s="215"/>
      <c r="I91" s="29"/>
      <c r="J91" s="215"/>
      <c r="K91" s="30"/>
    </row>
    <row r="92" spans="1:11" s="37" customFormat="1" ht="15" x14ac:dyDescent="0.2">
      <c r="A92" s="160"/>
      <c r="B92" s="40" t="s">
        <v>156</v>
      </c>
      <c r="C92" s="7" t="s">
        <v>9</v>
      </c>
      <c r="D92" s="40" t="s">
        <v>10</v>
      </c>
      <c r="E92" s="40" t="s">
        <v>11</v>
      </c>
      <c r="F92" s="236" t="s">
        <v>34</v>
      </c>
      <c r="G92" s="236"/>
      <c r="H92" s="8" t="s">
        <v>12</v>
      </c>
      <c r="I92" s="7" t="s">
        <v>13</v>
      </c>
      <c r="J92" s="7" t="s">
        <v>14</v>
      </c>
      <c r="K92" s="7" t="s">
        <v>17</v>
      </c>
    </row>
    <row r="93" spans="1:11" s="37" customFormat="1" ht="33" customHeight="1" x14ac:dyDescent="0.2">
      <c r="A93" s="160"/>
      <c r="B93" s="41" t="s">
        <v>35</v>
      </c>
      <c r="C93" s="14">
        <v>92986</v>
      </c>
      <c r="D93" s="41" t="s">
        <v>0</v>
      </c>
      <c r="E93" s="41" t="s">
        <v>29</v>
      </c>
      <c r="F93" s="237" t="s">
        <v>49</v>
      </c>
      <c r="G93" s="237"/>
      <c r="H93" s="15" t="s">
        <v>55</v>
      </c>
      <c r="I93" s="22"/>
      <c r="J93" s="23"/>
      <c r="K93" s="23">
        <f>TRUNC(SUM(K94:K97),2)</f>
        <v>35.19</v>
      </c>
    </row>
    <row r="94" spans="1:11" s="37" customFormat="1" ht="25.5" x14ac:dyDescent="0.2">
      <c r="A94" s="160"/>
      <c r="B94" s="42" t="s">
        <v>48</v>
      </c>
      <c r="C94" s="31">
        <v>88247</v>
      </c>
      <c r="D94" s="42" t="s">
        <v>0</v>
      </c>
      <c r="E94" s="42" t="s">
        <v>51</v>
      </c>
      <c r="F94" s="238" t="s">
        <v>36</v>
      </c>
      <c r="G94" s="238"/>
      <c r="H94" s="32" t="s">
        <v>50</v>
      </c>
      <c r="I94" s="33">
        <v>6.9699999999999998E-2</v>
      </c>
      <c r="J94" s="34">
        <v>21.47</v>
      </c>
      <c r="K94" s="34">
        <f>TRUNC(I94*J94,2)</f>
        <v>1.49</v>
      </c>
    </row>
    <row r="95" spans="1:11" s="37" customFormat="1" ht="25.5" x14ac:dyDescent="0.2">
      <c r="A95" s="160"/>
      <c r="B95" s="42" t="s">
        <v>48</v>
      </c>
      <c r="C95" s="31">
        <v>88264</v>
      </c>
      <c r="D95" s="42" t="s">
        <v>0</v>
      </c>
      <c r="E95" s="42" t="s">
        <v>52</v>
      </c>
      <c r="F95" s="238" t="s">
        <v>36</v>
      </c>
      <c r="G95" s="238"/>
      <c r="H95" s="32" t="s">
        <v>50</v>
      </c>
      <c r="I95" s="33">
        <v>6.9699999999999998E-2</v>
      </c>
      <c r="J95" s="34">
        <v>29.47</v>
      </c>
      <c r="K95" s="34">
        <f>TRUNC(I95*J95,2)</f>
        <v>2.0499999999999998</v>
      </c>
    </row>
    <row r="96" spans="1:11" s="37" customFormat="1" ht="26.25" customHeight="1" x14ac:dyDescent="0.2">
      <c r="A96" s="160"/>
      <c r="B96" s="39" t="s">
        <v>37</v>
      </c>
      <c r="C96" s="24">
        <v>1019</v>
      </c>
      <c r="D96" s="39" t="s">
        <v>0</v>
      </c>
      <c r="E96" s="39" t="s">
        <v>53</v>
      </c>
      <c r="F96" s="239" t="s">
        <v>54</v>
      </c>
      <c r="G96" s="239"/>
      <c r="H96" s="25" t="s">
        <v>55</v>
      </c>
      <c r="I96" s="26">
        <v>1.0149999999999999</v>
      </c>
      <c r="J96" s="27">
        <v>31.17</v>
      </c>
      <c r="K96" s="27">
        <f>TRUNC(I96*J96,2)</f>
        <v>31.63</v>
      </c>
    </row>
    <row r="97" spans="1:11" s="37" customFormat="1" ht="16.5" customHeight="1" x14ac:dyDescent="0.2">
      <c r="A97" s="160"/>
      <c r="B97" s="39" t="s">
        <v>37</v>
      </c>
      <c r="C97" s="24">
        <v>21127</v>
      </c>
      <c r="D97" s="39" t="s">
        <v>0</v>
      </c>
      <c r="E97" s="39" t="s">
        <v>58</v>
      </c>
      <c r="F97" s="239" t="s">
        <v>54</v>
      </c>
      <c r="G97" s="239"/>
      <c r="H97" s="25" t="s">
        <v>56</v>
      </c>
      <c r="I97" s="26">
        <v>8.9999999999999993E-3</v>
      </c>
      <c r="J97" s="27">
        <v>3.23</v>
      </c>
      <c r="K97" s="27">
        <f>TRUNC(I97*J97,2)</f>
        <v>0.02</v>
      </c>
    </row>
    <row r="98" spans="1:11" s="37" customFormat="1" ht="16.5" customHeight="1" x14ac:dyDescent="0.2">
      <c r="A98" s="160"/>
      <c r="B98" s="38"/>
      <c r="C98" s="38"/>
      <c r="D98" s="38"/>
      <c r="E98" s="38"/>
      <c r="F98" s="38"/>
      <c r="G98" s="38"/>
      <c r="H98" s="38"/>
      <c r="I98" s="235" t="s">
        <v>38</v>
      </c>
      <c r="J98" s="235"/>
      <c r="K98" s="28">
        <f>TRUNC(K93*(1+$C$5),2)</f>
        <v>43.67</v>
      </c>
    </row>
    <row r="99" spans="1:11" s="37" customFormat="1" x14ac:dyDescent="0.2">
      <c r="A99" s="160"/>
      <c r="B99" s="38"/>
      <c r="C99" s="38"/>
      <c r="D99" s="38"/>
      <c r="E99" s="38"/>
      <c r="F99" s="38"/>
      <c r="G99" s="38"/>
      <c r="H99" s="38" t="s">
        <v>39</v>
      </c>
      <c r="I99" s="29">
        <f>'Memória de Cálculo'!E48</f>
        <v>247.50000000000003</v>
      </c>
      <c r="J99" s="38" t="s">
        <v>40</v>
      </c>
      <c r="K99" s="30">
        <f>TRUNC((I99*K98),2)</f>
        <v>10808.32</v>
      </c>
    </row>
    <row r="100" spans="1:11" s="114" customFormat="1" x14ac:dyDescent="0.2">
      <c r="A100" s="160"/>
      <c r="B100" s="115"/>
      <c r="C100" s="115"/>
      <c r="D100" s="115"/>
      <c r="E100" s="115"/>
      <c r="F100" s="115"/>
      <c r="G100" s="115"/>
      <c r="H100" s="115"/>
      <c r="I100" s="29"/>
      <c r="J100" s="115"/>
      <c r="K100" s="30"/>
    </row>
    <row r="101" spans="1:11" s="127" customFormat="1" ht="15" x14ac:dyDescent="0.2">
      <c r="A101" s="160"/>
      <c r="B101" s="129" t="s">
        <v>254</v>
      </c>
      <c r="C101" s="7" t="s">
        <v>9</v>
      </c>
      <c r="D101" s="129" t="s">
        <v>10</v>
      </c>
      <c r="E101" s="129" t="s">
        <v>11</v>
      </c>
      <c r="F101" s="236" t="s">
        <v>34</v>
      </c>
      <c r="G101" s="236"/>
      <c r="H101" s="8" t="s">
        <v>12</v>
      </c>
      <c r="I101" s="7" t="s">
        <v>13</v>
      </c>
      <c r="J101" s="7" t="s">
        <v>14</v>
      </c>
      <c r="K101" s="7" t="s">
        <v>17</v>
      </c>
    </row>
    <row r="102" spans="1:11" s="127" customFormat="1" ht="38.25" x14ac:dyDescent="0.2">
      <c r="A102" s="160"/>
      <c r="B102" s="130" t="s">
        <v>35</v>
      </c>
      <c r="C102" s="14">
        <v>92988</v>
      </c>
      <c r="D102" s="130" t="s">
        <v>0</v>
      </c>
      <c r="E102" s="130" t="s">
        <v>178</v>
      </c>
      <c r="F102" s="237" t="s">
        <v>49</v>
      </c>
      <c r="G102" s="237"/>
      <c r="H102" s="15" t="s">
        <v>55</v>
      </c>
      <c r="I102" s="22"/>
      <c r="J102" s="23"/>
      <c r="K102" s="23">
        <f>TRUNC(SUM(K103:K106),2)</f>
        <v>51.02</v>
      </c>
    </row>
    <row r="103" spans="1:11" s="127" customFormat="1" ht="25.5" x14ac:dyDescent="0.2">
      <c r="A103" s="160"/>
      <c r="B103" s="131" t="s">
        <v>48</v>
      </c>
      <c r="C103" s="31">
        <v>88247</v>
      </c>
      <c r="D103" s="131" t="s">
        <v>0</v>
      </c>
      <c r="E103" s="131" t="s">
        <v>51</v>
      </c>
      <c r="F103" s="238" t="s">
        <v>36</v>
      </c>
      <c r="G103" s="238"/>
      <c r="H103" s="32" t="s">
        <v>50</v>
      </c>
      <c r="I103" s="33">
        <v>8.3000000000000004E-2</v>
      </c>
      <c r="J103" s="34">
        <v>21.47</v>
      </c>
      <c r="K103" s="34">
        <f>TRUNC(I103*J103,2)</f>
        <v>1.78</v>
      </c>
    </row>
    <row r="104" spans="1:11" s="127" customFormat="1" ht="25.5" x14ac:dyDescent="0.2">
      <c r="A104" s="160"/>
      <c r="B104" s="131" t="s">
        <v>48</v>
      </c>
      <c r="C104" s="31">
        <v>88264</v>
      </c>
      <c r="D104" s="131" t="s">
        <v>0</v>
      </c>
      <c r="E104" s="131" t="s">
        <v>52</v>
      </c>
      <c r="F104" s="238" t="s">
        <v>36</v>
      </c>
      <c r="G104" s="238"/>
      <c r="H104" s="32" t="s">
        <v>50</v>
      </c>
      <c r="I104" s="33">
        <v>8.3000000000000004E-2</v>
      </c>
      <c r="J104" s="34">
        <v>29.47</v>
      </c>
      <c r="K104" s="34">
        <f>TRUNC(I104*J104,2)</f>
        <v>2.44</v>
      </c>
    </row>
    <row r="105" spans="1:11" s="127" customFormat="1" ht="25.5" x14ac:dyDescent="0.2">
      <c r="A105" s="160"/>
      <c r="B105" s="132" t="s">
        <v>37</v>
      </c>
      <c r="C105" s="24">
        <v>1018</v>
      </c>
      <c r="D105" s="132" t="s">
        <v>0</v>
      </c>
      <c r="E105" s="132" t="s">
        <v>188</v>
      </c>
      <c r="F105" s="239" t="s">
        <v>54</v>
      </c>
      <c r="G105" s="239"/>
      <c r="H105" s="25" t="s">
        <v>55</v>
      </c>
      <c r="I105" s="26">
        <v>1.0149999999999999</v>
      </c>
      <c r="J105" s="27">
        <v>46.09</v>
      </c>
      <c r="K105" s="27">
        <f>TRUNC(I105*J105,2)</f>
        <v>46.78</v>
      </c>
    </row>
    <row r="106" spans="1:11" s="127" customFormat="1" x14ac:dyDescent="0.2">
      <c r="A106" s="160"/>
      <c r="B106" s="132"/>
      <c r="C106" s="24">
        <v>21127</v>
      </c>
      <c r="D106" s="132" t="s">
        <v>0</v>
      </c>
      <c r="E106" s="132" t="s">
        <v>58</v>
      </c>
      <c r="F106" s="239" t="s">
        <v>54</v>
      </c>
      <c r="G106" s="239"/>
      <c r="H106" s="25" t="s">
        <v>56</v>
      </c>
      <c r="I106" s="26">
        <v>8.9999999999999993E-3</v>
      </c>
      <c r="J106" s="27">
        <v>3.23</v>
      </c>
      <c r="K106" s="27">
        <f>TRUNC(I106*J106,2)</f>
        <v>0.02</v>
      </c>
    </row>
    <row r="107" spans="1:11" s="127" customFormat="1" x14ac:dyDescent="0.2">
      <c r="A107" s="160"/>
      <c r="B107" s="128"/>
      <c r="C107" s="128"/>
      <c r="D107" s="128"/>
      <c r="E107" s="128"/>
      <c r="F107" s="128"/>
      <c r="G107" s="128"/>
      <c r="H107" s="128"/>
      <c r="I107" s="235" t="s">
        <v>38</v>
      </c>
      <c r="J107" s="235"/>
      <c r="K107" s="28">
        <f>TRUNC(K102*(1+$C$5),2)</f>
        <v>63.32</v>
      </c>
    </row>
    <row r="108" spans="1:11" s="127" customFormat="1" x14ac:dyDescent="0.2">
      <c r="A108" s="160"/>
      <c r="B108" s="128"/>
      <c r="C108" s="128"/>
      <c r="D108" s="128"/>
      <c r="E108" s="128"/>
      <c r="F108" s="128"/>
      <c r="G108" s="128"/>
      <c r="H108" s="128" t="s">
        <v>39</v>
      </c>
      <c r="I108" s="29">
        <f>'Memória de Cálculo'!E55</f>
        <v>918</v>
      </c>
      <c r="J108" s="128" t="s">
        <v>40</v>
      </c>
      <c r="K108" s="30">
        <f>TRUNC((I108*K107),2)</f>
        <v>58127.76</v>
      </c>
    </row>
    <row r="109" spans="1:11" s="127" customFormat="1" x14ac:dyDescent="0.2">
      <c r="A109" s="160"/>
      <c r="B109" s="128"/>
      <c r="C109" s="128"/>
      <c r="D109" s="128"/>
      <c r="E109" s="128"/>
      <c r="F109" s="128"/>
      <c r="G109" s="128"/>
      <c r="H109" s="128"/>
      <c r="I109" s="29"/>
      <c r="J109" s="128"/>
      <c r="K109" s="30"/>
    </row>
    <row r="110" spans="1:11" s="127" customFormat="1" ht="15" x14ac:dyDescent="0.2">
      <c r="A110" s="160"/>
      <c r="B110" s="129" t="s">
        <v>168</v>
      </c>
      <c r="C110" s="7" t="s">
        <v>9</v>
      </c>
      <c r="D110" s="129" t="s">
        <v>10</v>
      </c>
      <c r="E110" s="129" t="s">
        <v>11</v>
      </c>
      <c r="F110" s="236" t="s">
        <v>34</v>
      </c>
      <c r="G110" s="236"/>
      <c r="H110" s="8" t="s">
        <v>12</v>
      </c>
      <c r="I110" s="7" t="s">
        <v>13</v>
      </c>
      <c r="J110" s="7" t="s">
        <v>14</v>
      </c>
      <c r="K110" s="7" t="s">
        <v>17</v>
      </c>
    </row>
    <row r="111" spans="1:11" s="127" customFormat="1" ht="25.5" x14ac:dyDescent="0.2">
      <c r="A111" s="160"/>
      <c r="B111" s="130" t="s">
        <v>35</v>
      </c>
      <c r="C111" s="14" t="s">
        <v>202</v>
      </c>
      <c r="D111" s="130" t="s">
        <v>20</v>
      </c>
      <c r="E111" s="133" t="s">
        <v>201</v>
      </c>
      <c r="F111" s="237" t="s">
        <v>49</v>
      </c>
      <c r="G111" s="237"/>
      <c r="H111" s="15" t="s">
        <v>160</v>
      </c>
      <c r="I111" s="22"/>
      <c r="J111" s="23"/>
      <c r="K111" s="23">
        <f>TRUNC(SUM(K112:K114),2)</f>
        <v>662.28</v>
      </c>
    </row>
    <row r="112" spans="1:11" s="127" customFormat="1" ht="25.5" x14ac:dyDescent="0.2">
      <c r="A112" s="160"/>
      <c r="B112" s="131" t="s">
        <v>48</v>
      </c>
      <c r="C112" s="31">
        <v>88264</v>
      </c>
      <c r="D112" s="131" t="s">
        <v>0</v>
      </c>
      <c r="E112" s="131" t="s">
        <v>205</v>
      </c>
      <c r="F112" s="238" t="s">
        <v>36</v>
      </c>
      <c r="G112" s="238"/>
      <c r="H112" s="32" t="s">
        <v>50</v>
      </c>
      <c r="I112" s="33">
        <v>16</v>
      </c>
      <c r="J112" s="34">
        <v>29.47</v>
      </c>
      <c r="K112" s="34">
        <f>TRUNC(I112*J112,2)</f>
        <v>471.52</v>
      </c>
    </row>
    <row r="113" spans="1:11" s="127" customFormat="1" ht="25.5" x14ac:dyDescent="0.2">
      <c r="A113" s="160"/>
      <c r="B113" s="192" t="s">
        <v>48</v>
      </c>
      <c r="C113" s="31">
        <v>88247</v>
      </c>
      <c r="D113" s="192" t="s">
        <v>0</v>
      </c>
      <c r="E113" s="192" t="s">
        <v>51</v>
      </c>
      <c r="F113" s="238" t="s">
        <v>36</v>
      </c>
      <c r="G113" s="238"/>
      <c r="H113" s="32" t="s">
        <v>50</v>
      </c>
      <c r="I113" s="33">
        <v>8</v>
      </c>
      <c r="J113" s="34">
        <v>21.47</v>
      </c>
      <c r="K113" s="34">
        <f>TRUNC(I113*J113,2)</f>
        <v>171.76</v>
      </c>
    </row>
    <row r="114" spans="1:11" s="127" customFormat="1" x14ac:dyDescent="0.2">
      <c r="A114" s="160"/>
      <c r="B114" s="132" t="s">
        <v>37</v>
      </c>
      <c r="C114" s="24">
        <v>6554</v>
      </c>
      <c r="D114" s="132" t="s">
        <v>204</v>
      </c>
      <c r="E114" s="132" t="s">
        <v>206</v>
      </c>
      <c r="F114" s="239" t="s">
        <v>54</v>
      </c>
      <c r="G114" s="239"/>
      <c r="H114" s="25" t="s">
        <v>56</v>
      </c>
      <c r="I114" s="26">
        <v>1</v>
      </c>
      <c r="J114" s="27">
        <v>19</v>
      </c>
      <c r="K114" s="27">
        <f>TRUNC(I114*J114,2)</f>
        <v>19</v>
      </c>
    </row>
    <row r="115" spans="1:11" s="127" customFormat="1" x14ac:dyDescent="0.2">
      <c r="A115" s="160"/>
      <c r="B115" s="128"/>
      <c r="C115" s="128"/>
      <c r="D115" s="128"/>
      <c r="E115" s="128"/>
      <c r="F115" s="128"/>
      <c r="G115" s="128"/>
      <c r="H115" s="128"/>
      <c r="I115" s="235" t="s">
        <v>38</v>
      </c>
      <c r="J115" s="235"/>
      <c r="K115" s="28">
        <f>TRUNC(K111*(1+$C$5),2)</f>
        <v>821.95</v>
      </c>
    </row>
    <row r="116" spans="1:11" s="127" customFormat="1" x14ac:dyDescent="0.2">
      <c r="A116" s="160"/>
      <c r="B116" s="128"/>
      <c r="C116" s="128"/>
      <c r="D116" s="128"/>
      <c r="E116" s="128"/>
      <c r="F116" s="128"/>
      <c r="G116" s="128"/>
      <c r="H116" s="128" t="s">
        <v>39</v>
      </c>
      <c r="I116" s="29">
        <f>'Memória de Cálculo'!E59</f>
        <v>4</v>
      </c>
      <c r="J116" s="128" t="s">
        <v>40</v>
      </c>
      <c r="K116" s="30">
        <f>TRUNC((I116*K115),2)</f>
        <v>3287.8</v>
      </c>
    </row>
    <row r="117" spans="1:11" s="154" customFormat="1" x14ac:dyDescent="0.2">
      <c r="A117" s="160"/>
      <c r="B117" s="155"/>
      <c r="C117" s="155"/>
      <c r="D117" s="155"/>
      <c r="E117" s="155"/>
      <c r="F117" s="155"/>
      <c r="G117" s="155"/>
      <c r="H117" s="155"/>
      <c r="I117" s="29"/>
      <c r="J117" s="155"/>
      <c r="K117" s="30"/>
    </row>
    <row r="118" spans="1:11" s="206" customFormat="1" ht="15" x14ac:dyDescent="0.2">
      <c r="B118" s="209" t="s">
        <v>189</v>
      </c>
      <c r="C118" s="7" t="s">
        <v>9</v>
      </c>
      <c r="D118" s="209" t="s">
        <v>10</v>
      </c>
      <c r="E118" s="209" t="s">
        <v>11</v>
      </c>
      <c r="F118" s="236" t="s">
        <v>34</v>
      </c>
      <c r="G118" s="236"/>
      <c r="H118" s="8" t="s">
        <v>12</v>
      </c>
      <c r="I118" s="7" t="s">
        <v>13</v>
      </c>
      <c r="J118" s="7" t="s">
        <v>14</v>
      </c>
      <c r="K118" s="7" t="s">
        <v>17</v>
      </c>
    </row>
    <row r="119" spans="1:11" s="206" customFormat="1" ht="25.5" x14ac:dyDescent="0.2">
      <c r="B119" s="210" t="s">
        <v>35</v>
      </c>
      <c r="C119" s="14">
        <v>101894</v>
      </c>
      <c r="D119" s="210" t="s">
        <v>0</v>
      </c>
      <c r="E119" s="210" t="s">
        <v>184</v>
      </c>
      <c r="F119" s="237" t="s">
        <v>49</v>
      </c>
      <c r="G119" s="237"/>
      <c r="H119" s="15" t="s">
        <v>160</v>
      </c>
      <c r="I119" s="22"/>
      <c r="J119" s="23"/>
      <c r="K119" s="23">
        <f>TRUNC(SUM(K120:K123),2)</f>
        <v>141.51</v>
      </c>
    </row>
    <row r="120" spans="1:11" s="206" customFormat="1" ht="25.5" x14ac:dyDescent="0.2">
      <c r="B120" s="213" t="s">
        <v>48</v>
      </c>
      <c r="C120" s="31">
        <v>88247</v>
      </c>
      <c r="D120" s="213" t="s">
        <v>0</v>
      </c>
      <c r="E120" s="213" t="s">
        <v>51</v>
      </c>
      <c r="F120" s="238" t="s">
        <v>36</v>
      </c>
      <c r="G120" s="238"/>
      <c r="H120" s="32" t="s">
        <v>50</v>
      </c>
      <c r="I120" s="33">
        <v>0.78300000000000003</v>
      </c>
      <c r="J120" s="34">
        <v>21.47</v>
      </c>
      <c r="K120" s="34">
        <f>TRUNC(I120*J120,2)</f>
        <v>16.809999999999999</v>
      </c>
    </row>
    <row r="121" spans="1:11" s="206" customFormat="1" ht="25.5" x14ac:dyDescent="0.2">
      <c r="B121" s="213" t="s">
        <v>48</v>
      </c>
      <c r="C121" s="31">
        <v>88264</v>
      </c>
      <c r="D121" s="213" t="s">
        <v>0</v>
      </c>
      <c r="E121" s="213" t="s">
        <v>52</v>
      </c>
      <c r="F121" s="238" t="s">
        <v>36</v>
      </c>
      <c r="G121" s="238"/>
      <c r="H121" s="32" t="s">
        <v>50</v>
      </c>
      <c r="I121" s="33">
        <v>0.78300000000000003</v>
      </c>
      <c r="J121" s="34">
        <v>29.47</v>
      </c>
      <c r="K121" s="34">
        <f>TRUNC(I121*J121,2)</f>
        <v>23.07</v>
      </c>
    </row>
    <row r="122" spans="1:11" s="206" customFormat="1" ht="25.5" x14ac:dyDescent="0.2">
      <c r="B122" s="211" t="s">
        <v>37</v>
      </c>
      <c r="C122" s="24" t="s">
        <v>190</v>
      </c>
      <c r="D122" s="211" t="s">
        <v>0</v>
      </c>
      <c r="E122" s="211" t="s">
        <v>191</v>
      </c>
      <c r="F122" s="239" t="s">
        <v>54</v>
      </c>
      <c r="G122" s="239"/>
      <c r="H122" s="25" t="s">
        <v>56</v>
      </c>
      <c r="I122" s="26">
        <v>3</v>
      </c>
      <c r="J122" s="27">
        <v>2.35</v>
      </c>
      <c r="K122" s="27">
        <f>TRUNC(I122*J122,2)</f>
        <v>7.05</v>
      </c>
    </row>
    <row r="123" spans="1:11" s="206" customFormat="1" x14ac:dyDescent="0.2">
      <c r="B123" s="211" t="s">
        <v>37</v>
      </c>
      <c r="C123" s="24" t="s">
        <v>193</v>
      </c>
      <c r="D123" s="211" t="s">
        <v>0</v>
      </c>
      <c r="E123" s="211" t="s">
        <v>192</v>
      </c>
      <c r="F123" s="239" t="s">
        <v>54</v>
      </c>
      <c r="G123" s="239"/>
      <c r="H123" s="25" t="s">
        <v>56</v>
      </c>
      <c r="I123" s="26">
        <v>1</v>
      </c>
      <c r="J123" s="27">
        <v>94.58</v>
      </c>
      <c r="K123" s="27">
        <f>TRUNC(I123*J123,2)</f>
        <v>94.58</v>
      </c>
    </row>
    <row r="124" spans="1:11" s="206" customFormat="1" ht="12.75" customHeight="1" x14ac:dyDescent="0.2">
      <c r="B124" s="205"/>
      <c r="C124" s="205"/>
      <c r="D124" s="205"/>
      <c r="E124" s="205"/>
      <c r="F124" s="205"/>
      <c r="G124" s="205"/>
      <c r="H124" s="205"/>
      <c r="I124" s="235" t="s">
        <v>38</v>
      </c>
      <c r="J124" s="235"/>
      <c r="K124" s="28">
        <f>TRUNC(K119*(1+$C$5),2)</f>
        <v>175.62</v>
      </c>
    </row>
    <row r="125" spans="1:11" s="206" customFormat="1" x14ac:dyDescent="0.2">
      <c r="B125" s="205"/>
      <c r="C125" s="205"/>
      <c r="D125" s="205"/>
      <c r="E125" s="205"/>
      <c r="F125" s="205"/>
      <c r="G125" s="205"/>
      <c r="H125" s="205" t="s">
        <v>39</v>
      </c>
      <c r="I125" s="29">
        <f>'Memória de Cálculo'!E63</f>
        <v>2</v>
      </c>
      <c r="J125" s="205" t="s">
        <v>40</v>
      </c>
      <c r="K125" s="30">
        <f>TRUNC((I125*K124),2)</f>
        <v>351.24</v>
      </c>
    </row>
    <row r="126" spans="1:11" s="206" customFormat="1" x14ac:dyDescent="0.2">
      <c r="B126" s="205"/>
      <c r="C126" s="205"/>
      <c r="D126" s="205"/>
      <c r="E126" s="205"/>
      <c r="F126" s="205"/>
      <c r="G126" s="205"/>
      <c r="H126" s="205"/>
      <c r="I126" s="29"/>
      <c r="J126" s="205"/>
      <c r="K126" s="30"/>
    </row>
    <row r="127" spans="1:11" s="127" customFormat="1" ht="15" x14ac:dyDescent="0.2">
      <c r="A127" s="160"/>
      <c r="B127" s="129" t="s">
        <v>194</v>
      </c>
      <c r="C127" s="7" t="s">
        <v>9</v>
      </c>
      <c r="D127" s="129" t="s">
        <v>10</v>
      </c>
      <c r="E127" s="129" t="s">
        <v>11</v>
      </c>
      <c r="F127" s="236" t="s">
        <v>34</v>
      </c>
      <c r="G127" s="236"/>
      <c r="H127" s="8" t="s">
        <v>12</v>
      </c>
      <c r="I127" s="7" t="s">
        <v>13</v>
      </c>
      <c r="J127" s="7" t="s">
        <v>14</v>
      </c>
      <c r="K127" s="7" t="s">
        <v>17</v>
      </c>
    </row>
    <row r="128" spans="1:11" s="127" customFormat="1" ht="25.5" x14ac:dyDescent="0.2">
      <c r="A128" s="160"/>
      <c r="B128" s="130" t="s">
        <v>35</v>
      </c>
      <c r="C128" s="14">
        <v>97668</v>
      </c>
      <c r="D128" s="130" t="s">
        <v>0</v>
      </c>
      <c r="E128" s="130" t="s">
        <v>251</v>
      </c>
      <c r="F128" s="237" t="s">
        <v>49</v>
      </c>
      <c r="G128" s="237"/>
      <c r="H128" s="15" t="s">
        <v>22</v>
      </c>
      <c r="I128" s="22"/>
      <c r="J128" s="23"/>
      <c r="K128" s="23">
        <f>TRUNC(SUM(K129:K131),2)</f>
        <v>10.38</v>
      </c>
    </row>
    <row r="129" spans="1:11" s="127" customFormat="1" ht="25.5" x14ac:dyDescent="0.2">
      <c r="A129" s="160"/>
      <c r="B129" s="131" t="s">
        <v>48</v>
      </c>
      <c r="C129" s="31">
        <v>88247</v>
      </c>
      <c r="D129" s="131" t="s">
        <v>0</v>
      </c>
      <c r="E129" s="131" t="s">
        <v>51</v>
      </c>
      <c r="F129" s="238" t="s">
        <v>36</v>
      </c>
      <c r="G129" s="238"/>
      <c r="H129" s="32" t="s">
        <v>50</v>
      </c>
      <c r="I129" s="33">
        <v>9.4500000000000001E-2</v>
      </c>
      <c r="J129" s="34">
        <v>21.47</v>
      </c>
      <c r="K129" s="34">
        <f>TRUNC(I129*J129,2)</f>
        <v>2.02</v>
      </c>
    </row>
    <row r="130" spans="1:11" s="127" customFormat="1" ht="25.5" x14ac:dyDescent="0.2">
      <c r="A130" s="160"/>
      <c r="B130" s="131" t="s">
        <v>48</v>
      </c>
      <c r="C130" s="31">
        <v>88264</v>
      </c>
      <c r="D130" s="131" t="s">
        <v>0</v>
      </c>
      <c r="E130" s="131" t="s">
        <v>52</v>
      </c>
      <c r="F130" s="238" t="s">
        <v>36</v>
      </c>
      <c r="G130" s="238"/>
      <c r="H130" s="32" t="s">
        <v>50</v>
      </c>
      <c r="I130" s="33">
        <v>9.4500000000000001E-2</v>
      </c>
      <c r="J130" s="34">
        <v>29.47</v>
      </c>
      <c r="K130" s="34">
        <f>TRUNC(I130*J130,2)</f>
        <v>2.78</v>
      </c>
    </row>
    <row r="131" spans="1:11" s="127" customFormat="1" ht="25.5" x14ac:dyDescent="0.2">
      <c r="A131" s="160"/>
      <c r="B131" s="132" t="s">
        <v>37</v>
      </c>
      <c r="C131" s="24">
        <v>2446</v>
      </c>
      <c r="D131" s="132" t="s">
        <v>0</v>
      </c>
      <c r="E131" s="132" t="s">
        <v>252</v>
      </c>
      <c r="F131" s="239" t="s">
        <v>54</v>
      </c>
      <c r="G131" s="239"/>
      <c r="H131" s="25" t="s">
        <v>105</v>
      </c>
      <c r="I131" s="26">
        <v>1.1000000000000001</v>
      </c>
      <c r="J131" s="27">
        <v>5.08</v>
      </c>
      <c r="K131" s="121">
        <f>TRUNC(I131*J131,2)</f>
        <v>5.58</v>
      </c>
    </row>
    <row r="132" spans="1:11" s="127" customFormat="1" x14ac:dyDescent="0.2">
      <c r="A132" s="160"/>
      <c r="B132" s="128"/>
      <c r="C132" s="128"/>
      <c r="D132" s="128"/>
      <c r="E132" s="128"/>
      <c r="F132" s="128"/>
      <c r="G132" s="128"/>
      <c r="H132" s="128"/>
      <c r="I132" s="235" t="s">
        <v>38</v>
      </c>
      <c r="J132" s="235"/>
      <c r="K132" s="28">
        <f>TRUNC(K128*(1+$C$5),2)</f>
        <v>12.88</v>
      </c>
    </row>
    <row r="133" spans="1:11" s="127" customFormat="1" x14ac:dyDescent="0.2">
      <c r="A133" s="160"/>
      <c r="B133" s="128"/>
      <c r="C133" s="128"/>
      <c r="D133" s="128"/>
      <c r="E133" s="128"/>
      <c r="F133" s="128"/>
      <c r="G133" s="128"/>
      <c r="H133" s="128" t="s">
        <v>39</v>
      </c>
      <c r="I133" s="29">
        <f>'Memória de Cálculo'!E67</f>
        <v>198.00000000000003</v>
      </c>
      <c r="J133" s="128" t="s">
        <v>40</v>
      </c>
      <c r="K133" s="30">
        <f>TRUNC((I133*K132),2)</f>
        <v>2550.2399999999998</v>
      </c>
    </row>
    <row r="134" spans="1:11" s="127" customFormat="1" x14ac:dyDescent="0.2">
      <c r="A134" s="160"/>
      <c r="B134" s="128"/>
      <c r="C134" s="128"/>
      <c r="D134" s="128"/>
      <c r="E134" s="128"/>
      <c r="F134" s="128"/>
      <c r="G134" s="128"/>
      <c r="H134" s="128"/>
      <c r="I134" s="29"/>
      <c r="J134" s="128"/>
      <c r="K134" s="30"/>
    </row>
    <row r="135" spans="1:11" s="114" customFormat="1" ht="15" x14ac:dyDescent="0.2">
      <c r="A135" s="160"/>
      <c r="B135" s="116" t="s">
        <v>274</v>
      </c>
      <c r="C135" s="7" t="s">
        <v>9</v>
      </c>
      <c r="D135" s="116" t="s">
        <v>10</v>
      </c>
      <c r="E135" s="116" t="s">
        <v>11</v>
      </c>
      <c r="F135" s="236" t="s">
        <v>34</v>
      </c>
      <c r="G135" s="236"/>
      <c r="H135" s="8" t="s">
        <v>12</v>
      </c>
      <c r="I135" s="7" t="s">
        <v>13</v>
      </c>
      <c r="J135" s="7" t="s">
        <v>14</v>
      </c>
      <c r="K135" s="7" t="s">
        <v>17</v>
      </c>
    </row>
    <row r="136" spans="1:11" s="114" customFormat="1" ht="25.5" x14ac:dyDescent="0.2">
      <c r="A136" s="160"/>
      <c r="B136" s="117" t="s">
        <v>35</v>
      </c>
      <c r="C136" s="14">
        <v>97893</v>
      </c>
      <c r="D136" s="117" t="s">
        <v>253</v>
      </c>
      <c r="E136" s="117" t="s">
        <v>198</v>
      </c>
      <c r="F136" s="237" t="s">
        <v>49</v>
      </c>
      <c r="G136" s="237"/>
      <c r="H136" s="15" t="s">
        <v>160</v>
      </c>
      <c r="I136" s="22"/>
      <c r="J136" s="23"/>
      <c r="K136" s="23">
        <f>TRUNC(SUM(K137:K143),2)</f>
        <v>522.20000000000005</v>
      </c>
    </row>
    <row r="137" spans="1:11" s="114" customFormat="1" ht="25.5" x14ac:dyDescent="0.2">
      <c r="A137" s="160"/>
      <c r="B137" s="118" t="s">
        <v>48</v>
      </c>
      <c r="C137" s="31">
        <v>88309</v>
      </c>
      <c r="D137" s="118" t="s">
        <v>0</v>
      </c>
      <c r="E137" s="118" t="s">
        <v>124</v>
      </c>
      <c r="F137" s="238" t="s">
        <v>36</v>
      </c>
      <c r="G137" s="238"/>
      <c r="H137" s="32" t="s">
        <v>50</v>
      </c>
      <c r="I137" s="33">
        <v>3.8569</v>
      </c>
      <c r="J137" s="34">
        <v>29.09</v>
      </c>
      <c r="K137" s="34">
        <f t="shared" ref="K137:K143" si="1">TRUNC(I137*J137,2)</f>
        <v>112.19</v>
      </c>
    </row>
    <row r="138" spans="1:11" s="114" customFormat="1" ht="25.5" x14ac:dyDescent="0.2">
      <c r="A138" s="160"/>
      <c r="B138" s="118" t="s">
        <v>48</v>
      </c>
      <c r="C138" s="31">
        <v>88316</v>
      </c>
      <c r="D138" s="118" t="s">
        <v>0</v>
      </c>
      <c r="E138" s="118" t="s">
        <v>208</v>
      </c>
      <c r="F138" s="238" t="s">
        <v>36</v>
      </c>
      <c r="G138" s="238"/>
      <c r="H138" s="32" t="s">
        <v>50</v>
      </c>
      <c r="I138" s="33">
        <v>3.0305</v>
      </c>
      <c r="J138" s="34">
        <v>20.81</v>
      </c>
      <c r="K138" s="34">
        <f t="shared" si="1"/>
        <v>63.06</v>
      </c>
    </row>
    <row r="139" spans="1:11" s="114" customFormat="1" ht="25.5" x14ac:dyDescent="0.2">
      <c r="A139" s="160"/>
      <c r="B139" s="118" t="s">
        <v>48</v>
      </c>
      <c r="C139" s="31">
        <v>87316</v>
      </c>
      <c r="D139" s="118" t="s">
        <v>0</v>
      </c>
      <c r="E139" s="118" t="s">
        <v>157</v>
      </c>
      <c r="F139" s="238" t="s">
        <v>36</v>
      </c>
      <c r="G139" s="238"/>
      <c r="H139" s="32" t="s">
        <v>276</v>
      </c>
      <c r="I139" s="33">
        <v>1.7299999999999999E-2</v>
      </c>
      <c r="J139" s="34">
        <v>485.53</v>
      </c>
      <c r="K139" s="34">
        <f t="shared" si="1"/>
        <v>8.39</v>
      </c>
    </row>
    <row r="140" spans="1:11" s="114" customFormat="1" ht="25.5" x14ac:dyDescent="0.2">
      <c r="A140" s="160"/>
      <c r="B140" s="118" t="s">
        <v>48</v>
      </c>
      <c r="C140" s="31">
        <v>97735</v>
      </c>
      <c r="D140" s="118" t="s">
        <v>0</v>
      </c>
      <c r="E140" s="118" t="s">
        <v>200</v>
      </c>
      <c r="F140" s="238" t="s">
        <v>36</v>
      </c>
      <c r="G140" s="238"/>
      <c r="H140" s="32" t="s">
        <v>276</v>
      </c>
      <c r="I140" s="33">
        <v>7.0000000000000007E-2</v>
      </c>
      <c r="J140" s="34">
        <v>2419.0100000000002</v>
      </c>
      <c r="K140" s="34">
        <f t="shared" si="1"/>
        <v>169.33</v>
      </c>
    </row>
    <row r="141" spans="1:11" s="114" customFormat="1" ht="25.5" x14ac:dyDescent="0.2">
      <c r="A141" s="160"/>
      <c r="B141" s="118" t="s">
        <v>48</v>
      </c>
      <c r="C141" s="31">
        <v>100475</v>
      </c>
      <c r="D141" s="118" t="s">
        <v>0</v>
      </c>
      <c r="E141" s="118" t="s">
        <v>158</v>
      </c>
      <c r="F141" s="238" t="s">
        <v>36</v>
      </c>
      <c r="G141" s="238"/>
      <c r="H141" s="32" t="s">
        <v>276</v>
      </c>
      <c r="I141" s="33">
        <v>7.4800000000000005E-2</v>
      </c>
      <c r="J141" s="34">
        <v>705.63</v>
      </c>
      <c r="K141" s="34">
        <f t="shared" si="1"/>
        <v>52.78</v>
      </c>
    </row>
    <row r="142" spans="1:11" s="114" customFormat="1" ht="25.5" x14ac:dyDescent="0.2">
      <c r="A142" s="160"/>
      <c r="B142" s="118" t="s">
        <v>48</v>
      </c>
      <c r="C142" s="31">
        <v>101619</v>
      </c>
      <c r="D142" s="118" t="s">
        <v>0</v>
      </c>
      <c r="E142" s="118" t="s">
        <v>159</v>
      </c>
      <c r="F142" s="238" t="s">
        <v>36</v>
      </c>
      <c r="G142" s="238"/>
      <c r="H142" s="32" t="s">
        <v>276</v>
      </c>
      <c r="I142" s="33">
        <v>0.121</v>
      </c>
      <c r="J142" s="34">
        <v>291.57</v>
      </c>
      <c r="K142" s="34">
        <f t="shared" si="1"/>
        <v>35.270000000000003</v>
      </c>
    </row>
    <row r="143" spans="1:11" s="114" customFormat="1" x14ac:dyDescent="0.2">
      <c r="A143" s="160"/>
      <c r="B143" s="119" t="s">
        <v>37</v>
      </c>
      <c r="C143" s="24">
        <v>650</v>
      </c>
      <c r="D143" s="119" t="s">
        <v>0</v>
      </c>
      <c r="E143" s="119" t="s">
        <v>199</v>
      </c>
      <c r="F143" s="239" t="s">
        <v>54</v>
      </c>
      <c r="G143" s="239"/>
      <c r="H143" s="25" t="s">
        <v>107</v>
      </c>
      <c r="I143" s="26">
        <v>27.061499999999999</v>
      </c>
      <c r="J143" s="27">
        <v>3</v>
      </c>
      <c r="K143" s="27">
        <f t="shared" si="1"/>
        <v>81.180000000000007</v>
      </c>
    </row>
    <row r="144" spans="1:11" s="114" customFormat="1" x14ac:dyDescent="0.2">
      <c r="A144" s="160"/>
      <c r="B144" s="115"/>
      <c r="C144" s="115"/>
      <c r="D144" s="115"/>
      <c r="E144" s="115"/>
      <c r="F144" s="115"/>
      <c r="G144" s="115"/>
      <c r="H144" s="115"/>
      <c r="I144" s="235" t="s">
        <v>38</v>
      </c>
      <c r="J144" s="235"/>
      <c r="K144" s="28">
        <f>TRUNC(K136*(1+$C$5),2)</f>
        <v>648.1</v>
      </c>
    </row>
    <row r="145" spans="1:11" s="114" customFormat="1" x14ac:dyDescent="0.2">
      <c r="A145" s="160"/>
      <c r="B145" s="115"/>
      <c r="C145" s="115"/>
      <c r="D145" s="115"/>
      <c r="E145" s="115"/>
      <c r="F145" s="115"/>
      <c r="G145" s="115"/>
      <c r="H145" s="115" t="s">
        <v>39</v>
      </c>
      <c r="I145" s="29">
        <f>'Memória de Cálculo'!E72</f>
        <v>6</v>
      </c>
      <c r="J145" s="115" t="s">
        <v>40</v>
      </c>
      <c r="K145" s="30">
        <f>TRUNC((I145*K144),2)</f>
        <v>3888.6</v>
      </c>
    </row>
    <row r="146" spans="1:11" s="114" customFormat="1" x14ac:dyDescent="0.2">
      <c r="A146" s="160"/>
      <c r="B146" s="115"/>
      <c r="C146" s="115"/>
      <c r="D146" s="115"/>
      <c r="E146" s="115"/>
      <c r="F146" s="115"/>
      <c r="G146" s="115"/>
      <c r="H146" s="115"/>
      <c r="I146" s="29"/>
      <c r="J146" s="115"/>
      <c r="K146" s="30"/>
    </row>
    <row r="147" spans="1:11" s="127" customFormat="1" ht="15" x14ac:dyDescent="0.2">
      <c r="A147" s="160"/>
      <c r="B147" s="129" t="s">
        <v>195</v>
      </c>
      <c r="C147" s="7" t="s">
        <v>9</v>
      </c>
      <c r="D147" s="129" t="s">
        <v>10</v>
      </c>
      <c r="E147" s="129" t="s">
        <v>11</v>
      </c>
      <c r="F147" s="236" t="s">
        <v>34</v>
      </c>
      <c r="G147" s="236"/>
      <c r="H147" s="8" t="s">
        <v>12</v>
      </c>
      <c r="I147" s="7" t="s">
        <v>13</v>
      </c>
      <c r="J147" s="7" t="s">
        <v>14</v>
      </c>
      <c r="K147" s="7" t="s">
        <v>17</v>
      </c>
    </row>
    <row r="148" spans="1:11" s="127" customFormat="1" ht="25.5" x14ac:dyDescent="0.2">
      <c r="A148" s="160"/>
      <c r="B148" s="130" t="s">
        <v>35</v>
      </c>
      <c r="C148" s="14" t="s">
        <v>203</v>
      </c>
      <c r="D148" s="156" t="s">
        <v>20</v>
      </c>
      <c r="E148" s="130" t="s">
        <v>328</v>
      </c>
      <c r="F148" s="237" t="s">
        <v>49</v>
      </c>
      <c r="G148" s="237"/>
      <c r="H148" s="15" t="s">
        <v>160</v>
      </c>
      <c r="I148" s="22"/>
      <c r="J148" s="23"/>
      <c r="K148" s="23">
        <f>TRUNC(SUM(K149:K150),2)</f>
        <v>4.3</v>
      </c>
    </row>
    <row r="149" spans="1:11" s="127" customFormat="1" ht="25.5" x14ac:dyDescent="0.2">
      <c r="A149" s="160"/>
      <c r="B149" s="131" t="s">
        <v>48</v>
      </c>
      <c r="C149" s="31">
        <v>88264</v>
      </c>
      <c r="D149" s="131" t="s">
        <v>0</v>
      </c>
      <c r="E149" s="131" t="s">
        <v>52</v>
      </c>
      <c r="F149" s="238" t="s">
        <v>36</v>
      </c>
      <c r="G149" s="238"/>
      <c r="H149" s="32" t="s">
        <v>50</v>
      </c>
      <c r="I149" s="33">
        <v>5.6000000000000001E-2</v>
      </c>
      <c r="J149" s="34">
        <v>29.47</v>
      </c>
      <c r="K149" s="34">
        <f>TRUNC(I149*J149,2)</f>
        <v>1.65</v>
      </c>
    </row>
    <row r="150" spans="1:11" s="127" customFormat="1" ht="25.5" x14ac:dyDescent="0.2">
      <c r="A150" s="160"/>
      <c r="B150" s="132" t="s">
        <v>37</v>
      </c>
      <c r="C150" s="24" t="s">
        <v>197</v>
      </c>
      <c r="D150" s="132" t="s">
        <v>0</v>
      </c>
      <c r="E150" s="132" t="s">
        <v>329</v>
      </c>
      <c r="F150" s="239" t="s">
        <v>54</v>
      </c>
      <c r="G150" s="239"/>
      <c r="H150" s="25" t="s">
        <v>107</v>
      </c>
      <c r="I150" s="26">
        <v>1</v>
      </c>
      <c r="J150" s="27">
        <v>2.65</v>
      </c>
      <c r="K150" s="121">
        <f>TRUNC(I150*J150,2)</f>
        <v>2.65</v>
      </c>
    </row>
    <row r="151" spans="1:11" s="127" customFormat="1" x14ac:dyDescent="0.2">
      <c r="A151" s="160"/>
      <c r="B151" s="128"/>
      <c r="C151" s="128"/>
      <c r="D151" s="128"/>
      <c r="E151" s="128"/>
      <c r="F151" s="128"/>
      <c r="G151" s="128"/>
      <c r="H151" s="128"/>
      <c r="I151" s="235" t="s">
        <v>38</v>
      </c>
      <c r="J151" s="235"/>
      <c r="K151" s="28">
        <f>TRUNC(K148*(1+$C$5),2)</f>
        <v>5.33</v>
      </c>
    </row>
    <row r="152" spans="1:11" s="127" customFormat="1" x14ac:dyDescent="0.2">
      <c r="A152" s="160"/>
      <c r="B152" s="128"/>
      <c r="C152" s="128"/>
      <c r="D152" s="128"/>
      <c r="E152" s="128"/>
      <c r="F152" s="128"/>
      <c r="G152" s="128"/>
      <c r="H152" s="128" t="s">
        <v>39</v>
      </c>
      <c r="I152" s="29">
        <f>'Memória de Cálculo'!E77</f>
        <v>4</v>
      </c>
      <c r="J152" s="128" t="s">
        <v>40</v>
      </c>
      <c r="K152" s="30">
        <f>TRUNC((I152*K151),2)</f>
        <v>21.32</v>
      </c>
    </row>
    <row r="153" spans="1:11" s="127" customFormat="1" x14ac:dyDescent="0.2">
      <c r="A153" s="160"/>
      <c r="B153" s="128"/>
      <c r="C153" s="128"/>
      <c r="D153" s="128"/>
      <c r="E153" s="128"/>
      <c r="F153" s="128"/>
      <c r="G153" s="128"/>
      <c r="H153" s="128"/>
      <c r="I153" s="29"/>
      <c r="J153" s="128"/>
      <c r="K153" s="30"/>
    </row>
    <row r="154" spans="1:11" s="127" customFormat="1" ht="15" x14ac:dyDescent="0.2">
      <c r="A154" s="160"/>
      <c r="B154" s="129" t="s">
        <v>196</v>
      </c>
      <c r="C154" s="7" t="s">
        <v>9</v>
      </c>
      <c r="D154" s="129" t="s">
        <v>10</v>
      </c>
      <c r="E154" s="129" t="s">
        <v>11</v>
      </c>
      <c r="F154" s="236" t="s">
        <v>34</v>
      </c>
      <c r="G154" s="236"/>
      <c r="H154" s="8" t="s">
        <v>12</v>
      </c>
      <c r="I154" s="7" t="s">
        <v>13</v>
      </c>
      <c r="J154" s="7" t="s">
        <v>14</v>
      </c>
      <c r="K154" s="7" t="s">
        <v>17</v>
      </c>
    </row>
    <row r="155" spans="1:11" s="127" customFormat="1" ht="25.5" x14ac:dyDescent="0.2">
      <c r="A155" s="160"/>
      <c r="B155" s="130" t="s">
        <v>35</v>
      </c>
      <c r="C155" s="14" t="s">
        <v>256</v>
      </c>
      <c r="D155" s="156" t="s">
        <v>20</v>
      </c>
      <c r="E155" s="130" t="s">
        <v>324</v>
      </c>
      <c r="F155" s="237" t="s">
        <v>49</v>
      </c>
      <c r="G155" s="237"/>
      <c r="H155" s="15" t="s">
        <v>160</v>
      </c>
      <c r="I155" s="22"/>
      <c r="J155" s="23"/>
      <c r="K155" s="23">
        <f>TRUNC(SUM(K156:K157),2)</f>
        <v>6.07</v>
      </c>
    </row>
    <row r="156" spans="1:11" s="127" customFormat="1" ht="25.5" x14ac:dyDescent="0.2">
      <c r="A156" s="160"/>
      <c r="B156" s="131" t="s">
        <v>48</v>
      </c>
      <c r="C156" s="31">
        <v>88264</v>
      </c>
      <c r="D156" s="131" t="s">
        <v>0</v>
      </c>
      <c r="E156" s="131" t="s">
        <v>52</v>
      </c>
      <c r="F156" s="238" t="s">
        <v>36</v>
      </c>
      <c r="G156" s="238"/>
      <c r="H156" s="32" t="s">
        <v>50</v>
      </c>
      <c r="I156" s="33">
        <v>0.05</v>
      </c>
      <c r="J156" s="34">
        <v>29.47</v>
      </c>
      <c r="K156" s="34">
        <f>TRUNC(I156*J156,2)</f>
        <v>1.47</v>
      </c>
    </row>
    <row r="157" spans="1:11" s="127" customFormat="1" ht="25.5" x14ac:dyDescent="0.2">
      <c r="A157" s="160"/>
      <c r="B157" s="132" t="s">
        <v>37</v>
      </c>
      <c r="C157" s="24">
        <v>1578</v>
      </c>
      <c r="D157" s="132" t="s">
        <v>0</v>
      </c>
      <c r="E157" s="132" t="s">
        <v>330</v>
      </c>
      <c r="F157" s="239" t="s">
        <v>54</v>
      </c>
      <c r="G157" s="239"/>
      <c r="H157" s="25" t="s">
        <v>107</v>
      </c>
      <c r="I157" s="26">
        <v>1</v>
      </c>
      <c r="J157" s="27">
        <v>4.5999999999999996</v>
      </c>
      <c r="K157" s="121">
        <f>TRUNC(I157*J157,2)</f>
        <v>4.5999999999999996</v>
      </c>
    </row>
    <row r="158" spans="1:11" s="127" customFormat="1" x14ac:dyDescent="0.2">
      <c r="A158" s="160"/>
      <c r="B158" s="128"/>
      <c r="C158" s="128"/>
      <c r="D158" s="128"/>
      <c r="E158" s="128"/>
      <c r="F158" s="128"/>
      <c r="G158" s="128"/>
      <c r="H158" s="128"/>
      <c r="I158" s="235" t="s">
        <v>38</v>
      </c>
      <c r="J158" s="235"/>
      <c r="K158" s="28">
        <f>TRUNC(K155*(1+$C$5),2)</f>
        <v>7.53</v>
      </c>
    </row>
    <row r="159" spans="1:11" s="127" customFormat="1" x14ac:dyDescent="0.2">
      <c r="A159" s="160"/>
      <c r="B159" s="128"/>
      <c r="C159" s="128"/>
      <c r="D159" s="128"/>
      <c r="E159" s="128"/>
      <c r="F159" s="128"/>
      <c r="G159" s="128"/>
      <c r="H159" s="128" t="s">
        <v>39</v>
      </c>
      <c r="I159" s="29">
        <f>'Memória de Cálculo'!E79</f>
        <v>16</v>
      </c>
      <c r="J159" s="128" t="s">
        <v>40</v>
      </c>
      <c r="K159" s="30">
        <f>TRUNC((I159*K158),2)</f>
        <v>120.48</v>
      </c>
    </row>
    <row r="160" spans="1:11" s="127" customFormat="1" x14ac:dyDescent="0.2">
      <c r="A160" s="160"/>
      <c r="B160" s="128"/>
      <c r="C160" s="128"/>
      <c r="D160" s="128"/>
      <c r="E160" s="128"/>
      <c r="F160" s="128"/>
      <c r="G160" s="128"/>
      <c r="H160" s="128"/>
      <c r="I160" s="29"/>
      <c r="J160" s="128"/>
      <c r="K160" s="30"/>
    </row>
    <row r="161" spans="1:12" s="114" customFormat="1" ht="15" x14ac:dyDescent="0.2">
      <c r="A161" s="160"/>
      <c r="B161" s="116" t="s">
        <v>390</v>
      </c>
      <c r="C161" s="7" t="s">
        <v>9</v>
      </c>
      <c r="D161" s="116" t="s">
        <v>10</v>
      </c>
      <c r="E161" s="116" t="s">
        <v>11</v>
      </c>
      <c r="F161" s="236" t="s">
        <v>34</v>
      </c>
      <c r="G161" s="236"/>
      <c r="H161" s="8" t="s">
        <v>12</v>
      </c>
      <c r="I161" s="7" t="s">
        <v>13</v>
      </c>
      <c r="J161" s="7" t="s">
        <v>14</v>
      </c>
      <c r="K161" s="7" t="s">
        <v>17</v>
      </c>
    </row>
    <row r="162" spans="1:12" s="114" customFormat="1" x14ac:dyDescent="0.2">
      <c r="A162" s="160"/>
      <c r="B162" s="117" t="s">
        <v>35</v>
      </c>
      <c r="C162" s="14">
        <v>104737</v>
      </c>
      <c r="D162" s="117" t="s">
        <v>0</v>
      </c>
      <c r="E162" s="117" t="s">
        <v>161</v>
      </c>
      <c r="F162" s="237" t="s">
        <v>49</v>
      </c>
      <c r="G162" s="237"/>
      <c r="H162" s="15" t="s">
        <v>276</v>
      </c>
      <c r="I162" s="22"/>
      <c r="J162" s="23"/>
      <c r="K162" s="23">
        <f>TRUNC(SUM(K163:K166),2)</f>
        <v>20.96</v>
      </c>
    </row>
    <row r="163" spans="1:12" s="114" customFormat="1" ht="25.5" x14ac:dyDescent="0.2">
      <c r="A163" s="160"/>
      <c r="B163" s="118" t="s">
        <v>48</v>
      </c>
      <c r="C163" s="31">
        <v>88316</v>
      </c>
      <c r="D163" s="118" t="s">
        <v>0</v>
      </c>
      <c r="E163" s="118" t="s">
        <v>208</v>
      </c>
      <c r="F163" s="238" t="s">
        <v>36</v>
      </c>
      <c r="G163" s="238"/>
      <c r="H163" s="32" t="s">
        <v>50</v>
      </c>
      <c r="I163" s="33">
        <v>5.4000000000000003E-3</v>
      </c>
      <c r="J163" s="34">
        <v>312.42</v>
      </c>
      <c r="K163" s="34">
        <f>TRUNC(I163*J163,2)</f>
        <v>1.68</v>
      </c>
      <c r="L163" s="188"/>
    </row>
    <row r="164" spans="1:12" s="114" customFormat="1" ht="38.25" x14ac:dyDescent="0.2">
      <c r="A164" s="160"/>
      <c r="B164" s="118" t="s">
        <v>48</v>
      </c>
      <c r="C164" s="31">
        <v>5901</v>
      </c>
      <c r="D164" s="118" t="s">
        <v>0</v>
      </c>
      <c r="E164" s="118" t="s">
        <v>162</v>
      </c>
      <c r="F164" s="238" t="s">
        <v>36</v>
      </c>
      <c r="G164" s="238"/>
      <c r="H164" s="32" t="s">
        <v>154</v>
      </c>
      <c r="I164" s="33">
        <v>5.9999999999999995E-4</v>
      </c>
      <c r="J164" s="34">
        <v>75.45</v>
      </c>
      <c r="K164" s="34">
        <f>TRUNC(I164*J164,2)</f>
        <v>0.04</v>
      </c>
      <c r="L164" s="188"/>
    </row>
    <row r="165" spans="1:12" s="114" customFormat="1" ht="38.25" x14ac:dyDescent="0.2">
      <c r="A165" s="160"/>
      <c r="B165" s="118" t="s">
        <v>48</v>
      </c>
      <c r="C165" s="31" t="s">
        <v>164</v>
      </c>
      <c r="D165" s="118" t="s">
        <v>0</v>
      </c>
      <c r="E165" s="118" t="s">
        <v>163</v>
      </c>
      <c r="F165" s="238" t="s">
        <v>36</v>
      </c>
      <c r="G165" s="238"/>
      <c r="H165" s="32" t="s">
        <v>167</v>
      </c>
      <c r="I165" s="33">
        <v>0.88090000000000002</v>
      </c>
      <c r="J165" s="34">
        <v>20.81</v>
      </c>
      <c r="K165" s="34">
        <f>TRUNC(I165*J165,2)</f>
        <v>18.329999999999998</v>
      </c>
    </row>
    <row r="166" spans="1:12" s="114" customFormat="1" ht="25.5" x14ac:dyDescent="0.2">
      <c r="A166" s="160"/>
      <c r="B166" s="118" t="s">
        <v>48</v>
      </c>
      <c r="C166" s="31" t="s">
        <v>166</v>
      </c>
      <c r="D166" s="118" t="s">
        <v>0</v>
      </c>
      <c r="E166" s="118" t="s">
        <v>165</v>
      </c>
      <c r="F166" s="238" t="s">
        <v>36</v>
      </c>
      <c r="G166" s="238"/>
      <c r="H166" s="32" t="s">
        <v>154</v>
      </c>
      <c r="I166" s="33">
        <v>9.4200000000000006E-2</v>
      </c>
      <c r="J166" s="34">
        <v>9.7100000000000009</v>
      </c>
      <c r="K166" s="34">
        <f>TRUNC(I166*J166,2)</f>
        <v>0.91</v>
      </c>
    </row>
    <row r="167" spans="1:12" s="114" customFormat="1" x14ac:dyDescent="0.2">
      <c r="A167" s="160"/>
      <c r="B167" s="115"/>
      <c r="C167" s="115"/>
      <c r="D167" s="115"/>
      <c r="E167" s="115"/>
      <c r="F167" s="115"/>
      <c r="G167" s="115"/>
      <c r="H167" s="115"/>
      <c r="I167" s="235" t="s">
        <v>38</v>
      </c>
      <c r="J167" s="235"/>
      <c r="K167" s="28">
        <f>TRUNC(K162*(1+$C$5),2)</f>
        <v>26.01</v>
      </c>
    </row>
    <row r="168" spans="1:12" s="114" customFormat="1" x14ac:dyDescent="0.2">
      <c r="A168" s="160"/>
      <c r="B168" s="115"/>
      <c r="C168" s="115"/>
      <c r="D168" s="115"/>
      <c r="E168" s="115"/>
      <c r="F168" s="115"/>
      <c r="G168" s="115"/>
      <c r="H168" s="115" t="s">
        <v>39</v>
      </c>
      <c r="I168" s="29">
        <f>'Memória de Cálculo'!E81</f>
        <v>20.099999999999998</v>
      </c>
      <c r="J168" s="115" t="s">
        <v>40</v>
      </c>
      <c r="K168" s="30">
        <f>TRUNC((I168*K167),2)</f>
        <v>522.79999999999995</v>
      </c>
    </row>
    <row r="169" spans="1:12" s="216" customFormat="1" x14ac:dyDescent="0.2">
      <c r="B169" s="215"/>
      <c r="C169" s="215"/>
      <c r="D169" s="215"/>
      <c r="E169" s="215"/>
      <c r="F169" s="215"/>
      <c r="G169" s="215"/>
      <c r="H169" s="215"/>
      <c r="I169" s="29"/>
      <c r="J169" s="215"/>
      <c r="K169" s="30"/>
    </row>
    <row r="170" spans="1:12" s="216" customFormat="1" x14ac:dyDescent="0.2">
      <c r="B170" s="215"/>
      <c r="C170" s="215"/>
      <c r="D170" s="215"/>
      <c r="E170" s="215"/>
      <c r="F170" s="215"/>
      <c r="G170" s="215"/>
      <c r="H170" s="215"/>
      <c r="I170" s="29"/>
      <c r="J170" s="215"/>
      <c r="K170" s="30"/>
    </row>
    <row r="171" spans="1:12" s="216" customFormat="1" ht="15" x14ac:dyDescent="0.2">
      <c r="B171" s="218" t="s">
        <v>391</v>
      </c>
      <c r="C171" s="7" t="s">
        <v>9</v>
      </c>
      <c r="D171" s="218" t="s">
        <v>10</v>
      </c>
      <c r="E171" s="218" t="s">
        <v>11</v>
      </c>
      <c r="F171" s="236" t="s">
        <v>34</v>
      </c>
      <c r="G171" s="236"/>
      <c r="H171" s="8" t="s">
        <v>12</v>
      </c>
      <c r="I171" s="7" t="s">
        <v>13</v>
      </c>
      <c r="J171" s="7" t="s">
        <v>14</v>
      </c>
      <c r="K171" s="7" t="s">
        <v>17</v>
      </c>
    </row>
    <row r="172" spans="1:12" s="216" customFormat="1" ht="12.75" customHeight="1" x14ac:dyDescent="0.2">
      <c r="B172" s="219" t="s">
        <v>35</v>
      </c>
      <c r="C172" s="14" t="s">
        <v>257</v>
      </c>
      <c r="D172" s="219" t="s">
        <v>20</v>
      </c>
      <c r="E172" s="219" t="s">
        <v>392</v>
      </c>
      <c r="F172" s="237" t="s">
        <v>393</v>
      </c>
      <c r="G172" s="237"/>
      <c r="H172" s="15" t="s">
        <v>21</v>
      </c>
      <c r="I172" s="22"/>
      <c r="J172" s="23"/>
      <c r="K172" s="23">
        <f>TRUNC(SUM(K173:K175),2)</f>
        <v>54.2</v>
      </c>
    </row>
    <row r="173" spans="1:12" s="216" customFormat="1" ht="25.5" x14ac:dyDescent="0.2">
      <c r="B173" s="220" t="s">
        <v>48</v>
      </c>
      <c r="C173" s="31" t="s">
        <v>394</v>
      </c>
      <c r="D173" s="220" t="s">
        <v>0</v>
      </c>
      <c r="E173" s="220" t="s">
        <v>124</v>
      </c>
      <c r="F173" s="238" t="s">
        <v>36</v>
      </c>
      <c r="G173" s="238"/>
      <c r="H173" s="32" t="s">
        <v>50</v>
      </c>
      <c r="I173" s="33">
        <v>0.39200000000000002</v>
      </c>
      <c r="J173" s="34">
        <v>29.09</v>
      </c>
      <c r="K173" s="34">
        <f>TRUNC(I173*J173,2)</f>
        <v>11.4</v>
      </c>
    </row>
    <row r="174" spans="1:12" s="216" customFormat="1" ht="25.5" x14ac:dyDescent="0.2">
      <c r="B174" s="220" t="s">
        <v>48</v>
      </c>
      <c r="C174" s="31" t="s">
        <v>221</v>
      </c>
      <c r="D174" s="220" t="s">
        <v>0</v>
      </c>
      <c r="E174" s="220" t="s">
        <v>118</v>
      </c>
      <c r="F174" s="238" t="s">
        <v>36</v>
      </c>
      <c r="G174" s="238"/>
      <c r="H174" s="32" t="s">
        <v>50</v>
      </c>
      <c r="I174" s="33">
        <v>0.51900000000000002</v>
      </c>
      <c r="J174" s="34">
        <v>20.81</v>
      </c>
      <c r="K174" s="34">
        <f>TRUNC(I174*J174,2)</f>
        <v>10.8</v>
      </c>
    </row>
    <row r="175" spans="1:12" s="216" customFormat="1" x14ac:dyDescent="0.2">
      <c r="B175" s="217" t="s">
        <v>37</v>
      </c>
      <c r="C175" s="24" t="s">
        <v>395</v>
      </c>
      <c r="D175" s="217" t="s">
        <v>233</v>
      </c>
      <c r="E175" s="217" t="s">
        <v>396</v>
      </c>
      <c r="F175" s="239" t="s">
        <v>54</v>
      </c>
      <c r="G175" s="239"/>
      <c r="H175" s="25" t="s">
        <v>110</v>
      </c>
      <c r="I175" s="26">
        <v>64</v>
      </c>
      <c r="J175" s="27">
        <v>0.5</v>
      </c>
      <c r="K175" s="121">
        <f>TRUNC(I175*J175,2)</f>
        <v>32</v>
      </c>
    </row>
    <row r="176" spans="1:12" s="216" customFormat="1" ht="12.75" customHeight="1" x14ac:dyDescent="0.2">
      <c r="B176" s="221"/>
      <c r="C176" s="221"/>
      <c r="D176" s="221"/>
      <c r="E176" s="221"/>
      <c r="F176" s="221"/>
      <c r="G176" s="28"/>
      <c r="H176" s="221"/>
      <c r="I176" s="235" t="s">
        <v>38</v>
      </c>
      <c r="J176" s="235"/>
      <c r="K176" s="28">
        <f>TRUNC(K172*(1+$C$5),2)</f>
        <v>67.260000000000005</v>
      </c>
    </row>
    <row r="177" spans="1:11" s="216" customFormat="1" x14ac:dyDescent="0.2">
      <c r="B177" s="215"/>
      <c r="C177" s="215"/>
      <c r="D177" s="215"/>
      <c r="E177" s="215"/>
      <c r="F177" s="215"/>
      <c r="G177" s="215"/>
      <c r="H177" s="215" t="s">
        <v>39</v>
      </c>
      <c r="I177" s="29">
        <v>15</v>
      </c>
      <c r="J177" s="215" t="s">
        <v>40</v>
      </c>
      <c r="K177" s="30">
        <f>TRUNC((I177*K176),2)</f>
        <v>1008.9</v>
      </c>
    </row>
    <row r="178" spans="1:11" s="216" customFormat="1" x14ac:dyDescent="0.2">
      <c r="B178" s="215"/>
      <c r="C178" s="215"/>
      <c r="D178" s="215"/>
      <c r="E178" s="215"/>
      <c r="F178" s="215"/>
      <c r="G178" s="215"/>
      <c r="H178" s="215"/>
      <c r="I178" s="29"/>
      <c r="J178" s="215"/>
      <c r="K178" s="30"/>
    </row>
    <row r="179" spans="1:11" s="61" customFormat="1" ht="15" x14ac:dyDescent="0.25">
      <c r="B179" s="58">
        <v>3</v>
      </c>
      <c r="C179" s="58"/>
      <c r="D179" s="58"/>
      <c r="E179" s="58" t="s">
        <v>43</v>
      </c>
      <c r="F179" s="58"/>
      <c r="G179" s="240"/>
      <c r="H179" s="240"/>
      <c r="I179" s="59"/>
      <c r="J179" s="58"/>
      <c r="K179" s="60" t="e">
        <f>TRUNC(SUM(K184+K190+K196+K202),2)</f>
        <v>#REF!</v>
      </c>
    </row>
    <row r="180" spans="1:11" s="37" customFormat="1" ht="15" x14ac:dyDescent="0.2">
      <c r="A180" s="160"/>
      <c r="B180" s="40" t="s">
        <v>23</v>
      </c>
      <c r="C180" s="7" t="s">
        <v>9</v>
      </c>
      <c r="D180" s="40" t="s">
        <v>10</v>
      </c>
      <c r="E180" s="40" t="s">
        <v>11</v>
      </c>
      <c r="F180" s="236" t="s">
        <v>34</v>
      </c>
      <c r="G180" s="236"/>
      <c r="H180" s="8" t="s">
        <v>12</v>
      </c>
      <c r="I180" s="7" t="s">
        <v>13</v>
      </c>
      <c r="J180" s="7" t="s">
        <v>14</v>
      </c>
      <c r="K180" s="7" t="s">
        <v>17</v>
      </c>
    </row>
    <row r="181" spans="1:11" s="37" customFormat="1" ht="25.5" x14ac:dyDescent="0.2">
      <c r="A181" s="160"/>
      <c r="B181" s="41" t="s">
        <v>35</v>
      </c>
      <c r="C181" s="14" t="s">
        <v>258</v>
      </c>
      <c r="D181" s="41" t="s">
        <v>3</v>
      </c>
      <c r="E181" s="41" t="s">
        <v>340</v>
      </c>
      <c r="F181" s="237" t="s">
        <v>49</v>
      </c>
      <c r="G181" s="237"/>
      <c r="H181" s="15" t="s">
        <v>107</v>
      </c>
      <c r="I181" s="22"/>
      <c r="J181" s="23"/>
      <c r="K181" s="23" t="e">
        <f>K182</f>
        <v>#REF!</v>
      </c>
    </row>
    <row r="182" spans="1:11" s="37" customFormat="1" x14ac:dyDescent="0.2">
      <c r="A182" s="160"/>
      <c r="B182" s="42" t="s">
        <v>59</v>
      </c>
      <c r="C182" s="31" t="s">
        <v>31</v>
      </c>
      <c r="D182" s="42" t="s">
        <v>60</v>
      </c>
      <c r="E182" s="42" t="s">
        <v>339</v>
      </c>
      <c r="F182" s="238" t="s">
        <v>36</v>
      </c>
      <c r="G182" s="238"/>
      <c r="H182" s="32" t="s">
        <v>107</v>
      </c>
      <c r="I182" s="33">
        <v>1</v>
      </c>
      <c r="J182" s="34" t="e">
        <f>#REF!</f>
        <v>#REF!</v>
      </c>
      <c r="K182" s="34" t="e">
        <f>TRUNC(I182*J182,2)</f>
        <v>#REF!</v>
      </c>
    </row>
    <row r="183" spans="1:11" s="37" customFormat="1" x14ac:dyDescent="0.2">
      <c r="A183" s="160"/>
      <c r="B183" s="38"/>
      <c r="C183" s="38"/>
      <c r="D183" s="38"/>
      <c r="E183" s="38"/>
      <c r="F183" s="38"/>
      <c r="G183" s="38"/>
      <c r="H183" s="38"/>
      <c r="I183" s="235" t="s">
        <v>38</v>
      </c>
      <c r="J183" s="235"/>
      <c r="K183" s="28" t="e">
        <f>TRUNC(K181*(1+$D$6),2)</f>
        <v>#REF!</v>
      </c>
    </row>
    <row r="184" spans="1:11" s="37" customFormat="1" x14ac:dyDescent="0.2">
      <c r="A184" s="160"/>
      <c r="B184" s="38"/>
      <c r="C184" s="38"/>
      <c r="D184" s="38"/>
      <c r="E184" s="38"/>
      <c r="F184" s="38"/>
      <c r="G184" s="38"/>
      <c r="H184" s="38" t="s">
        <v>39</v>
      </c>
      <c r="I184" s="29">
        <f>'Memória de Cálculo'!E90</f>
        <v>6</v>
      </c>
      <c r="J184" s="38" t="s">
        <v>40</v>
      </c>
      <c r="K184" s="30" t="e">
        <f>TRUNC((I184*K183),2)</f>
        <v>#REF!</v>
      </c>
    </row>
    <row r="185" spans="1:11" s="37" customFormat="1" x14ac:dyDescent="0.2">
      <c r="A185" s="160"/>
      <c r="B185" s="38"/>
      <c r="C185" s="38"/>
      <c r="D185" s="38"/>
      <c r="E185" s="38"/>
      <c r="F185" s="38"/>
      <c r="G185" s="38"/>
      <c r="H185" s="38"/>
      <c r="I185" s="29"/>
      <c r="J185" s="38"/>
      <c r="K185" s="30"/>
    </row>
    <row r="186" spans="1:11" s="37" customFormat="1" ht="15" x14ac:dyDescent="0.2">
      <c r="A186" s="160"/>
      <c r="B186" s="40" t="s">
        <v>24</v>
      </c>
      <c r="C186" s="7" t="s">
        <v>9</v>
      </c>
      <c r="D186" s="40" t="s">
        <v>10</v>
      </c>
      <c r="E186" s="40" t="s">
        <v>11</v>
      </c>
      <c r="F186" s="236" t="s">
        <v>34</v>
      </c>
      <c r="G186" s="236"/>
      <c r="H186" s="8" t="s">
        <v>12</v>
      </c>
      <c r="I186" s="7" t="s">
        <v>13</v>
      </c>
      <c r="J186" s="7" t="s">
        <v>14</v>
      </c>
      <c r="K186" s="7" t="s">
        <v>17</v>
      </c>
    </row>
    <row r="187" spans="1:11" s="37" customFormat="1" ht="25.5" x14ac:dyDescent="0.2">
      <c r="A187" s="160"/>
      <c r="B187" s="41" t="s">
        <v>35</v>
      </c>
      <c r="C187" s="14" t="s">
        <v>265</v>
      </c>
      <c r="D187" s="68" t="s">
        <v>3</v>
      </c>
      <c r="E187" s="41" t="s">
        <v>343</v>
      </c>
      <c r="F187" s="237" t="s">
        <v>49</v>
      </c>
      <c r="G187" s="237"/>
      <c r="H187" s="15" t="s">
        <v>107</v>
      </c>
      <c r="I187" s="22"/>
      <c r="J187" s="23"/>
      <c r="K187" s="23" t="e">
        <f>K188</f>
        <v>#REF!</v>
      </c>
    </row>
    <row r="188" spans="1:11" s="37" customFormat="1" ht="27" customHeight="1" x14ac:dyDescent="0.2">
      <c r="A188" s="160"/>
      <c r="B188" s="42" t="s">
        <v>59</v>
      </c>
      <c r="C188" s="31" t="s">
        <v>32</v>
      </c>
      <c r="D188" s="42" t="s">
        <v>60</v>
      </c>
      <c r="E188" s="42" t="s">
        <v>344</v>
      </c>
      <c r="F188" s="238" t="s">
        <v>36</v>
      </c>
      <c r="G188" s="238"/>
      <c r="H188" s="32" t="s">
        <v>107</v>
      </c>
      <c r="I188" s="33">
        <v>1</v>
      </c>
      <c r="J188" s="34" t="e">
        <f>#REF!</f>
        <v>#REF!</v>
      </c>
      <c r="K188" s="34" t="e">
        <f>TRUNC(I188*J188,2)</f>
        <v>#REF!</v>
      </c>
    </row>
    <row r="189" spans="1:11" s="37" customFormat="1" x14ac:dyDescent="0.2">
      <c r="A189" s="160"/>
      <c r="B189" s="38"/>
      <c r="C189" s="38"/>
      <c r="D189" s="38"/>
      <c r="E189" s="38"/>
      <c r="F189" s="38"/>
      <c r="G189" s="38"/>
      <c r="H189" s="38"/>
      <c r="I189" s="235" t="s">
        <v>38</v>
      </c>
      <c r="J189" s="235"/>
      <c r="K189" s="28" t="e">
        <f>TRUNC(K187*(1+$D$6),2)</f>
        <v>#REF!</v>
      </c>
    </row>
    <row r="190" spans="1:11" s="37" customFormat="1" x14ac:dyDescent="0.2">
      <c r="A190" s="160"/>
      <c r="B190" s="38"/>
      <c r="C190" s="38"/>
      <c r="D190" s="38"/>
      <c r="E190" s="38"/>
      <c r="F190" s="38"/>
      <c r="G190" s="38"/>
      <c r="H190" s="38" t="s">
        <v>39</v>
      </c>
      <c r="I190" s="29">
        <f>'Memória de Cálculo'!E97</f>
        <v>8</v>
      </c>
      <c r="J190" s="38" t="s">
        <v>40</v>
      </c>
      <c r="K190" s="30" t="e">
        <f>TRUNC((I190*K189),2)</f>
        <v>#REF!</v>
      </c>
    </row>
    <row r="191" spans="1:11" s="37" customFormat="1" x14ac:dyDescent="0.2">
      <c r="A191" s="160"/>
      <c r="B191" s="38"/>
      <c r="C191" s="38"/>
      <c r="D191" s="38"/>
      <c r="E191" s="38"/>
      <c r="F191" s="38"/>
      <c r="G191" s="38"/>
      <c r="H191" s="38"/>
      <c r="I191" s="29"/>
      <c r="J191" s="38"/>
      <c r="K191" s="30"/>
    </row>
    <row r="192" spans="1:11" s="178" customFormat="1" ht="15" x14ac:dyDescent="0.2">
      <c r="B192" s="180" t="s">
        <v>76</v>
      </c>
      <c r="C192" s="7" t="s">
        <v>9</v>
      </c>
      <c r="D192" s="180" t="s">
        <v>10</v>
      </c>
      <c r="E192" s="180" t="s">
        <v>11</v>
      </c>
      <c r="F192" s="236" t="s">
        <v>34</v>
      </c>
      <c r="G192" s="236"/>
      <c r="H192" s="8" t="s">
        <v>12</v>
      </c>
      <c r="I192" s="7" t="s">
        <v>13</v>
      </c>
      <c r="J192" s="7" t="s">
        <v>14</v>
      </c>
      <c r="K192" s="7" t="s">
        <v>17</v>
      </c>
    </row>
    <row r="193" spans="1:11" s="178" customFormat="1" x14ac:dyDescent="0.2">
      <c r="B193" s="182" t="s">
        <v>35</v>
      </c>
      <c r="C193" s="14" t="s">
        <v>260</v>
      </c>
      <c r="D193" s="182" t="s">
        <v>3</v>
      </c>
      <c r="E193" s="182" t="s">
        <v>318</v>
      </c>
      <c r="F193" s="237" t="s">
        <v>49</v>
      </c>
      <c r="G193" s="237"/>
      <c r="H193" s="15" t="s">
        <v>107</v>
      </c>
      <c r="I193" s="22"/>
      <c r="J193" s="23"/>
      <c r="K193" s="23" t="e">
        <f>K194</f>
        <v>#REF!</v>
      </c>
    </row>
    <row r="194" spans="1:11" s="178" customFormat="1" x14ac:dyDescent="0.2">
      <c r="B194" s="181" t="s">
        <v>59</v>
      </c>
      <c r="C194" s="31" t="s">
        <v>73</v>
      </c>
      <c r="D194" s="181" t="s">
        <v>60</v>
      </c>
      <c r="E194" s="181" t="s">
        <v>367</v>
      </c>
      <c r="F194" s="238" t="s">
        <v>36</v>
      </c>
      <c r="G194" s="238"/>
      <c r="H194" s="32" t="s">
        <v>107</v>
      </c>
      <c r="I194" s="33">
        <v>1</v>
      </c>
      <c r="J194" s="34" t="e">
        <f>#REF!</f>
        <v>#REF!</v>
      </c>
      <c r="K194" s="34" t="e">
        <f>TRUNC(I194*J194,2)</f>
        <v>#REF!</v>
      </c>
    </row>
    <row r="195" spans="1:11" s="178" customFormat="1" x14ac:dyDescent="0.2">
      <c r="B195" s="179"/>
      <c r="C195" s="179"/>
      <c r="D195" s="179"/>
      <c r="E195" s="179"/>
      <c r="F195" s="179"/>
      <c r="G195" s="179"/>
      <c r="H195" s="179"/>
      <c r="I195" s="235" t="s">
        <v>38</v>
      </c>
      <c r="J195" s="235"/>
      <c r="K195" s="28" t="e">
        <f>TRUNC(K193*(1+$D$6),2)</f>
        <v>#REF!</v>
      </c>
    </row>
    <row r="196" spans="1:11" s="178" customFormat="1" x14ac:dyDescent="0.2">
      <c r="B196" s="179"/>
      <c r="C196" s="179"/>
      <c r="D196" s="179"/>
      <c r="E196" s="179"/>
      <c r="F196" s="179"/>
      <c r="G196" s="179"/>
      <c r="H196" s="179" t="s">
        <v>39</v>
      </c>
      <c r="I196" s="29">
        <f>'Memória de Cálculo'!E104</f>
        <v>8</v>
      </c>
      <c r="J196" s="179" t="s">
        <v>40</v>
      </c>
      <c r="K196" s="30" t="e">
        <f>TRUNC((I196*K195),2)</f>
        <v>#REF!</v>
      </c>
    </row>
    <row r="197" spans="1:11" s="178" customFormat="1" x14ac:dyDescent="0.2">
      <c r="B197" s="179"/>
      <c r="C197" s="179"/>
      <c r="D197" s="179"/>
      <c r="E197" s="179"/>
      <c r="F197" s="179"/>
      <c r="G197" s="179"/>
      <c r="H197" s="179"/>
      <c r="I197" s="29"/>
      <c r="J197" s="179"/>
      <c r="K197" s="30"/>
    </row>
    <row r="198" spans="1:11" s="66" customFormat="1" ht="15" x14ac:dyDescent="0.2">
      <c r="A198" s="160"/>
      <c r="B198" s="67" t="s">
        <v>288</v>
      </c>
      <c r="C198" s="7" t="s">
        <v>9</v>
      </c>
      <c r="D198" s="67" t="s">
        <v>10</v>
      </c>
      <c r="E198" s="67" t="s">
        <v>11</v>
      </c>
      <c r="F198" s="236" t="s">
        <v>34</v>
      </c>
      <c r="G198" s="236"/>
      <c r="H198" s="8" t="s">
        <v>12</v>
      </c>
      <c r="I198" s="7" t="s">
        <v>13</v>
      </c>
      <c r="J198" s="7" t="s">
        <v>14</v>
      </c>
      <c r="K198" s="7" t="s">
        <v>17</v>
      </c>
    </row>
    <row r="199" spans="1:11" s="66" customFormat="1" ht="51" x14ac:dyDescent="0.2">
      <c r="A199" s="160"/>
      <c r="B199" s="68" t="s">
        <v>35</v>
      </c>
      <c r="C199" s="14" t="s">
        <v>261</v>
      </c>
      <c r="D199" s="68" t="s">
        <v>3</v>
      </c>
      <c r="E199" s="102" t="s">
        <v>346</v>
      </c>
      <c r="F199" s="237" t="s">
        <v>49</v>
      </c>
      <c r="G199" s="237"/>
      <c r="H199" s="15" t="s">
        <v>107</v>
      </c>
      <c r="I199" s="22"/>
      <c r="J199" s="23"/>
      <c r="K199" s="23" t="e">
        <f>K200</f>
        <v>#REF!</v>
      </c>
    </row>
    <row r="200" spans="1:11" s="66" customFormat="1" ht="68.25" customHeight="1" x14ac:dyDescent="0.2">
      <c r="A200" s="160"/>
      <c r="B200" s="69" t="s">
        <v>59</v>
      </c>
      <c r="C200" s="31" t="s">
        <v>286</v>
      </c>
      <c r="D200" s="69" t="s">
        <v>60</v>
      </c>
      <c r="E200" s="103" t="s">
        <v>345</v>
      </c>
      <c r="F200" s="238" t="s">
        <v>36</v>
      </c>
      <c r="G200" s="238"/>
      <c r="H200" s="32" t="s">
        <v>107</v>
      </c>
      <c r="I200" s="33">
        <v>1</v>
      </c>
      <c r="J200" s="34" t="e">
        <f>#REF!</f>
        <v>#REF!</v>
      </c>
      <c r="K200" s="34" t="e">
        <f>TRUNC(I200*J200,2)</f>
        <v>#REF!</v>
      </c>
    </row>
    <row r="201" spans="1:11" s="66" customFormat="1" x14ac:dyDescent="0.2">
      <c r="A201" s="160"/>
      <c r="B201" s="64"/>
      <c r="C201" s="64"/>
      <c r="D201" s="64"/>
      <c r="E201" s="64"/>
      <c r="F201" s="64"/>
      <c r="G201" s="64"/>
      <c r="H201" s="64"/>
      <c r="I201" s="235" t="s">
        <v>38</v>
      </c>
      <c r="J201" s="235"/>
      <c r="K201" s="28" t="e">
        <f>TRUNC(K199*(1+$C$5),2)</f>
        <v>#REF!</v>
      </c>
    </row>
    <row r="202" spans="1:11" s="66" customFormat="1" x14ac:dyDescent="0.2">
      <c r="A202" s="160"/>
      <c r="B202" s="64"/>
      <c r="C202" s="64"/>
      <c r="D202" s="64"/>
      <c r="E202" s="64"/>
      <c r="F202" s="64"/>
      <c r="G202" s="64"/>
      <c r="H202" s="64" t="s">
        <v>39</v>
      </c>
      <c r="I202" s="29">
        <f>'Memória de Cálculo'!E115</f>
        <v>1</v>
      </c>
      <c r="J202" s="64" t="s">
        <v>40</v>
      </c>
      <c r="K202" s="30" t="e">
        <f>TRUNC((I202*K201),2)</f>
        <v>#REF!</v>
      </c>
    </row>
    <row r="203" spans="1:11" s="100" customFormat="1" x14ac:dyDescent="0.2">
      <c r="A203" s="160"/>
      <c r="B203" s="101"/>
      <c r="C203" s="101"/>
      <c r="D203" s="101"/>
      <c r="E203" s="101"/>
      <c r="F203" s="101"/>
      <c r="G203" s="101"/>
      <c r="H203" s="101"/>
      <c r="I203" s="29"/>
      <c r="J203" s="101"/>
      <c r="K203" s="30"/>
    </row>
    <row r="204" spans="1:11" s="105" customFormat="1" ht="15" x14ac:dyDescent="0.2">
      <c r="A204" s="160"/>
      <c r="B204" s="111">
        <v>4</v>
      </c>
      <c r="C204" s="111"/>
      <c r="D204" s="111"/>
      <c r="E204" s="111" t="s">
        <v>122</v>
      </c>
      <c r="F204" s="111"/>
      <c r="G204" s="111"/>
      <c r="H204" s="111"/>
      <c r="I204" s="111"/>
      <c r="J204" s="111"/>
      <c r="K204" s="60">
        <f>TRUNC(SUM(K220+K226++K232),2)</f>
        <v>4379.76</v>
      </c>
    </row>
    <row r="205" spans="1:11" s="105" customFormat="1" ht="15" x14ac:dyDescent="0.2">
      <c r="A205" s="160"/>
      <c r="B205" s="108" t="s">
        <v>135</v>
      </c>
      <c r="C205" s="7" t="s">
        <v>9</v>
      </c>
      <c r="D205" s="108" t="s">
        <v>10</v>
      </c>
      <c r="E205" s="108" t="s">
        <v>11</v>
      </c>
      <c r="F205" s="236" t="s">
        <v>34</v>
      </c>
      <c r="G205" s="236"/>
      <c r="H205" s="8" t="s">
        <v>12</v>
      </c>
      <c r="I205" s="7" t="s">
        <v>13</v>
      </c>
      <c r="J205" s="7" t="s">
        <v>14</v>
      </c>
      <c r="K205" s="7" t="s">
        <v>17</v>
      </c>
    </row>
    <row r="206" spans="1:11" s="105" customFormat="1" x14ac:dyDescent="0.2">
      <c r="A206" s="160"/>
      <c r="B206" s="109" t="s">
        <v>35</v>
      </c>
      <c r="C206" s="14" t="s">
        <v>262</v>
      </c>
      <c r="D206" s="109" t="s">
        <v>20</v>
      </c>
      <c r="E206" s="109" t="s">
        <v>139</v>
      </c>
      <c r="F206" s="237" t="s">
        <v>49</v>
      </c>
      <c r="G206" s="237"/>
      <c r="H206" s="15" t="s">
        <v>278</v>
      </c>
      <c r="I206" s="22"/>
      <c r="J206" s="23"/>
      <c r="K206" s="23">
        <f>TRUNC(SUM(K207:K218),2)</f>
        <v>301.89</v>
      </c>
    </row>
    <row r="207" spans="1:11" s="105" customFormat="1" ht="25.5" x14ac:dyDescent="0.2">
      <c r="A207" s="160"/>
      <c r="B207" s="110" t="s">
        <v>48</v>
      </c>
      <c r="C207" s="31">
        <v>88316</v>
      </c>
      <c r="D207" s="110" t="s">
        <v>0</v>
      </c>
      <c r="E207" s="110" t="s">
        <v>118</v>
      </c>
      <c r="F207" s="238" t="s">
        <v>36</v>
      </c>
      <c r="G207" s="238"/>
      <c r="H207" s="32" t="s">
        <v>50</v>
      </c>
      <c r="I207" s="33">
        <v>0.66669999999999996</v>
      </c>
      <c r="J207" s="34">
        <v>20.81</v>
      </c>
      <c r="K207" s="34">
        <f>TRUNC(I207*J207,2)</f>
        <v>13.87</v>
      </c>
    </row>
    <row r="208" spans="1:11" s="105" customFormat="1" ht="27.75" customHeight="1" x14ac:dyDescent="0.2">
      <c r="A208" s="160"/>
      <c r="B208" s="110" t="s">
        <v>48</v>
      </c>
      <c r="C208" s="31">
        <v>88309</v>
      </c>
      <c r="D208" s="110" t="s">
        <v>0</v>
      </c>
      <c r="E208" s="110" t="s">
        <v>124</v>
      </c>
      <c r="F208" s="238" t="s">
        <v>36</v>
      </c>
      <c r="G208" s="238"/>
      <c r="H208" s="32" t="s">
        <v>50</v>
      </c>
      <c r="I208" s="33">
        <v>0.66669999999999996</v>
      </c>
      <c r="J208" s="34">
        <v>29.09</v>
      </c>
      <c r="K208" s="34">
        <f>TRUNC(I208*J208,2)</f>
        <v>19.39</v>
      </c>
    </row>
    <row r="209" spans="1:11" s="105" customFormat="1" ht="12.75" customHeight="1" x14ac:dyDescent="0.2">
      <c r="A209" s="160"/>
      <c r="B209" s="191" t="s">
        <v>37</v>
      </c>
      <c r="C209" s="24">
        <v>3768</v>
      </c>
      <c r="D209" s="191" t="s">
        <v>0</v>
      </c>
      <c r="E209" s="191" t="s">
        <v>134</v>
      </c>
      <c r="F209" s="246" t="s">
        <v>54</v>
      </c>
      <c r="G209" s="247"/>
      <c r="H209" s="25" t="s">
        <v>107</v>
      </c>
      <c r="I209" s="26">
        <v>0.29759999999999998</v>
      </c>
      <c r="J209" s="27">
        <v>2.42</v>
      </c>
      <c r="K209" s="27">
        <f t="shared" ref="K209:K217" si="2">TRUNC(I209*J209,2)</f>
        <v>0.72</v>
      </c>
    </row>
    <row r="210" spans="1:11" s="188" customFormat="1" ht="12.75" customHeight="1" x14ac:dyDescent="0.2">
      <c r="B210" s="191" t="s">
        <v>37</v>
      </c>
      <c r="C210" s="24">
        <v>11002</v>
      </c>
      <c r="D210" s="191" t="s">
        <v>0</v>
      </c>
      <c r="E210" s="191" t="s">
        <v>125</v>
      </c>
      <c r="F210" s="246" t="s">
        <v>54</v>
      </c>
      <c r="G210" s="247"/>
      <c r="H210" s="25" t="s">
        <v>110</v>
      </c>
      <c r="I210" s="26">
        <v>0.11849999999999999</v>
      </c>
      <c r="J210" s="27">
        <v>25.44</v>
      </c>
      <c r="K210" s="27">
        <f t="shared" ref="K210:K216" si="3">TRUNC(I210*J210,2)</f>
        <v>3.01</v>
      </c>
    </row>
    <row r="211" spans="1:11" s="188" customFormat="1" ht="12.75" customHeight="1" x14ac:dyDescent="0.2">
      <c r="B211" s="191" t="s">
        <v>37</v>
      </c>
      <c r="C211" s="24">
        <v>2417</v>
      </c>
      <c r="D211" s="191" t="s">
        <v>101</v>
      </c>
      <c r="E211" s="191" t="s">
        <v>128</v>
      </c>
      <c r="F211" s="246" t="s">
        <v>54</v>
      </c>
      <c r="G211" s="247"/>
      <c r="H211" s="25" t="s">
        <v>103</v>
      </c>
      <c r="I211" s="26">
        <v>0.23810000000000001</v>
      </c>
      <c r="J211" s="27">
        <v>35.1</v>
      </c>
      <c r="K211" s="27">
        <f t="shared" si="3"/>
        <v>8.35</v>
      </c>
    </row>
    <row r="212" spans="1:11" s="188" customFormat="1" ht="12.75" customHeight="1" x14ac:dyDescent="0.2">
      <c r="B212" s="191" t="s">
        <v>37</v>
      </c>
      <c r="C212" s="24">
        <v>2719</v>
      </c>
      <c r="D212" s="191" t="s">
        <v>101</v>
      </c>
      <c r="E212" s="191" t="s">
        <v>131</v>
      </c>
      <c r="F212" s="246" t="s">
        <v>54</v>
      </c>
      <c r="G212" s="247"/>
      <c r="H212" s="25" t="s">
        <v>103</v>
      </c>
      <c r="I212" s="26">
        <v>2.3666999999999998</v>
      </c>
      <c r="J212" s="27">
        <v>8.2799999999999994</v>
      </c>
      <c r="K212" s="27">
        <f t="shared" si="3"/>
        <v>19.59</v>
      </c>
    </row>
    <row r="213" spans="1:11" s="188" customFormat="1" ht="12.75" customHeight="1" x14ac:dyDescent="0.2">
      <c r="B213" s="191" t="s">
        <v>37</v>
      </c>
      <c r="C213" s="24">
        <v>2375</v>
      </c>
      <c r="D213" s="191" t="s">
        <v>101</v>
      </c>
      <c r="E213" s="191" t="s">
        <v>130</v>
      </c>
      <c r="F213" s="246" t="s">
        <v>54</v>
      </c>
      <c r="G213" s="247"/>
      <c r="H213" s="25" t="s">
        <v>103</v>
      </c>
      <c r="I213" s="26">
        <v>2.7766999999999999</v>
      </c>
      <c r="J213" s="27">
        <v>8.14</v>
      </c>
      <c r="K213" s="27">
        <f>TRUNC(I213*J213,2)</f>
        <v>22.6</v>
      </c>
    </row>
    <row r="214" spans="1:11" s="188" customFormat="1" ht="12.75" customHeight="1" x14ac:dyDescent="0.2">
      <c r="B214" s="191" t="s">
        <v>37</v>
      </c>
      <c r="C214" s="24">
        <v>1393</v>
      </c>
      <c r="D214" s="191" t="s">
        <v>101</v>
      </c>
      <c r="E214" s="191" t="s">
        <v>129</v>
      </c>
      <c r="F214" s="246" t="s">
        <v>54</v>
      </c>
      <c r="G214" s="247"/>
      <c r="H214" s="25" t="s">
        <v>103</v>
      </c>
      <c r="I214" s="26">
        <v>9.1233000000000004</v>
      </c>
      <c r="J214" s="27">
        <v>9.31</v>
      </c>
      <c r="K214" s="27">
        <f t="shared" si="3"/>
        <v>84.93</v>
      </c>
    </row>
    <row r="215" spans="1:11" s="188" customFormat="1" ht="12.75" customHeight="1" x14ac:dyDescent="0.2">
      <c r="B215" s="191" t="s">
        <v>37</v>
      </c>
      <c r="C215" s="24">
        <v>1334</v>
      </c>
      <c r="D215" s="191" t="s">
        <v>101</v>
      </c>
      <c r="E215" s="191" t="s">
        <v>133</v>
      </c>
      <c r="F215" s="246" t="s">
        <v>54</v>
      </c>
      <c r="G215" s="247"/>
      <c r="H215" s="25" t="s">
        <v>107</v>
      </c>
      <c r="I215" s="26">
        <v>6.8400000000000002E-2</v>
      </c>
      <c r="J215" s="27">
        <v>9.9</v>
      </c>
      <c r="K215" s="27">
        <f>TRUNC(I215*J215,2)</f>
        <v>0.67</v>
      </c>
    </row>
    <row r="216" spans="1:11" s="188" customFormat="1" ht="12.75" customHeight="1" x14ac:dyDescent="0.2">
      <c r="B216" s="191" t="s">
        <v>37</v>
      </c>
      <c r="C216" s="24">
        <v>1264</v>
      </c>
      <c r="D216" s="191" t="s">
        <v>101</v>
      </c>
      <c r="E216" s="191" t="s">
        <v>132</v>
      </c>
      <c r="F216" s="246" t="s">
        <v>54</v>
      </c>
      <c r="G216" s="247"/>
      <c r="H216" s="25" t="s">
        <v>107</v>
      </c>
      <c r="I216" s="26">
        <v>5.9499999999999997E-2</v>
      </c>
      <c r="J216" s="27">
        <v>14.46</v>
      </c>
      <c r="K216" s="27">
        <f t="shared" si="3"/>
        <v>0.86</v>
      </c>
    </row>
    <row r="217" spans="1:11" s="105" customFormat="1" ht="12.75" customHeight="1" x14ac:dyDescent="0.2">
      <c r="A217" s="160"/>
      <c r="B217" s="191" t="s">
        <v>37</v>
      </c>
      <c r="C217" s="24">
        <v>2760</v>
      </c>
      <c r="D217" s="191" t="s">
        <v>101</v>
      </c>
      <c r="E217" s="191" t="s">
        <v>127</v>
      </c>
      <c r="F217" s="246" t="s">
        <v>54</v>
      </c>
      <c r="G217" s="247"/>
      <c r="H217" s="25" t="s">
        <v>103</v>
      </c>
      <c r="I217" s="26">
        <v>2.5467</v>
      </c>
      <c r="J217" s="27">
        <v>10.55</v>
      </c>
      <c r="K217" s="27">
        <f t="shared" si="2"/>
        <v>26.86</v>
      </c>
    </row>
    <row r="218" spans="1:11" s="105" customFormat="1" x14ac:dyDescent="0.2">
      <c r="A218" s="160"/>
      <c r="B218" s="191" t="s">
        <v>37</v>
      </c>
      <c r="C218" s="24">
        <v>2889</v>
      </c>
      <c r="D218" s="191" t="s">
        <v>101</v>
      </c>
      <c r="E218" s="191" t="s">
        <v>126</v>
      </c>
      <c r="F218" s="246" t="s">
        <v>54</v>
      </c>
      <c r="G218" s="247"/>
      <c r="H218" s="25" t="s">
        <v>107</v>
      </c>
      <c r="I218" s="26">
        <v>1</v>
      </c>
      <c r="J218" s="27">
        <v>101.04</v>
      </c>
      <c r="K218" s="27">
        <f>TRUNC(I218*J218,2)</f>
        <v>101.04</v>
      </c>
    </row>
    <row r="219" spans="1:11" s="105" customFormat="1" ht="12.75" customHeight="1" x14ac:dyDescent="0.2">
      <c r="A219" s="160"/>
      <c r="B219" s="189"/>
      <c r="C219" s="189"/>
      <c r="D219" s="189"/>
      <c r="E219" s="188"/>
      <c r="F219" s="189"/>
      <c r="G219" s="189"/>
      <c r="H219" s="189"/>
      <c r="I219" s="245" t="s">
        <v>38</v>
      </c>
      <c r="J219" s="245"/>
      <c r="K219" s="28">
        <f>TRUNC(K206*(1+$C$5),2)</f>
        <v>374.67</v>
      </c>
    </row>
    <row r="220" spans="1:11" s="105" customFormat="1" x14ac:dyDescent="0.2">
      <c r="A220" s="160"/>
      <c r="B220" s="106"/>
      <c r="C220" s="106"/>
      <c r="D220" s="106"/>
      <c r="E220" s="106"/>
      <c r="F220" s="106"/>
      <c r="G220" s="106"/>
      <c r="H220" s="106" t="s">
        <v>39</v>
      </c>
      <c r="I220" s="29">
        <f>'Memória de Cálculo'!E120</f>
        <v>10.799999999999999</v>
      </c>
      <c r="J220" s="106" t="s">
        <v>40</v>
      </c>
      <c r="K220" s="30">
        <f>TRUNC((I220*K219),2)</f>
        <v>4046.43</v>
      </c>
    </row>
    <row r="221" spans="1:11" s="100" customFormat="1" x14ac:dyDescent="0.2">
      <c r="A221" s="160"/>
      <c r="B221" s="101"/>
      <c r="C221" s="101"/>
      <c r="D221" s="101"/>
      <c r="E221" s="101"/>
      <c r="F221" s="101"/>
      <c r="G221" s="101"/>
      <c r="H221" s="101"/>
      <c r="I221" s="29"/>
      <c r="J221" s="101"/>
      <c r="K221" s="30"/>
    </row>
    <row r="222" spans="1:11" s="137" customFormat="1" ht="15" x14ac:dyDescent="0.2">
      <c r="A222" s="160"/>
      <c r="B222" s="180" t="s">
        <v>141</v>
      </c>
      <c r="C222" s="7" t="s">
        <v>9</v>
      </c>
      <c r="D222" s="142" t="s">
        <v>10</v>
      </c>
      <c r="E222" s="142" t="s">
        <v>11</v>
      </c>
      <c r="F222" s="236" t="s">
        <v>34</v>
      </c>
      <c r="G222" s="236"/>
      <c r="H222" s="8" t="s">
        <v>12</v>
      </c>
      <c r="I222" s="7" t="s">
        <v>13</v>
      </c>
      <c r="J222" s="7" t="s">
        <v>14</v>
      </c>
      <c r="K222" s="7" t="s">
        <v>17</v>
      </c>
    </row>
    <row r="223" spans="1:11" s="137" customFormat="1" x14ac:dyDescent="0.2">
      <c r="A223" s="160"/>
      <c r="B223" s="143" t="s">
        <v>35</v>
      </c>
      <c r="C223" s="14">
        <v>64</v>
      </c>
      <c r="D223" s="143" t="s">
        <v>233</v>
      </c>
      <c r="E223" s="143" t="s">
        <v>336</v>
      </c>
      <c r="F223" s="237" t="s">
        <v>49</v>
      </c>
      <c r="G223" s="237"/>
      <c r="H223" s="15"/>
      <c r="I223" s="22"/>
      <c r="J223" s="23"/>
      <c r="K223" s="23">
        <f>TRUNC(SUM(K224),2)</f>
        <v>7.25</v>
      </c>
    </row>
    <row r="224" spans="1:11" s="137" customFormat="1" x14ac:dyDescent="0.2">
      <c r="A224" s="160"/>
      <c r="B224" s="140" t="s">
        <v>37</v>
      </c>
      <c r="C224" s="24">
        <v>38070</v>
      </c>
      <c r="D224" s="140" t="s">
        <v>233</v>
      </c>
      <c r="E224" s="140" t="s">
        <v>335</v>
      </c>
      <c r="F224" s="239" t="s">
        <v>54</v>
      </c>
      <c r="G224" s="239"/>
      <c r="H224" s="25" t="s">
        <v>277</v>
      </c>
      <c r="I224" s="26">
        <v>1</v>
      </c>
      <c r="J224" s="27">
        <v>7.25</v>
      </c>
      <c r="K224" s="27">
        <f>TRUNC(I224*J224,2)</f>
        <v>7.25</v>
      </c>
    </row>
    <row r="225" spans="1:12" s="137" customFormat="1" x14ac:dyDescent="0.2">
      <c r="A225" s="160"/>
      <c r="B225" s="138"/>
      <c r="C225" s="138"/>
      <c r="D225" s="138"/>
      <c r="E225" s="138"/>
      <c r="F225" s="138"/>
      <c r="G225" s="138"/>
      <c r="H225" s="138"/>
      <c r="I225" s="235" t="s">
        <v>38</v>
      </c>
      <c r="J225" s="235"/>
      <c r="K225" s="28">
        <f>TRUNC(K223*(1+$C$5),2)</f>
        <v>8.99</v>
      </c>
    </row>
    <row r="226" spans="1:12" s="137" customFormat="1" x14ac:dyDescent="0.2">
      <c r="A226" s="160"/>
      <c r="B226" s="138"/>
      <c r="C226" s="138"/>
      <c r="D226" s="138"/>
      <c r="E226" s="138"/>
      <c r="F226" s="138"/>
      <c r="G226" s="138"/>
      <c r="H226" s="138" t="s">
        <v>39</v>
      </c>
      <c r="I226" s="29">
        <f>'Memória de Cálculo'!E124</f>
        <v>25.92</v>
      </c>
      <c r="J226" s="138" t="s">
        <v>40</v>
      </c>
      <c r="K226" s="30">
        <f>TRUNC((I226*K225),2)</f>
        <v>233.02</v>
      </c>
    </row>
    <row r="227" spans="1:12" s="137" customFormat="1" x14ac:dyDescent="0.2">
      <c r="A227" s="160"/>
      <c r="B227" s="138"/>
      <c r="C227" s="138"/>
      <c r="D227" s="138"/>
      <c r="E227" s="138"/>
      <c r="F227" s="138"/>
      <c r="G227" s="138"/>
      <c r="H227" s="138"/>
      <c r="I227" s="29"/>
      <c r="J227" s="138"/>
      <c r="K227" s="30"/>
    </row>
    <row r="228" spans="1:12" s="206" customFormat="1" ht="15" x14ac:dyDescent="0.2">
      <c r="B228" s="209" t="s">
        <v>353</v>
      </c>
      <c r="C228" s="7" t="s">
        <v>9</v>
      </c>
      <c r="D228" s="209" t="s">
        <v>10</v>
      </c>
      <c r="E228" s="209" t="s">
        <v>11</v>
      </c>
      <c r="F228" s="236" t="s">
        <v>34</v>
      </c>
      <c r="G228" s="236"/>
      <c r="H228" s="8" t="s">
        <v>12</v>
      </c>
      <c r="I228" s="7" t="s">
        <v>13</v>
      </c>
      <c r="J228" s="7" t="s">
        <v>14</v>
      </c>
      <c r="K228" s="7" t="s">
        <v>17</v>
      </c>
    </row>
    <row r="229" spans="1:12" s="206" customFormat="1" ht="12.75" customHeight="1" x14ac:dyDescent="0.2">
      <c r="B229" s="210" t="s">
        <v>35</v>
      </c>
      <c r="C229" s="14" t="s">
        <v>363</v>
      </c>
      <c r="D229" s="210" t="s">
        <v>20</v>
      </c>
      <c r="E229" s="210" t="s">
        <v>361</v>
      </c>
      <c r="F229" s="237" t="s">
        <v>36</v>
      </c>
      <c r="G229" s="237"/>
      <c r="H229" s="15" t="s">
        <v>278</v>
      </c>
      <c r="I229" s="22">
        <v>1</v>
      </c>
      <c r="J229" s="23"/>
      <c r="K229" s="23">
        <f>TRUNC(SUM(K230:K230),2)</f>
        <v>3.12</v>
      </c>
    </row>
    <row r="230" spans="1:12" s="206" customFormat="1" ht="25.5" x14ac:dyDescent="0.2">
      <c r="B230" s="213" t="s">
        <v>48</v>
      </c>
      <c r="C230" s="31">
        <v>88316</v>
      </c>
      <c r="D230" s="213" t="s">
        <v>0</v>
      </c>
      <c r="E230" s="213" t="s">
        <v>118</v>
      </c>
      <c r="F230" s="238" t="s">
        <v>36</v>
      </c>
      <c r="G230" s="238"/>
      <c r="H230" s="32" t="s">
        <v>50</v>
      </c>
      <c r="I230" s="33">
        <v>0.15</v>
      </c>
      <c r="J230" s="34">
        <v>20.81</v>
      </c>
      <c r="K230" s="34">
        <f>TRUNC(I230*J230,2)</f>
        <v>3.12</v>
      </c>
    </row>
    <row r="231" spans="1:12" s="206" customFormat="1" x14ac:dyDescent="0.2">
      <c r="B231" s="212"/>
      <c r="C231" s="212"/>
      <c r="D231" s="212"/>
      <c r="E231" s="212"/>
      <c r="F231" s="212"/>
      <c r="G231" s="28"/>
      <c r="H231" s="212"/>
      <c r="I231" s="235" t="s">
        <v>38</v>
      </c>
      <c r="J231" s="235"/>
      <c r="K231" s="28">
        <f>TRUNC(K229*(1+$C$5),2)</f>
        <v>3.87</v>
      </c>
    </row>
    <row r="232" spans="1:12" s="206" customFormat="1" x14ac:dyDescent="0.2">
      <c r="B232" s="208"/>
      <c r="C232" s="208"/>
      <c r="D232" s="208"/>
      <c r="E232" s="208"/>
      <c r="F232" s="208"/>
      <c r="G232" s="208"/>
      <c r="H232" s="208" t="s">
        <v>39</v>
      </c>
      <c r="I232" s="104">
        <f>'Memória de Cálculo'!E129</f>
        <v>25.92</v>
      </c>
      <c r="J232" s="208" t="s">
        <v>40</v>
      </c>
      <c r="K232" s="207">
        <f>TRUNC((I232*K231),2)</f>
        <v>100.31</v>
      </c>
    </row>
    <row r="233" spans="1:12" s="206" customFormat="1" x14ac:dyDescent="0.2">
      <c r="B233" s="205"/>
      <c r="C233" s="205"/>
      <c r="D233" s="205"/>
      <c r="E233" s="205"/>
      <c r="F233" s="205"/>
      <c r="G233" s="205"/>
      <c r="H233" s="205"/>
      <c r="I233" s="29"/>
      <c r="J233" s="205"/>
      <c r="K233" s="30"/>
    </row>
    <row r="234" spans="1:12" s="137" customFormat="1" ht="15" x14ac:dyDescent="0.2">
      <c r="A234" s="160"/>
      <c r="B234" s="146">
        <v>5</v>
      </c>
      <c r="C234" s="146"/>
      <c r="D234" s="146"/>
      <c r="E234" s="146" t="s">
        <v>231</v>
      </c>
      <c r="F234" s="146"/>
      <c r="G234" s="240"/>
      <c r="H234" s="240"/>
      <c r="I234" s="59"/>
      <c r="J234" s="146"/>
      <c r="K234" s="60">
        <f>K240</f>
        <v>5492.84</v>
      </c>
    </row>
    <row r="235" spans="1:12" s="137" customFormat="1" ht="15" x14ac:dyDescent="0.2">
      <c r="A235" s="160"/>
      <c r="B235" s="142" t="s">
        <v>225</v>
      </c>
      <c r="C235" s="7" t="s">
        <v>9</v>
      </c>
      <c r="D235" s="142" t="s">
        <v>10</v>
      </c>
      <c r="E235" s="142" t="s">
        <v>11</v>
      </c>
      <c r="F235" s="248" t="s">
        <v>34</v>
      </c>
      <c r="G235" s="249"/>
      <c r="H235" s="8" t="s">
        <v>12</v>
      </c>
      <c r="I235" s="7" t="s">
        <v>13</v>
      </c>
      <c r="J235" s="7" t="s">
        <v>14</v>
      </c>
      <c r="K235" s="7" t="s">
        <v>17</v>
      </c>
    </row>
    <row r="236" spans="1:12" s="137" customFormat="1" ht="12.75" customHeight="1" x14ac:dyDescent="0.2">
      <c r="A236" s="160"/>
      <c r="B236" s="143" t="s">
        <v>35</v>
      </c>
      <c r="C236" s="14" t="s">
        <v>397</v>
      </c>
      <c r="D236" s="156" t="s">
        <v>20</v>
      </c>
      <c r="E236" s="143" t="s">
        <v>223</v>
      </c>
      <c r="F236" s="250" t="s">
        <v>226</v>
      </c>
      <c r="G236" s="251"/>
      <c r="H236" s="15" t="s">
        <v>107</v>
      </c>
      <c r="I236" s="22"/>
      <c r="J236" s="23"/>
      <c r="K236" s="23">
        <f>TRUNC(SUM(K237:K238),2)</f>
        <v>4425.79</v>
      </c>
    </row>
    <row r="237" spans="1:12" s="137" customFormat="1" ht="25.5" x14ac:dyDescent="0.2">
      <c r="A237" s="160"/>
      <c r="B237" s="139" t="s">
        <v>48</v>
      </c>
      <c r="C237" s="31">
        <v>93565</v>
      </c>
      <c r="D237" s="139" t="s">
        <v>0</v>
      </c>
      <c r="E237" s="159" t="s">
        <v>227</v>
      </c>
      <c r="F237" s="252" t="s">
        <v>36</v>
      </c>
      <c r="G237" s="253"/>
      <c r="H237" s="32" t="s">
        <v>228</v>
      </c>
      <c r="I237" s="33">
        <f>'Memória de Cálculo'!D137</f>
        <v>0.15</v>
      </c>
      <c r="J237" s="34">
        <v>20727.47</v>
      </c>
      <c r="K237" s="34">
        <f t="shared" ref="K237" si="4">TRUNC(I237*J237,2)</f>
        <v>3109.12</v>
      </c>
      <c r="L237" s="44"/>
    </row>
    <row r="238" spans="1:12" s="137" customFormat="1" ht="25.5" x14ac:dyDescent="0.2">
      <c r="A238" s="160"/>
      <c r="B238" s="139" t="s">
        <v>48</v>
      </c>
      <c r="C238" s="31">
        <v>101401</v>
      </c>
      <c r="D238" s="139" t="s">
        <v>0</v>
      </c>
      <c r="E238" s="159" t="s">
        <v>229</v>
      </c>
      <c r="F238" s="252" t="s">
        <v>36</v>
      </c>
      <c r="G238" s="253"/>
      <c r="H238" s="32" t="s">
        <v>228</v>
      </c>
      <c r="I238" s="33">
        <f>'Memória de Cálculo'!D138</f>
        <v>0.22</v>
      </c>
      <c r="J238" s="34">
        <v>5984.89</v>
      </c>
      <c r="K238" s="34">
        <f>TRUNC(I238*J238,2)</f>
        <v>1316.67</v>
      </c>
    </row>
    <row r="239" spans="1:12" s="137" customFormat="1" x14ac:dyDescent="0.2">
      <c r="A239" s="160"/>
      <c r="B239" s="141"/>
      <c r="C239" s="141"/>
      <c r="D239" s="141"/>
      <c r="E239" s="141"/>
      <c r="F239" s="141"/>
      <c r="G239" s="28"/>
      <c r="H239" s="141"/>
      <c r="I239" s="245" t="s">
        <v>38</v>
      </c>
      <c r="J239" s="245"/>
      <c r="K239" s="28">
        <f>TRUNC(K236*(1+$C$5),2)</f>
        <v>5492.84</v>
      </c>
    </row>
    <row r="240" spans="1:12" s="137" customFormat="1" x14ac:dyDescent="0.2">
      <c r="A240" s="160"/>
      <c r="B240" s="138"/>
      <c r="C240" s="138"/>
      <c r="D240" s="138"/>
      <c r="E240" s="138"/>
      <c r="F240" s="138"/>
      <c r="G240" s="138"/>
      <c r="H240" s="145" t="s">
        <v>39</v>
      </c>
      <c r="I240" s="104">
        <f>'Memória de Cálculo'!E135</f>
        <v>1</v>
      </c>
      <c r="J240" s="145" t="s">
        <v>40</v>
      </c>
      <c r="K240" s="144">
        <f>TRUNC((I240*K239),2)</f>
        <v>5492.84</v>
      </c>
    </row>
    <row r="241" spans="1:12" s="137" customFormat="1" x14ac:dyDescent="0.2">
      <c r="A241" s="160"/>
      <c r="B241" s="138"/>
      <c r="C241" s="138"/>
      <c r="D241" s="138"/>
      <c r="E241" s="138"/>
      <c r="F241" s="138"/>
      <c r="G241" s="138"/>
      <c r="H241" s="138"/>
      <c r="I241" s="29"/>
      <c r="J241" s="138"/>
      <c r="K241" s="30"/>
    </row>
    <row r="242" spans="1:12" s="137" customFormat="1" hidden="1" x14ac:dyDescent="0.2">
      <c r="A242" s="160"/>
      <c r="B242" s="138"/>
      <c r="C242" s="138"/>
      <c r="D242" s="138"/>
      <c r="E242" s="138"/>
      <c r="F242" s="138"/>
      <c r="G242" s="227" t="s">
        <v>230</v>
      </c>
      <c r="H242" s="228"/>
      <c r="I242" s="243" t="e">
        <f>TRUNC(SUM(K9+K67+K179+K204),2)</f>
        <v>#REF!</v>
      </c>
      <c r="J242" s="244"/>
      <c r="K242" s="244"/>
    </row>
    <row r="243" spans="1:12" x14ac:dyDescent="0.2">
      <c r="B243" s="19"/>
      <c r="C243" s="19"/>
      <c r="D243" s="19"/>
      <c r="E243" s="19"/>
      <c r="F243" s="19"/>
      <c r="G243" s="19"/>
      <c r="H243" s="19"/>
      <c r="I243" s="29"/>
      <c r="J243" s="19"/>
      <c r="K243" s="30"/>
    </row>
    <row r="244" spans="1:12" ht="17.25" customHeight="1" x14ac:dyDescent="0.2">
      <c r="B244" s="228"/>
      <c r="C244" s="228"/>
      <c r="D244" s="228"/>
      <c r="E244" s="18"/>
      <c r="F244" s="19"/>
      <c r="G244" s="227" t="s">
        <v>292</v>
      </c>
      <c r="H244" s="228"/>
      <c r="I244" s="243" t="e">
        <f>K9+K67+K179+K204+K234</f>
        <v>#REF!</v>
      </c>
      <c r="J244" s="244"/>
      <c r="K244" s="244"/>
      <c r="L244" s="77"/>
    </row>
    <row r="245" spans="1:12" x14ac:dyDescent="0.2">
      <c r="B245" s="19"/>
      <c r="C245" s="19"/>
      <c r="D245" s="19"/>
      <c r="E245" s="18"/>
      <c r="F245" s="19"/>
      <c r="G245" s="5"/>
      <c r="H245" s="19"/>
      <c r="I245" s="20"/>
      <c r="J245" s="20"/>
      <c r="K245" s="20"/>
    </row>
    <row r="246" spans="1:12" x14ac:dyDescent="0.2">
      <c r="B246" s="20"/>
      <c r="C246" s="20"/>
      <c r="D246" s="20"/>
      <c r="E246" s="20"/>
      <c r="F246" s="20"/>
      <c r="G246" s="20"/>
      <c r="H246" s="20"/>
      <c r="I246" s="20"/>
      <c r="J246" s="20"/>
      <c r="K246" s="20"/>
    </row>
    <row r="247" spans="1:12" x14ac:dyDescent="0.2">
      <c r="B247" s="231"/>
      <c r="C247" s="232"/>
      <c r="D247" s="232"/>
      <c r="E247" s="232"/>
      <c r="F247" s="232"/>
      <c r="G247" s="232"/>
      <c r="H247" s="232"/>
      <c r="I247" s="232"/>
      <c r="J247" s="232"/>
      <c r="K247" s="232"/>
    </row>
    <row r="248" spans="1:12" ht="14.25" customHeight="1" x14ac:dyDescent="0.2">
      <c r="B248" s="231"/>
      <c r="C248" s="231"/>
      <c r="D248" s="231"/>
      <c r="E248" s="231"/>
      <c r="F248" s="231"/>
      <c r="G248" s="231"/>
      <c r="H248" s="231"/>
      <c r="I248" s="231"/>
      <c r="J248" s="231"/>
      <c r="K248" s="231"/>
    </row>
    <row r="252" spans="1:12" x14ac:dyDescent="0.2">
      <c r="C252" s="45"/>
    </row>
    <row r="254" spans="1:12" x14ac:dyDescent="0.2">
      <c r="E254" s="35"/>
    </row>
  </sheetData>
  <mergeCells count="188">
    <mergeCell ref="F228:G228"/>
    <mergeCell ref="F229:G229"/>
    <mergeCell ref="F230:G230"/>
    <mergeCell ref="I231:J231"/>
    <mergeCell ref="F118:G118"/>
    <mergeCell ref="I124:J124"/>
    <mergeCell ref="F60:G60"/>
    <mergeCell ref="F61:G61"/>
    <mergeCell ref="F62:G62"/>
    <mergeCell ref="F63:G63"/>
    <mergeCell ref="I64:J64"/>
    <mergeCell ref="F110:G110"/>
    <mergeCell ref="F182:G182"/>
    <mergeCell ref="F150:G150"/>
    <mergeCell ref="F192:G192"/>
    <mergeCell ref="F193:G193"/>
    <mergeCell ref="F194:G194"/>
    <mergeCell ref="I195:J195"/>
    <mergeCell ref="F140:G140"/>
    <mergeCell ref="F128:G128"/>
    <mergeCell ref="F129:G129"/>
    <mergeCell ref="F130:G130"/>
    <mergeCell ref="F131:G131"/>
    <mergeCell ref="I132:J132"/>
    <mergeCell ref="G242:H242"/>
    <mergeCell ref="I242:K242"/>
    <mergeCell ref="G234:H234"/>
    <mergeCell ref="F222:G222"/>
    <mergeCell ref="F223:G223"/>
    <mergeCell ref="F224:G224"/>
    <mergeCell ref="I225:J225"/>
    <mergeCell ref="F54:G54"/>
    <mergeCell ref="F55:G55"/>
    <mergeCell ref="F56:G56"/>
    <mergeCell ref="I57:J57"/>
    <mergeCell ref="F235:G235"/>
    <mergeCell ref="F236:G236"/>
    <mergeCell ref="F237:G237"/>
    <mergeCell ref="F238:G238"/>
    <mergeCell ref="I239:J239"/>
    <mergeCell ref="F127:G127"/>
    <mergeCell ref="I107:J107"/>
    <mergeCell ref="F217:G217"/>
    <mergeCell ref="F209:G209"/>
    <mergeCell ref="F211:G211"/>
    <mergeCell ref="I158:J158"/>
    <mergeCell ref="I183:J183"/>
    <mergeCell ref="G179:H179"/>
    <mergeCell ref="F17:G17"/>
    <mergeCell ref="F18:G18"/>
    <mergeCell ref="F19:G19"/>
    <mergeCell ref="F20:G20"/>
    <mergeCell ref="F21:G21"/>
    <mergeCell ref="I23:J23"/>
    <mergeCell ref="I189:J189"/>
    <mergeCell ref="F95:G95"/>
    <mergeCell ref="F68:G68"/>
    <mergeCell ref="F69:G69"/>
    <mergeCell ref="F70:G70"/>
    <mergeCell ref="I98:J98"/>
    <mergeCell ref="I167:J167"/>
    <mergeCell ref="F161:G161"/>
    <mergeCell ref="F162:G162"/>
    <mergeCell ref="F163:G163"/>
    <mergeCell ref="F164:G164"/>
    <mergeCell ref="F143:G143"/>
    <mergeCell ref="I144:J144"/>
    <mergeCell ref="F154:G154"/>
    <mergeCell ref="I151:J151"/>
    <mergeCell ref="F155:G155"/>
    <mergeCell ref="F147:G147"/>
    <mergeCell ref="F48:G48"/>
    <mergeCell ref="B247:K247"/>
    <mergeCell ref="B248:K248"/>
    <mergeCell ref="B244:D244"/>
    <mergeCell ref="G244:H244"/>
    <mergeCell ref="I244:K244"/>
    <mergeCell ref="F187:G187"/>
    <mergeCell ref="F186:G186"/>
    <mergeCell ref="F198:G198"/>
    <mergeCell ref="F199:G199"/>
    <mergeCell ref="F200:G200"/>
    <mergeCell ref="F188:G188"/>
    <mergeCell ref="F205:G205"/>
    <mergeCell ref="F206:G206"/>
    <mergeCell ref="F207:G207"/>
    <mergeCell ref="F208:G208"/>
    <mergeCell ref="I219:J219"/>
    <mergeCell ref="F214:G214"/>
    <mergeCell ref="F213:G213"/>
    <mergeCell ref="F212:G212"/>
    <mergeCell ref="I201:J201"/>
    <mergeCell ref="F215:G215"/>
    <mergeCell ref="F210:G210"/>
    <mergeCell ref="F218:G218"/>
    <mergeCell ref="F216:G216"/>
    <mergeCell ref="B2:E2"/>
    <mergeCell ref="G9:H9"/>
    <mergeCell ref="B4:E4"/>
    <mergeCell ref="B7:D7"/>
    <mergeCell ref="B8:K8"/>
    <mergeCell ref="B3:L3"/>
    <mergeCell ref="G4:K7"/>
    <mergeCell ref="G67:H67"/>
    <mergeCell ref="B6:C6"/>
    <mergeCell ref="F26:G26"/>
    <mergeCell ref="F27:G27"/>
    <mergeCell ref="F28:G28"/>
    <mergeCell ref="I29:J29"/>
    <mergeCell ref="F46:G46"/>
    <mergeCell ref="F47:G47"/>
    <mergeCell ref="F32:G32"/>
    <mergeCell ref="F33:G33"/>
    <mergeCell ref="F11:G11"/>
    <mergeCell ref="F34:G34"/>
    <mergeCell ref="F35:G35"/>
    <mergeCell ref="F39:G39"/>
    <mergeCell ref="F40:G40"/>
    <mergeCell ref="F41:G41"/>
    <mergeCell ref="F42:G42"/>
    <mergeCell ref="I36:J36"/>
    <mergeCell ref="F92:G92"/>
    <mergeCell ref="F93:G93"/>
    <mergeCell ref="F74:G74"/>
    <mergeCell ref="I43:J43"/>
    <mergeCell ref="F77:G77"/>
    <mergeCell ref="F78:G78"/>
    <mergeCell ref="F79:G79"/>
    <mergeCell ref="F123:G123"/>
    <mergeCell ref="F49:G49"/>
    <mergeCell ref="I50:J50"/>
    <mergeCell ref="F53:G53"/>
    <mergeCell ref="F96:G96"/>
    <mergeCell ref="I71:J71"/>
    <mergeCell ref="F75:G75"/>
    <mergeCell ref="F76:G76"/>
    <mergeCell ref="F97:G97"/>
    <mergeCell ref="F114:G114"/>
    <mergeCell ref="I80:J80"/>
    <mergeCell ref="F94:G94"/>
    <mergeCell ref="F112:G112"/>
    <mergeCell ref="F113:G113"/>
    <mergeCell ref="F111:G111"/>
    <mergeCell ref="F119:G119"/>
    <mergeCell ref="F180:G180"/>
    <mergeCell ref="F181:G181"/>
    <mergeCell ref="F83:G83"/>
    <mergeCell ref="F84:G84"/>
    <mergeCell ref="F85:G85"/>
    <mergeCell ref="F86:G86"/>
    <mergeCell ref="F87:G87"/>
    <mergeCell ref="F88:G88"/>
    <mergeCell ref="F12:G12"/>
    <mergeCell ref="F13:G13"/>
    <mergeCell ref="F14:G14"/>
    <mergeCell ref="F22:G22"/>
    <mergeCell ref="F15:G15"/>
    <mergeCell ref="F16:G16"/>
    <mergeCell ref="F149:G149"/>
    <mergeCell ref="F101:G101"/>
    <mergeCell ref="F102:G102"/>
    <mergeCell ref="F103:G103"/>
    <mergeCell ref="F104:G104"/>
    <mergeCell ref="F105:G105"/>
    <mergeCell ref="F106:G106"/>
    <mergeCell ref="F139:G139"/>
    <mergeCell ref="F165:G165"/>
    <mergeCell ref="F166:G166"/>
    <mergeCell ref="I89:J89"/>
    <mergeCell ref="F171:G171"/>
    <mergeCell ref="F172:G172"/>
    <mergeCell ref="F173:G173"/>
    <mergeCell ref="F174:G174"/>
    <mergeCell ref="F175:G175"/>
    <mergeCell ref="I176:J176"/>
    <mergeCell ref="F135:G135"/>
    <mergeCell ref="F136:G136"/>
    <mergeCell ref="F142:G142"/>
    <mergeCell ref="F138:G138"/>
    <mergeCell ref="F148:G148"/>
    <mergeCell ref="I115:J115"/>
    <mergeCell ref="F156:G156"/>
    <mergeCell ref="F157:G157"/>
    <mergeCell ref="F141:G141"/>
    <mergeCell ref="F137:G137"/>
    <mergeCell ref="F120:G120"/>
    <mergeCell ref="F121:G121"/>
    <mergeCell ref="F122:G122"/>
  </mergeCells>
  <pageMargins left="0.511811024" right="0.511811024" top="0.78740157499999996" bottom="0.78740157499999996" header="0.31496062000000002" footer="0.31496062000000002"/>
  <pageSetup paperSize="9" scale="31" orientation="portrait" r:id="rId1"/>
  <rowBreaks count="1" manualBreakCount="1">
    <brk id="125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BA62C-FD74-40D5-8F31-5E8A2CE0AE5A}">
  <dimension ref="B1:I140"/>
  <sheetViews>
    <sheetView view="pageBreakPreview" topLeftCell="A73" zoomScale="115" zoomScaleNormal="100" zoomScaleSheetLayoutView="115" workbookViewId="0">
      <selection activeCell="C97" sqref="C97:D97"/>
    </sheetView>
  </sheetViews>
  <sheetFormatPr defaultRowHeight="12.75" x14ac:dyDescent="0.2"/>
  <cols>
    <col min="1" max="1" width="9.33203125" style="3"/>
    <col min="2" max="2" width="11.33203125" style="3" customWidth="1"/>
    <col min="3" max="3" width="61.83203125" style="3" customWidth="1"/>
    <col min="4" max="4" width="37.1640625" style="3" customWidth="1"/>
    <col min="5" max="5" width="19.5" style="3" customWidth="1"/>
    <col min="6" max="16384" width="9.33203125" style="3"/>
  </cols>
  <sheetData>
    <row r="1" spans="2:8" x14ac:dyDescent="0.2">
      <c r="B1" s="234"/>
      <c r="C1" s="234"/>
      <c r="D1" s="234"/>
      <c r="E1" s="234"/>
    </row>
    <row r="2" spans="2:8" x14ac:dyDescent="0.2">
      <c r="B2" s="234"/>
      <c r="C2" s="234"/>
      <c r="D2" s="234"/>
      <c r="E2" s="234"/>
    </row>
    <row r="3" spans="2:8" x14ac:dyDescent="0.2">
      <c r="B3" s="234"/>
      <c r="C3" s="234"/>
      <c r="D3" s="234"/>
      <c r="E3" s="234"/>
    </row>
    <row r="4" spans="2:8" x14ac:dyDescent="0.2">
      <c r="B4" s="234"/>
      <c r="C4" s="234"/>
      <c r="D4" s="234"/>
      <c r="E4" s="234"/>
    </row>
    <row r="5" spans="2:8" x14ac:dyDescent="0.2">
      <c r="B5" s="234"/>
      <c r="C5" s="234"/>
      <c r="D5" s="234"/>
      <c r="E5" s="234"/>
    </row>
    <row r="6" spans="2:8" x14ac:dyDescent="0.2">
      <c r="B6" s="234"/>
      <c r="C6" s="234"/>
      <c r="D6" s="234"/>
      <c r="E6" s="234"/>
    </row>
    <row r="7" spans="2:8" x14ac:dyDescent="0.2">
      <c r="B7" s="234"/>
      <c r="C7" s="234"/>
      <c r="D7" s="234"/>
      <c r="E7" s="234"/>
    </row>
    <row r="8" spans="2:8" ht="27.75" customHeight="1" x14ac:dyDescent="0.2">
      <c r="B8" s="227" t="s">
        <v>279</v>
      </c>
      <c r="C8" s="227"/>
      <c r="D8" s="227"/>
      <c r="E8" s="227"/>
      <c r="F8" s="1"/>
      <c r="G8" s="1"/>
      <c r="H8" s="1"/>
    </row>
    <row r="9" spans="2:8" ht="24" customHeight="1" x14ac:dyDescent="0.2">
      <c r="B9" s="227" t="s">
        <v>46</v>
      </c>
      <c r="C9" s="227"/>
      <c r="D9" s="227"/>
      <c r="E9" s="227"/>
      <c r="F9" s="1"/>
      <c r="G9" s="1"/>
      <c r="H9" s="1"/>
    </row>
    <row r="10" spans="2:8" x14ac:dyDescent="0.2">
      <c r="B10" s="260" t="s">
        <v>41</v>
      </c>
      <c r="C10" s="260"/>
      <c r="D10" s="260"/>
    </row>
    <row r="11" spans="2:8" ht="15.75" x14ac:dyDescent="0.25">
      <c r="B11" s="259" t="s">
        <v>42</v>
      </c>
      <c r="C11" s="259"/>
      <c r="D11" s="259"/>
      <c r="E11" s="259"/>
    </row>
    <row r="14" spans="2:8" s="70" customFormat="1" x14ac:dyDescent="0.2">
      <c r="B14" s="47" t="s">
        <v>69</v>
      </c>
      <c r="C14" s="57" t="s">
        <v>114</v>
      </c>
      <c r="D14" s="47"/>
      <c r="E14" s="98">
        <f>3*2</f>
        <v>6</v>
      </c>
      <c r="F14" s="165"/>
      <c r="G14" s="165"/>
    </row>
    <row r="15" spans="2:8" s="70" customFormat="1" x14ac:dyDescent="0.2">
      <c r="B15" s="166"/>
      <c r="C15" s="51" t="s">
        <v>319</v>
      </c>
      <c r="D15" s="168"/>
      <c r="E15" s="165"/>
      <c r="F15" s="165"/>
      <c r="G15" s="165"/>
    </row>
    <row r="16" spans="2:8" s="70" customFormat="1" x14ac:dyDescent="0.2">
      <c r="B16" s="165"/>
      <c r="C16" s="165"/>
      <c r="D16" s="165"/>
      <c r="E16" s="165"/>
      <c r="F16" s="165"/>
      <c r="G16" s="165"/>
    </row>
    <row r="17" spans="2:7" s="137" customFormat="1" x14ac:dyDescent="0.2">
      <c r="B17" s="47" t="s">
        <v>237</v>
      </c>
      <c r="C17" s="48" t="s">
        <v>235</v>
      </c>
      <c r="D17" s="49"/>
      <c r="E17" s="49">
        <v>1</v>
      </c>
      <c r="F17" s="165"/>
      <c r="G17" s="165"/>
    </row>
    <row r="18" spans="2:7" s="137" customFormat="1" x14ac:dyDescent="0.2">
      <c r="B18" s="166"/>
      <c r="C18" s="112" t="s">
        <v>236</v>
      </c>
      <c r="D18" s="167"/>
      <c r="E18" s="165"/>
      <c r="F18" s="165"/>
      <c r="G18" s="165"/>
    </row>
    <row r="19" spans="2:7" s="137" customFormat="1" x14ac:dyDescent="0.2">
      <c r="B19" s="165"/>
      <c r="C19" s="165"/>
      <c r="D19" s="165"/>
      <c r="E19" s="165"/>
      <c r="F19" s="165"/>
      <c r="G19" s="165"/>
    </row>
    <row r="20" spans="2:7" s="137" customFormat="1" x14ac:dyDescent="0.2">
      <c r="B20" s="47" t="s">
        <v>238</v>
      </c>
      <c r="C20" s="48" t="s">
        <v>239</v>
      </c>
      <c r="D20" s="49"/>
      <c r="E20" s="49">
        <v>229.06</v>
      </c>
      <c r="F20" s="165"/>
      <c r="G20" s="165"/>
    </row>
    <row r="21" spans="2:7" s="137" customFormat="1" x14ac:dyDescent="0.2">
      <c r="B21" s="166"/>
      <c r="C21" s="50"/>
      <c r="D21" s="167"/>
      <c r="E21" s="165"/>
      <c r="F21" s="165"/>
      <c r="G21" s="165"/>
    </row>
    <row r="22" spans="2:7" s="137" customFormat="1" x14ac:dyDescent="0.2">
      <c r="B22" s="47" t="s">
        <v>240</v>
      </c>
      <c r="C22" s="48" t="s">
        <v>243</v>
      </c>
      <c r="D22" s="49"/>
      <c r="E22" s="49">
        <v>4</v>
      </c>
      <c r="F22" s="165"/>
      <c r="G22" s="165"/>
    </row>
    <row r="23" spans="2:7" s="137" customFormat="1" x14ac:dyDescent="0.2">
      <c r="B23" s="166"/>
      <c r="C23" s="50"/>
      <c r="D23" s="167"/>
      <c r="E23" s="165"/>
      <c r="F23" s="165"/>
      <c r="G23" s="165"/>
    </row>
    <row r="24" spans="2:7" s="137" customFormat="1" x14ac:dyDescent="0.2">
      <c r="B24" s="47" t="s">
        <v>241</v>
      </c>
      <c r="C24" s="48" t="s">
        <v>355</v>
      </c>
      <c r="D24" s="49"/>
      <c r="E24" s="49">
        <f>D26</f>
        <v>6</v>
      </c>
      <c r="F24" s="165"/>
      <c r="G24" s="165"/>
    </row>
    <row r="25" spans="2:7" s="137" customFormat="1" x14ac:dyDescent="0.2">
      <c r="B25" s="165"/>
      <c r="C25" s="54" t="s">
        <v>8</v>
      </c>
      <c r="D25" s="169" t="s">
        <v>74</v>
      </c>
      <c r="E25" s="165"/>
      <c r="F25" s="165"/>
      <c r="G25" s="165"/>
    </row>
    <row r="26" spans="2:7" s="137" customFormat="1" x14ac:dyDescent="0.2">
      <c r="B26" s="165"/>
      <c r="C26" s="51" t="s">
        <v>356</v>
      </c>
      <c r="D26" s="173">
        <v>6</v>
      </c>
      <c r="E26" s="165"/>
      <c r="F26" s="165"/>
      <c r="G26" s="165"/>
    </row>
    <row r="27" spans="2:7" s="137" customFormat="1" x14ac:dyDescent="0.2">
      <c r="B27" s="165"/>
      <c r="C27" s="165"/>
      <c r="D27" s="165"/>
      <c r="E27" s="165"/>
      <c r="F27" s="165"/>
      <c r="G27" s="165"/>
    </row>
    <row r="28" spans="2:7" s="137" customFormat="1" x14ac:dyDescent="0.2">
      <c r="B28" s="47" t="s">
        <v>242</v>
      </c>
      <c r="C28" s="261" t="s">
        <v>325</v>
      </c>
      <c r="D28" s="262"/>
      <c r="E28" s="49">
        <v>3</v>
      </c>
      <c r="F28" s="165"/>
      <c r="G28" s="165"/>
    </row>
    <row r="29" spans="2:7" s="137" customFormat="1" x14ac:dyDescent="0.2">
      <c r="B29" s="165"/>
      <c r="C29" s="165"/>
      <c r="D29" s="165"/>
      <c r="E29" s="165"/>
      <c r="F29" s="165"/>
      <c r="G29" s="165"/>
    </row>
    <row r="30" spans="2:7" s="206" customFormat="1" x14ac:dyDescent="0.2">
      <c r="B30" s="47" t="s">
        <v>358</v>
      </c>
      <c r="C30" s="261" t="s">
        <v>360</v>
      </c>
      <c r="D30" s="262"/>
      <c r="E30" s="49">
        <f>D34</f>
        <v>25.92</v>
      </c>
      <c r="F30" s="165"/>
      <c r="G30" s="165"/>
    </row>
    <row r="31" spans="2:7" s="206" customFormat="1" x14ac:dyDescent="0.2">
      <c r="B31" s="165"/>
      <c r="C31" s="54" t="s">
        <v>8</v>
      </c>
      <c r="D31" s="214" t="s">
        <v>121</v>
      </c>
      <c r="E31" s="165"/>
      <c r="F31" s="165"/>
      <c r="G31" s="165"/>
    </row>
    <row r="32" spans="2:7" s="206" customFormat="1" x14ac:dyDescent="0.2">
      <c r="B32" s="165"/>
      <c r="C32" s="55" t="s">
        <v>119</v>
      </c>
      <c r="D32" s="112">
        <v>12.43</v>
      </c>
      <c r="E32" s="165"/>
      <c r="F32" s="165"/>
      <c r="G32" s="165"/>
    </row>
    <row r="33" spans="2:9" s="206" customFormat="1" x14ac:dyDescent="0.2">
      <c r="B33" s="165"/>
      <c r="C33" s="55" t="s">
        <v>120</v>
      </c>
      <c r="D33" s="112">
        <v>13.49</v>
      </c>
      <c r="E33" s="165"/>
      <c r="F33" s="165"/>
      <c r="G33" s="165"/>
    </row>
    <row r="34" spans="2:9" s="206" customFormat="1" x14ac:dyDescent="0.2">
      <c r="B34" s="165"/>
      <c r="C34" s="165"/>
      <c r="D34" s="172">
        <f>SUM(D32:D33)</f>
        <v>25.92</v>
      </c>
      <c r="E34" s="165"/>
      <c r="F34" s="165"/>
      <c r="G34" s="165"/>
    </row>
    <row r="35" spans="2:9" s="114" customFormat="1" x14ac:dyDescent="0.2">
      <c r="B35" s="47" t="s">
        <v>26</v>
      </c>
      <c r="C35" s="255" t="s">
        <v>170</v>
      </c>
      <c r="D35" s="255"/>
      <c r="E35" s="49">
        <f>E37</f>
        <v>27.299999999999997</v>
      </c>
      <c r="F35" s="165"/>
      <c r="G35" s="165"/>
    </row>
    <row r="36" spans="2:9" s="114" customFormat="1" x14ac:dyDescent="0.2">
      <c r="B36" s="165"/>
      <c r="C36" s="54" t="s">
        <v>8</v>
      </c>
      <c r="D36" s="169" t="s">
        <v>138</v>
      </c>
      <c r="E36" s="170" t="s">
        <v>169</v>
      </c>
      <c r="F36" s="165"/>
      <c r="G36" s="165"/>
      <c r="I36" s="35"/>
    </row>
    <row r="37" spans="2:9" s="114" customFormat="1" x14ac:dyDescent="0.2">
      <c r="B37" s="166"/>
      <c r="C37" s="123" t="s">
        <v>273</v>
      </c>
      <c r="D37" s="56">
        <f>180-50</f>
        <v>130</v>
      </c>
      <c r="E37" s="56">
        <f>D37*0.3*0.7</f>
        <v>27.299999999999997</v>
      </c>
      <c r="F37" s="165"/>
      <c r="G37" s="165"/>
    </row>
    <row r="38" spans="2:9" s="114" customFormat="1" x14ac:dyDescent="0.2">
      <c r="B38" s="166"/>
      <c r="C38" s="125"/>
      <c r="D38" s="122"/>
      <c r="E38" s="162"/>
      <c r="F38" s="165"/>
      <c r="G38" s="165"/>
    </row>
    <row r="39" spans="2:9" s="114" customFormat="1" x14ac:dyDescent="0.2">
      <c r="B39" s="47" t="s">
        <v>145</v>
      </c>
      <c r="C39" s="255" t="s">
        <v>372</v>
      </c>
      <c r="D39" s="255"/>
      <c r="E39" s="49">
        <f>D41</f>
        <v>50</v>
      </c>
      <c r="F39" s="165"/>
      <c r="G39" s="165"/>
    </row>
    <row r="40" spans="2:9" s="216" customFormat="1" x14ac:dyDescent="0.2">
      <c r="B40" s="165"/>
      <c r="C40" s="54" t="s">
        <v>8</v>
      </c>
      <c r="D40" s="169" t="s">
        <v>138</v>
      </c>
      <c r="E40" s="165"/>
      <c r="F40" s="165"/>
      <c r="G40" s="165"/>
    </row>
    <row r="41" spans="2:9" s="216" customFormat="1" x14ac:dyDescent="0.2">
      <c r="B41" s="166"/>
      <c r="C41" s="123" t="s">
        <v>273</v>
      </c>
      <c r="D41" s="56">
        <v>50</v>
      </c>
      <c r="E41" s="165"/>
      <c r="F41" s="165"/>
      <c r="G41" s="165"/>
    </row>
    <row r="42" spans="2:9" s="216" customFormat="1" x14ac:dyDescent="0.2">
      <c r="B42" s="166"/>
      <c r="C42" s="163" t="s">
        <v>375</v>
      </c>
      <c r="D42" s="63"/>
      <c r="E42" s="165"/>
      <c r="F42" s="165"/>
      <c r="G42" s="165"/>
    </row>
    <row r="43" spans="2:9" s="216" customFormat="1" x14ac:dyDescent="0.2">
      <c r="B43" s="165"/>
      <c r="C43" s="165"/>
      <c r="D43" s="165"/>
      <c r="E43" s="165"/>
      <c r="F43" s="165"/>
      <c r="G43" s="165"/>
    </row>
    <row r="44" spans="2:9" s="114" customFormat="1" x14ac:dyDescent="0.2">
      <c r="B44" s="47" t="s">
        <v>146</v>
      </c>
      <c r="C44" s="254" t="s">
        <v>171</v>
      </c>
      <c r="D44" s="254"/>
      <c r="E44" s="49">
        <f>E46</f>
        <v>54</v>
      </c>
      <c r="F44" s="165"/>
      <c r="G44" s="165"/>
    </row>
    <row r="45" spans="2:9" s="114" customFormat="1" x14ac:dyDescent="0.2">
      <c r="B45" s="165"/>
      <c r="C45" s="54" t="s">
        <v>8</v>
      </c>
      <c r="D45" s="169" t="s">
        <v>138</v>
      </c>
      <c r="E45" s="170" t="s">
        <v>121</v>
      </c>
      <c r="F45" s="165"/>
      <c r="G45" s="165"/>
    </row>
    <row r="46" spans="2:9" s="114" customFormat="1" x14ac:dyDescent="0.2">
      <c r="B46" s="166"/>
      <c r="C46" s="123" t="s">
        <v>273</v>
      </c>
      <c r="D46" s="56">
        <v>180</v>
      </c>
      <c r="E46" s="56">
        <f>D46*(0.3)</f>
        <v>54</v>
      </c>
      <c r="F46" s="165"/>
      <c r="G46" s="165"/>
    </row>
    <row r="47" spans="2:9" s="114" customFormat="1" x14ac:dyDescent="0.2">
      <c r="B47" s="166"/>
      <c r="C47" s="125"/>
      <c r="D47" s="122"/>
      <c r="E47" s="162"/>
      <c r="F47" s="165"/>
      <c r="G47" s="165"/>
    </row>
    <row r="48" spans="2:9" ht="38.25" customHeight="1" x14ac:dyDescent="0.2">
      <c r="B48" s="47" t="s">
        <v>147</v>
      </c>
      <c r="C48" s="254" t="s">
        <v>67</v>
      </c>
      <c r="D48" s="254"/>
      <c r="E48" s="49">
        <f>D50</f>
        <v>247.50000000000003</v>
      </c>
      <c r="F48" s="165"/>
      <c r="G48" s="165"/>
    </row>
    <row r="49" spans="2:7" s="114" customFormat="1" x14ac:dyDescent="0.2">
      <c r="B49" s="165"/>
      <c r="C49" s="54" t="s">
        <v>8</v>
      </c>
      <c r="D49" s="169" t="s">
        <v>138</v>
      </c>
      <c r="E49" s="165"/>
      <c r="F49" s="165"/>
      <c r="G49" s="165"/>
    </row>
    <row r="50" spans="2:7" x14ac:dyDescent="0.2">
      <c r="B50" s="166"/>
      <c r="C50" s="123" t="s">
        <v>272</v>
      </c>
      <c r="D50" s="56">
        <f>(180*1.1*1)+(45*1.1)</f>
        <v>247.50000000000003</v>
      </c>
      <c r="E50" s="165"/>
      <c r="F50" s="165"/>
      <c r="G50" s="165"/>
    </row>
    <row r="51" spans="2:7" s="160" customFormat="1" x14ac:dyDescent="0.2">
      <c r="B51" s="166"/>
      <c r="C51" s="52"/>
      <c r="D51" s="122"/>
      <c r="E51" s="122"/>
      <c r="F51" s="165"/>
      <c r="G51" s="165"/>
    </row>
    <row r="52" spans="2:7" s="160" customFormat="1" x14ac:dyDescent="0.2">
      <c r="B52" s="256" t="s">
        <v>268</v>
      </c>
      <c r="C52" s="256"/>
      <c r="D52" s="256"/>
      <c r="E52" s="256"/>
      <c r="F52" s="165"/>
      <c r="G52" s="165"/>
    </row>
    <row r="53" spans="2:7" s="160" customFormat="1" x14ac:dyDescent="0.2">
      <c r="B53" s="256"/>
      <c r="C53" s="256"/>
      <c r="D53" s="256"/>
      <c r="E53" s="256"/>
      <c r="F53" s="165"/>
      <c r="G53" s="165"/>
    </row>
    <row r="54" spans="2:7" x14ac:dyDescent="0.2">
      <c r="B54" s="165"/>
      <c r="C54" s="165"/>
      <c r="D54" s="165"/>
      <c r="E54" s="165"/>
      <c r="F54" s="165"/>
      <c r="G54" s="165"/>
    </row>
    <row r="55" spans="2:7" s="114" customFormat="1" ht="27.75" customHeight="1" x14ac:dyDescent="0.2">
      <c r="B55" s="47" t="s">
        <v>150</v>
      </c>
      <c r="C55" s="254" t="s">
        <v>244</v>
      </c>
      <c r="D55" s="254"/>
      <c r="E55" s="49">
        <f>D57</f>
        <v>918</v>
      </c>
      <c r="F55" s="165"/>
      <c r="G55" s="165"/>
    </row>
    <row r="56" spans="2:7" s="137" customFormat="1" x14ac:dyDescent="0.2">
      <c r="B56" s="165"/>
      <c r="C56" s="54" t="s">
        <v>8</v>
      </c>
      <c r="D56" s="169" t="s">
        <v>138</v>
      </c>
      <c r="E56" s="165"/>
      <c r="F56" s="165"/>
      <c r="G56" s="165"/>
    </row>
    <row r="57" spans="2:7" s="160" customFormat="1" x14ac:dyDescent="0.2">
      <c r="B57" s="165"/>
      <c r="C57" s="51" t="s">
        <v>272</v>
      </c>
      <c r="D57" s="56">
        <f>(180*1.02*4)+(45*1.02*4)</f>
        <v>918</v>
      </c>
      <c r="E57" s="165"/>
      <c r="F57" s="165"/>
      <c r="G57" s="165"/>
    </row>
    <row r="58" spans="2:7" s="160" customFormat="1" x14ac:dyDescent="0.2">
      <c r="B58" s="165"/>
      <c r="C58" s="52"/>
      <c r="D58" s="165"/>
      <c r="E58" s="165"/>
      <c r="F58" s="165"/>
      <c r="G58" s="165"/>
    </row>
    <row r="59" spans="2:7" s="137" customFormat="1" x14ac:dyDescent="0.2">
      <c r="B59" s="47" t="s">
        <v>151</v>
      </c>
      <c r="C59" s="254" t="s">
        <v>245</v>
      </c>
      <c r="D59" s="254"/>
      <c r="E59" s="49">
        <v>4</v>
      </c>
      <c r="F59" s="165"/>
      <c r="G59" s="165"/>
    </row>
    <row r="60" spans="2:7" s="160" customFormat="1" ht="12.75" customHeight="1" x14ac:dyDescent="0.2">
      <c r="B60" s="257" t="s">
        <v>269</v>
      </c>
      <c r="C60" s="257"/>
      <c r="D60" s="257"/>
      <c r="E60" s="257"/>
      <c r="F60" s="165"/>
      <c r="G60" s="165"/>
    </row>
    <row r="61" spans="2:7" s="160" customFormat="1" x14ac:dyDescent="0.2">
      <c r="B61" s="257"/>
      <c r="C61" s="257"/>
      <c r="D61" s="257"/>
      <c r="E61" s="257"/>
      <c r="F61" s="165"/>
      <c r="G61" s="165"/>
    </row>
    <row r="62" spans="2:7" s="137" customFormat="1" x14ac:dyDescent="0.2">
      <c r="B62" s="165"/>
      <c r="C62" s="165"/>
      <c r="D62" s="165"/>
      <c r="E62" s="165"/>
      <c r="F62" s="165"/>
      <c r="G62" s="165"/>
    </row>
    <row r="63" spans="2:7" s="137" customFormat="1" x14ac:dyDescent="0.2">
      <c r="B63" s="47" t="s">
        <v>179</v>
      </c>
      <c r="C63" s="254" t="s">
        <v>246</v>
      </c>
      <c r="D63" s="254"/>
      <c r="E63" s="49">
        <v>2</v>
      </c>
      <c r="F63" s="165"/>
      <c r="G63" s="165"/>
    </row>
    <row r="64" spans="2:7" s="137" customFormat="1" x14ac:dyDescent="0.2">
      <c r="B64" s="258" t="s">
        <v>368</v>
      </c>
      <c r="C64" s="258"/>
      <c r="D64" s="258"/>
      <c r="E64" s="258"/>
      <c r="F64" s="165"/>
      <c r="G64" s="165"/>
    </row>
    <row r="65" spans="2:7" s="160" customFormat="1" x14ac:dyDescent="0.2">
      <c r="B65" s="258"/>
      <c r="C65" s="258"/>
      <c r="D65" s="258"/>
      <c r="E65" s="258"/>
      <c r="F65" s="165"/>
      <c r="G65" s="165"/>
    </row>
    <row r="66" spans="2:7" s="160" customFormat="1" x14ac:dyDescent="0.2">
      <c r="B66" s="165"/>
      <c r="C66" s="165"/>
      <c r="D66" s="165"/>
      <c r="E66" s="165"/>
      <c r="F66" s="165"/>
      <c r="G66" s="165"/>
    </row>
    <row r="67" spans="2:7" s="114" customFormat="1" ht="26.25" customHeight="1" x14ac:dyDescent="0.2">
      <c r="B67" s="47" t="s">
        <v>180</v>
      </c>
      <c r="C67" s="254" t="s">
        <v>172</v>
      </c>
      <c r="D67" s="254"/>
      <c r="E67" s="49">
        <f>D69</f>
        <v>198.00000000000003</v>
      </c>
      <c r="F67" s="165"/>
      <c r="G67" s="165"/>
    </row>
    <row r="68" spans="2:7" s="114" customFormat="1" x14ac:dyDescent="0.2">
      <c r="B68" s="165"/>
      <c r="C68" s="54" t="s">
        <v>8</v>
      </c>
      <c r="D68" s="169" t="s">
        <v>138</v>
      </c>
      <c r="E68" s="165"/>
      <c r="F68" s="165"/>
      <c r="G68" s="165"/>
    </row>
    <row r="69" spans="2:7" s="114" customFormat="1" x14ac:dyDescent="0.2">
      <c r="B69" s="166"/>
      <c r="C69" s="123" t="s">
        <v>272</v>
      </c>
      <c r="D69" s="56">
        <f>180*1.1</f>
        <v>198.00000000000003</v>
      </c>
      <c r="E69" s="165"/>
      <c r="F69" s="165"/>
      <c r="G69" s="165"/>
    </row>
    <row r="70" spans="2:7" s="160" customFormat="1" x14ac:dyDescent="0.2">
      <c r="B70" s="166"/>
      <c r="C70" s="163" t="s">
        <v>270</v>
      </c>
      <c r="D70" s="122"/>
      <c r="E70" s="165"/>
      <c r="F70" s="165"/>
      <c r="G70" s="165"/>
    </row>
    <row r="71" spans="2:7" s="114" customFormat="1" x14ac:dyDescent="0.2">
      <c r="B71" s="165"/>
      <c r="C71" s="165"/>
      <c r="D71" s="165"/>
      <c r="E71" s="165"/>
      <c r="F71" s="165"/>
      <c r="G71" s="165"/>
    </row>
    <row r="72" spans="2:7" s="114" customFormat="1" x14ac:dyDescent="0.2">
      <c r="B72" s="47" t="s">
        <v>181</v>
      </c>
      <c r="C72" s="254" t="s">
        <v>173</v>
      </c>
      <c r="D72" s="254"/>
      <c r="E72" s="49">
        <f>D74</f>
        <v>6</v>
      </c>
      <c r="F72" s="165"/>
      <c r="G72" s="165"/>
    </row>
    <row r="73" spans="2:7" s="114" customFormat="1" x14ac:dyDescent="0.2">
      <c r="B73" s="165"/>
      <c r="C73" s="54" t="s">
        <v>8</v>
      </c>
      <c r="D73" s="169" t="s">
        <v>74</v>
      </c>
      <c r="E73" s="165"/>
      <c r="F73" s="165"/>
      <c r="G73" s="165"/>
    </row>
    <row r="74" spans="2:7" s="114" customFormat="1" x14ac:dyDescent="0.2">
      <c r="B74" s="166"/>
      <c r="C74" s="123" t="s">
        <v>272</v>
      </c>
      <c r="D74" s="56">
        <f>180/30</f>
        <v>6</v>
      </c>
      <c r="E74" s="165"/>
      <c r="F74" s="165"/>
      <c r="G74" s="165"/>
    </row>
    <row r="75" spans="2:7" s="160" customFormat="1" x14ac:dyDescent="0.2">
      <c r="B75" s="166"/>
      <c r="C75" s="163" t="s">
        <v>271</v>
      </c>
      <c r="D75" s="53"/>
      <c r="E75" s="165"/>
      <c r="F75" s="165"/>
      <c r="G75" s="165"/>
    </row>
    <row r="76" spans="2:7" s="114" customFormat="1" x14ac:dyDescent="0.2">
      <c r="B76" s="165"/>
      <c r="C76" s="165"/>
      <c r="D76" s="165"/>
      <c r="E76" s="165"/>
      <c r="F76" s="165"/>
      <c r="G76" s="165"/>
    </row>
    <row r="77" spans="2:7" s="137" customFormat="1" x14ac:dyDescent="0.2">
      <c r="B77" s="47" t="s">
        <v>182</v>
      </c>
      <c r="C77" s="254" t="s">
        <v>326</v>
      </c>
      <c r="D77" s="254"/>
      <c r="E77" s="49">
        <v>4</v>
      </c>
      <c r="F77" s="165"/>
      <c r="G77" s="165"/>
    </row>
    <row r="78" spans="2:7" s="137" customFormat="1" x14ac:dyDescent="0.2">
      <c r="B78" s="165"/>
      <c r="C78" s="165"/>
      <c r="D78" s="165"/>
      <c r="E78" s="165"/>
      <c r="F78" s="165"/>
      <c r="G78" s="165"/>
    </row>
    <row r="79" spans="2:7" s="137" customFormat="1" x14ac:dyDescent="0.2">
      <c r="B79" s="47" t="s">
        <v>183</v>
      </c>
      <c r="C79" s="254" t="s">
        <v>327</v>
      </c>
      <c r="D79" s="254"/>
      <c r="E79" s="49">
        <v>16</v>
      </c>
      <c r="F79" s="165"/>
      <c r="G79" s="165"/>
    </row>
    <row r="80" spans="2:7" s="137" customFormat="1" x14ac:dyDescent="0.2">
      <c r="B80" s="165"/>
      <c r="C80" s="165"/>
      <c r="D80" s="165"/>
      <c r="E80" s="165"/>
      <c r="F80" s="165"/>
      <c r="G80" s="165"/>
    </row>
    <row r="81" spans="2:7" s="114" customFormat="1" x14ac:dyDescent="0.2">
      <c r="B81" s="164" t="s">
        <v>376</v>
      </c>
      <c r="C81" s="255" t="s">
        <v>174</v>
      </c>
      <c r="D81" s="255"/>
      <c r="E81" s="49">
        <f>D83</f>
        <v>20.099999999999998</v>
      </c>
      <c r="F81" s="165"/>
      <c r="G81" s="165"/>
    </row>
    <row r="82" spans="2:7" s="114" customFormat="1" x14ac:dyDescent="0.2">
      <c r="B82" s="165"/>
      <c r="C82" s="54" t="s">
        <v>8</v>
      </c>
      <c r="D82" s="170" t="s">
        <v>169</v>
      </c>
      <c r="E82" s="165"/>
      <c r="F82" s="165"/>
      <c r="G82" s="165"/>
    </row>
    <row r="83" spans="2:7" s="114" customFormat="1" x14ac:dyDescent="0.2">
      <c r="B83" s="166"/>
      <c r="C83" s="51" t="s">
        <v>68</v>
      </c>
      <c r="D83" s="56">
        <f>130*0.3*0.7-(0.04*180)</f>
        <v>20.099999999999998</v>
      </c>
      <c r="E83" s="165"/>
      <c r="F83" s="165"/>
      <c r="G83" s="165"/>
    </row>
    <row r="84" spans="2:7" s="114" customFormat="1" x14ac:dyDescent="0.2">
      <c r="B84" s="166"/>
      <c r="C84" s="125"/>
      <c r="D84" s="122"/>
      <c r="E84" s="162"/>
      <c r="F84" s="165"/>
      <c r="G84" s="165"/>
    </row>
    <row r="85" spans="2:7" s="114" customFormat="1" x14ac:dyDescent="0.2">
      <c r="B85" s="164" t="s">
        <v>377</v>
      </c>
      <c r="C85" s="255" t="s">
        <v>398</v>
      </c>
      <c r="D85" s="255"/>
      <c r="E85" s="49">
        <f>D87</f>
        <v>15</v>
      </c>
      <c r="F85" s="165"/>
      <c r="G85" s="165"/>
    </row>
    <row r="86" spans="2:7" s="216" customFormat="1" x14ac:dyDescent="0.2">
      <c r="B86" s="165"/>
      <c r="C86" s="54" t="s">
        <v>8</v>
      </c>
      <c r="D86" s="170" t="s">
        <v>121</v>
      </c>
      <c r="E86" s="165"/>
      <c r="F86" s="165"/>
      <c r="G86" s="165"/>
    </row>
    <row r="87" spans="2:7" s="216" customFormat="1" x14ac:dyDescent="0.2">
      <c r="B87" s="166"/>
      <c r="C87" s="51" t="s">
        <v>68</v>
      </c>
      <c r="D87" s="56">
        <f>50*0.3</f>
        <v>15</v>
      </c>
      <c r="E87" s="165"/>
      <c r="F87" s="165"/>
      <c r="G87" s="165"/>
    </row>
    <row r="88" spans="2:7" s="216" customFormat="1" x14ac:dyDescent="0.2">
      <c r="B88" s="165"/>
      <c r="C88" s="163" t="s">
        <v>375</v>
      </c>
      <c r="D88" s="165"/>
      <c r="E88" s="165"/>
      <c r="F88" s="165"/>
      <c r="G88" s="165"/>
    </row>
    <row r="89" spans="2:7" s="216" customFormat="1" x14ac:dyDescent="0.2">
      <c r="B89" s="165"/>
      <c r="C89" s="163"/>
      <c r="D89" s="165"/>
      <c r="E89" s="165"/>
      <c r="F89" s="165"/>
      <c r="G89" s="165"/>
    </row>
    <row r="90" spans="2:7" s="66" customFormat="1" ht="27.75" customHeight="1" x14ac:dyDescent="0.2">
      <c r="B90" s="47" t="s">
        <v>70</v>
      </c>
      <c r="C90" s="263" t="s">
        <v>341</v>
      </c>
      <c r="D90" s="263"/>
      <c r="E90" s="49">
        <f>D94</f>
        <v>6</v>
      </c>
      <c r="F90" s="165"/>
      <c r="G90" s="165"/>
    </row>
    <row r="91" spans="2:7" s="66" customFormat="1" x14ac:dyDescent="0.2">
      <c r="B91" s="165"/>
      <c r="C91" s="54" t="s">
        <v>8</v>
      </c>
      <c r="D91" s="161" t="s">
        <v>74</v>
      </c>
      <c r="E91" s="165"/>
      <c r="F91" s="165"/>
      <c r="G91" s="165"/>
    </row>
    <row r="92" spans="2:7" s="66" customFormat="1" x14ac:dyDescent="0.2">
      <c r="B92" s="165"/>
      <c r="C92" s="55" t="s">
        <v>116</v>
      </c>
      <c r="D92" s="56">
        <v>3</v>
      </c>
      <c r="E92" s="165"/>
      <c r="F92" s="165"/>
      <c r="G92" s="165"/>
    </row>
    <row r="93" spans="2:7" s="66" customFormat="1" x14ac:dyDescent="0.2">
      <c r="B93" s="165"/>
      <c r="C93" s="55" t="s">
        <v>117</v>
      </c>
      <c r="D93" s="56">
        <v>3</v>
      </c>
      <c r="E93" s="165"/>
      <c r="F93" s="165"/>
      <c r="G93" s="165"/>
    </row>
    <row r="94" spans="2:7" s="66" customFormat="1" x14ac:dyDescent="0.2">
      <c r="B94" s="165"/>
      <c r="C94" s="62"/>
      <c r="D94" s="202">
        <f>SUM(D92:D93)</f>
        <v>6</v>
      </c>
      <c r="E94" s="165"/>
      <c r="F94" s="165"/>
      <c r="G94" s="165"/>
    </row>
    <row r="95" spans="2:7" s="66" customFormat="1" ht="30" customHeight="1" x14ac:dyDescent="0.2">
      <c r="B95" s="264" t="s">
        <v>364</v>
      </c>
      <c r="C95" s="264"/>
      <c r="D95" s="264"/>
      <c r="E95" s="264"/>
      <c r="F95" s="222"/>
      <c r="G95" s="222"/>
    </row>
    <row r="96" spans="2:7" s="206" customFormat="1" x14ac:dyDescent="0.2">
      <c r="B96" s="165"/>
      <c r="C96" s="165"/>
      <c r="D96" s="165"/>
      <c r="E96" s="165"/>
      <c r="F96" s="165"/>
      <c r="G96" s="165"/>
    </row>
    <row r="97" spans="2:8" ht="38.25" customHeight="1" x14ac:dyDescent="0.2">
      <c r="B97" s="47" t="s">
        <v>71</v>
      </c>
      <c r="C97" s="263" t="s">
        <v>266</v>
      </c>
      <c r="D97" s="263"/>
      <c r="E97" s="49">
        <f>D101+E101</f>
        <v>8</v>
      </c>
      <c r="F97" s="165"/>
      <c r="G97" s="165"/>
    </row>
    <row r="98" spans="2:8" x14ac:dyDescent="0.2">
      <c r="B98" s="54" t="s">
        <v>8</v>
      </c>
      <c r="C98" s="172" t="s">
        <v>169</v>
      </c>
      <c r="D98" s="161" t="s">
        <v>74</v>
      </c>
      <c r="E98" s="183" t="s">
        <v>294</v>
      </c>
      <c r="F98" s="165" t="s">
        <v>177</v>
      </c>
      <c r="G98" s="165" t="s">
        <v>175</v>
      </c>
      <c r="H98" s="35" t="s">
        <v>176</v>
      </c>
    </row>
    <row r="99" spans="2:8" x14ac:dyDescent="0.2">
      <c r="B99" s="55" t="s">
        <v>295</v>
      </c>
      <c r="C99" s="56">
        <f>417.48*1.22</f>
        <v>509.32560000000001</v>
      </c>
      <c r="D99" s="56">
        <v>2</v>
      </c>
      <c r="E99" s="56">
        <v>2</v>
      </c>
      <c r="F99" s="165">
        <f>417.48*1.22</f>
        <v>509.32560000000001</v>
      </c>
      <c r="G99" s="165">
        <f>F99/6</f>
        <v>84.887600000000006</v>
      </c>
      <c r="H99" s="114">
        <f>F99/8</f>
        <v>63.665700000000001</v>
      </c>
    </row>
    <row r="100" spans="2:8" s="66" customFormat="1" x14ac:dyDescent="0.2">
      <c r="B100" s="55" t="s">
        <v>296</v>
      </c>
      <c r="C100" s="56">
        <f>409.55*1.48</f>
        <v>606.13400000000001</v>
      </c>
      <c r="D100" s="56">
        <v>2</v>
      </c>
      <c r="E100" s="56">
        <v>2</v>
      </c>
      <c r="F100" s="165">
        <f>409.55*1.48</f>
        <v>606.13400000000001</v>
      </c>
      <c r="G100" s="165">
        <f>F100/6</f>
        <v>101.02233333333334</v>
      </c>
      <c r="H100" s="114">
        <f>F100/8</f>
        <v>75.766750000000002</v>
      </c>
    </row>
    <row r="101" spans="2:8" s="196" customFormat="1" x14ac:dyDescent="0.2">
      <c r="B101" s="62"/>
      <c r="C101" s="63"/>
      <c r="D101" s="202">
        <f>SUM(D99:D100)</f>
        <v>4</v>
      </c>
      <c r="E101" s="202">
        <f>SUM(E99:E100)</f>
        <v>4</v>
      </c>
      <c r="F101" s="165"/>
      <c r="G101" s="165"/>
    </row>
    <row r="102" spans="2:8" s="158" customFormat="1" x14ac:dyDescent="0.2">
      <c r="B102" s="165" t="s">
        <v>352</v>
      </c>
      <c r="C102" s="62"/>
      <c r="D102" s="63"/>
      <c r="E102" s="165"/>
      <c r="F102" s="165"/>
      <c r="G102" s="165"/>
    </row>
    <row r="103" spans="2:8" s="46" customFormat="1" x14ac:dyDescent="0.2">
      <c r="B103" s="165"/>
      <c r="C103" s="62"/>
      <c r="D103" s="63"/>
      <c r="E103" s="165"/>
      <c r="F103" s="165"/>
      <c r="G103" s="165"/>
    </row>
    <row r="104" spans="2:8" ht="38.25" customHeight="1" x14ac:dyDescent="0.2">
      <c r="B104" s="47" t="s">
        <v>75</v>
      </c>
      <c r="C104" s="254" t="s">
        <v>366</v>
      </c>
      <c r="D104" s="254"/>
      <c r="E104" s="49">
        <f>E108</f>
        <v>8</v>
      </c>
      <c r="F104" s="165"/>
      <c r="G104" s="165"/>
    </row>
    <row r="105" spans="2:8" x14ac:dyDescent="0.2">
      <c r="B105" s="165"/>
      <c r="C105" s="54" t="s">
        <v>8</v>
      </c>
      <c r="D105" s="169" t="s">
        <v>169</v>
      </c>
      <c r="E105" s="183" t="s">
        <v>74</v>
      </c>
      <c r="F105" s="165"/>
      <c r="G105" s="165"/>
    </row>
    <row r="106" spans="2:8" s="46" customFormat="1" x14ac:dyDescent="0.2">
      <c r="B106" s="165"/>
      <c r="C106" s="55" t="s">
        <v>116</v>
      </c>
      <c r="D106" s="56">
        <f>417.48*1.22</f>
        <v>509.32560000000001</v>
      </c>
      <c r="E106" s="56">
        <v>4</v>
      </c>
      <c r="F106" s="165"/>
      <c r="G106" s="165"/>
    </row>
    <row r="107" spans="2:8" s="46" customFormat="1" x14ac:dyDescent="0.2">
      <c r="B107" s="165"/>
      <c r="C107" s="55" t="s">
        <v>117</v>
      </c>
      <c r="D107" s="56">
        <f>409.55*1.48</f>
        <v>606.13400000000001</v>
      </c>
      <c r="E107" s="56">
        <v>4</v>
      </c>
      <c r="F107" s="165"/>
      <c r="G107" s="165"/>
    </row>
    <row r="108" spans="2:8" s="196" customFormat="1" x14ac:dyDescent="0.2">
      <c r="B108" s="165"/>
      <c r="C108" s="62"/>
      <c r="D108" s="63"/>
      <c r="E108" s="202">
        <f>SUM(E106:E107)</f>
        <v>8</v>
      </c>
      <c r="F108" s="165"/>
      <c r="G108" s="165"/>
    </row>
    <row r="109" spans="2:8" s="178" customFormat="1" x14ac:dyDescent="0.2">
      <c r="B109" s="165" t="s">
        <v>331</v>
      </c>
      <c r="C109" s="62"/>
      <c r="D109" s="63"/>
      <c r="E109" s="165"/>
      <c r="F109" s="165"/>
      <c r="G109" s="165"/>
    </row>
    <row r="110" spans="2:8" s="206" customFormat="1" x14ac:dyDescent="0.2">
      <c r="B110" s="165" t="s">
        <v>349</v>
      </c>
      <c r="C110" s="62"/>
      <c r="D110" s="63"/>
      <c r="E110" s="165"/>
      <c r="F110" s="165"/>
      <c r="G110" s="165"/>
    </row>
    <row r="111" spans="2:8" s="206" customFormat="1" x14ac:dyDescent="0.2">
      <c r="B111" s="165" t="s">
        <v>350</v>
      </c>
      <c r="C111" s="62"/>
      <c r="D111" s="63"/>
      <c r="E111" s="165"/>
      <c r="F111" s="165"/>
      <c r="G111" s="165"/>
    </row>
    <row r="112" spans="2:8" s="206" customFormat="1" x14ac:dyDescent="0.2">
      <c r="B112" s="165" t="s">
        <v>365</v>
      </c>
      <c r="C112" s="62"/>
      <c r="D112" s="63"/>
      <c r="E112" s="165"/>
      <c r="F112" s="165"/>
      <c r="G112" s="165"/>
    </row>
    <row r="113" spans="2:7" s="178" customFormat="1" x14ac:dyDescent="0.2">
      <c r="B113" s="165" t="s">
        <v>351</v>
      </c>
      <c r="C113" s="62"/>
      <c r="D113" s="63"/>
      <c r="E113" s="165"/>
      <c r="F113" s="165"/>
      <c r="G113" s="165"/>
    </row>
    <row r="114" spans="2:7" s="206" customFormat="1" x14ac:dyDescent="0.2">
      <c r="B114" s="165"/>
      <c r="C114" s="62"/>
      <c r="D114" s="63"/>
      <c r="E114" s="165"/>
      <c r="F114" s="165"/>
      <c r="G114" s="165"/>
    </row>
    <row r="115" spans="2:7" s="178" customFormat="1" ht="63.75" customHeight="1" x14ac:dyDescent="0.2">
      <c r="B115" s="47" t="s">
        <v>287</v>
      </c>
      <c r="C115" s="254" t="s">
        <v>345</v>
      </c>
      <c r="D115" s="254"/>
      <c r="E115" s="49">
        <v>1</v>
      </c>
      <c r="F115" s="165"/>
      <c r="G115" s="165"/>
    </row>
    <row r="116" spans="2:7" s="178" customFormat="1" x14ac:dyDescent="0.2">
      <c r="B116" s="165"/>
      <c r="C116" s="54" t="s">
        <v>8</v>
      </c>
      <c r="D116" s="165"/>
      <c r="E116" s="165"/>
      <c r="F116" s="165"/>
      <c r="G116" s="165"/>
    </row>
    <row r="117" spans="2:7" s="178" customFormat="1" x14ac:dyDescent="0.2">
      <c r="B117" s="165"/>
      <c r="C117" s="55" t="s">
        <v>119</v>
      </c>
      <c r="D117" s="165"/>
      <c r="E117" s="165"/>
      <c r="F117" s="165"/>
      <c r="G117" s="165"/>
    </row>
    <row r="118" spans="2:7" s="206" customFormat="1" x14ac:dyDescent="0.2">
      <c r="B118" s="165"/>
      <c r="C118" s="55" t="s">
        <v>120</v>
      </c>
      <c r="D118" s="165"/>
      <c r="E118" s="165"/>
      <c r="F118" s="165"/>
      <c r="G118" s="165"/>
    </row>
    <row r="119" spans="2:7" s="178" customFormat="1" x14ac:dyDescent="0.2">
      <c r="B119" s="165"/>
      <c r="C119" s="165"/>
      <c r="D119" s="172"/>
      <c r="E119" s="165"/>
      <c r="F119" s="165"/>
      <c r="G119" s="165"/>
    </row>
    <row r="120" spans="2:7" s="105" customFormat="1" x14ac:dyDescent="0.2">
      <c r="B120" s="47" t="s">
        <v>136</v>
      </c>
      <c r="C120" s="263" t="s">
        <v>142</v>
      </c>
      <c r="D120" s="263"/>
      <c r="E120" s="49">
        <f>E122</f>
        <v>10.799999999999999</v>
      </c>
      <c r="F120" s="165"/>
      <c r="G120" s="165"/>
    </row>
    <row r="121" spans="2:7" s="105" customFormat="1" x14ac:dyDescent="0.2">
      <c r="B121" s="113" t="s">
        <v>137</v>
      </c>
      <c r="C121" s="161" t="s">
        <v>138</v>
      </c>
      <c r="D121" s="161" t="s">
        <v>354</v>
      </c>
      <c r="E121" s="161" t="s">
        <v>121</v>
      </c>
      <c r="F121" s="165"/>
      <c r="G121" s="165"/>
    </row>
    <row r="122" spans="2:7" s="105" customFormat="1" x14ac:dyDescent="0.2">
      <c r="B122" s="56">
        <v>1.2</v>
      </c>
      <c r="C122" s="56">
        <v>4.5</v>
      </c>
      <c r="D122" s="171">
        <v>2</v>
      </c>
      <c r="E122" s="56">
        <f>B122*C122*D122</f>
        <v>10.799999999999999</v>
      </c>
      <c r="F122" s="165"/>
      <c r="G122" s="165"/>
    </row>
    <row r="123" spans="2:7" s="105" customFormat="1" x14ac:dyDescent="0.2">
      <c r="B123" s="165"/>
      <c r="C123" s="62"/>
      <c r="D123" s="63"/>
      <c r="E123" s="165"/>
      <c r="F123" s="165"/>
      <c r="G123" s="165"/>
    </row>
    <row r="124" spans="2:7" x14ac:dyDescent="0.2">
      <c r="B124" s="47" t="s">
        <v>141</v>
      </c>
      <c r="C124" s="147" t="s">
        <v>337</v>
      </c>
      <c r="D124" s="49"/>
      <c r="E124" s="49">
        <f>D128</f>
        <v>25.92</v>
      </c>
      <c r="F124" s="165"/>
      <c r="G124" s="165"/>
    </row>
    <row r="125" spans="2:7" x14ac:dyDescent="0.2">
      <c r="B125" s="149"/>
      <c r="C125" s="54" t="s">
        <v>8</v>
      </c>
      <c r="D125" s="161" t="s">
        <v>121</v>
      </c>
      <c r="E125" s="149"/>
      <c r="F125" s="165"/>
      <c r="G125" s="165"/>
    </row>
    <row r="126" spans="2:7" x14ac:dyDescent="0.2">
      <c r="B126" s="165"/>
      <c r="C126" s="55" t="s">
        <v>119</v>
      </c>
      <c r="D126" s="112">
        <v>12.43</v>
      </c>
      <c r="E126" s="165"/>
      <c r="F126" s="165"/>
      <c r="G126" s="165"/>
    </row>
    <row r="127" spans="2:7" x14ac:dyDescent="0.2">
      <c r="B127" s="165"/>
      <c r="C127" s="55" t="s">
        <v>120</v>
      </c>
      <c r="D127" s="112">
        <v>13.49</v>
      </c>
      <c r="E127" s="165"/>
      <c r="F127" s="165"/>
      <c r="G127" s="165"/>
    </row>
    <row r="128" spans="2:7" x14ac:dyDescent="0.2">
      <c r="B128" s="165"/>
      <c r="C128" s="165"/>
      <c r="D128" s="172">
        <f>SUM(D126:D127)</f>
        <v>25.92</v>
      </c>
      <c r="E128" s="165"/>
      <c r="F128" s="165"/>
      <c r="G128" s="165"/>
    </row>
    <row r="129" spans="2:7" x14ac:dyDescent="0.2">
      <c r="B129" s="47" t="s">
        <v>353</v>
      </c>
      <c r="C129" s="263" t="s">
        <v>362</v>
      </c>
      <c r="D129" s="263"/>
      <c r="E129" s="49">
        <f>D133</f>
        <v>25.92</v>
      </c>
      <c r="F129" s="165"/>
      <c r="G129" s="165"/>
    </row>
    <row r="130" spans="2:7" s="206" customFormat="1" x14ac:dyDescent="0.2">
      <c r="B130" s="165"/>
      <c r="C130" s="54" t="s">
        <v>8</v>
      </c>
      <c r="D130" s="214" t="s">
        <v>121</v>
      </c>
      <c r="E130" s="165"/>
      <c r="F130" s="165"/>
      <c r="G130" s="165"/>
    </row>
    <row r="131" spans="2:7" s="206" customFormat="1" x14ac:dyDescent="0.2">
      <c r="B131" s="165"/>
      <c r="C131" s="55" t="s">
        <v>119</v>
      </c>
      <c r="D131" s="112">
        <v>12.43</v>
      </c>
      <c r="E131" s="165"/>
      <c r="F131" s="165"/>
      <c r="G131" s="165"/>
    </row>
    <row r="132" spans="2:7" s="206" customFormat="1" x14ac:dyDescent="0.2">
      <c r="B132" s="165"/>
      <c r="C132" s="55" t="s">
        <v>120</v>
      </c>
      <c r="D132" s="112">
        <v>13.49</v>
      </c>
      <c r="E132" s="165"/>
      <c r="F132" s="165"/>
      <c r="G132" s="165"/>
    </row>
    <row r="133" spans="2:7" s="206" customFormat="1" x14ac:dyDescent="0.2">
      <c r="B133" s="165"/>
      <c r="C133" s="165"/>
      <c r="D133" s="172">
        <f>SUM(D131:D132)</f>
        <v>25.92</v>
      </c>
      <c r="E133" s="165"/>
      <c r="F133" s="165"/>
      <c r="G133" s="165"/>
    </row>
    <row r="134" spans="2:7" s="206" customFormat="1" x14ac:dyDescent="0.2">
      <c r="B134" s="165"/>
      <c r="C134" s="165"/>
      <c r="D134" s="165"/>
      <c r="E134" s="165"/>
      <c r="F134" s="165"/>
      <c r="G134" s="165"/>
    </row>
    <row r="135" spans="2:7" x14ac:dyDescent="0.2">
      <c r="B135" s="47" t="s">
        <v>224</v>
      </c>
      <c r="C135" s="175" t="s">
        <v>247</v>
      </c>
      <c r="D135" s="57"/>
      <c r="E135" s="177">
        <v>1</v>
      </c>
      <c r="F135" s="165"/>
      <c r="G135" s="165"/>
    </row>
    <row r="136" spans="2:7" x14ac:dyDescent="0.2">
      <c r="B136" s="265" t="s">
        <v>248</v>
      </c>
      <c r="C136" s="265"/>
      <c r="D136" s="148" t="s">
        <v>249</v>
      </c>
      <c r="E136" s="149"/>
      <c r="F136" s="165"/>
      <c r="G136" s="165"/>
    </row>
    <row r="137" spans="2:7" x14ac:dyDescent="0.2">
      <c r="B137" s="150" t="s">
        <v>250</v>
      </c>
      <c r="C137" s="151"/>
      <c r="D137" s="152">
        <v>0.15</v>
      </c>
      <c r="E137" s="165"/>
      <c r="F137" s="165"/>
      <c r="G137" s="165"/>
    </row>
    <row r="138" spans="2:7" x14ac:dyDescent="0.2">
      <c r="B138" s="150" t="s">
        <v>229</v>
      </c>
      <c r="C138" s="153"/>
      <c r="D138" s="152">
        <v>0.22</v>
      </c>
      <c r="E138" s="165"/>
      <c r="F138" s="165"/>
      <c r="G138" s="165"/>
    </row>
    <row r="139" spans="2:7" x14ac:dyDescent="0.2">
      <c r="B139" s="165"/>
      <c r="C139" s="165"/>
      <c r="D139" s="165"/>
      <c r="E139" s="165"/>
      <c r="F139" s="165"/>
      <c r="G139" s="165"/>
    </row>
    <row r="140" spans="2:7" x14ac:dyDescent="0.2">
      <c r="B140" s="165"/>
      <c r="C140" s="165"/>
      <c r="D140" s="165"/>
      <c r="E140" s="165"/>
      <c r="F140" s="165"/>
      <c r="G140" s="165"/>
    </row>
  </sheetData>
  <mergeCells count="31">
    <mergeCell ref="C30:D30"/>
    <mergeCell ref="C129:D129"/>
    <mergeCell ref="B95:E95"/>
    <mergeCell ref="C28:D28"/>
    <mergeCell ref="B136:C136"/>
    <mergeCell ref="C77:D77"/>
    <mergeCell ref="C79:D79"/>
    <mergeCell ref="C44:D44"/>
    <mergeCell ref="C67:D67"/>
    <mergeCell ref="C72:D72"/>
    <mergeCell ref="C81:D81"/>
    <mergeCell ref="C48:D48"/>
    <mergeCell ref="C97:D97"/>
    <mergeCell ref="C104:D104"/>
    <mergeCell ref="C90:D90"/>
    <mergeCell ref="C120:D120"/>
    <mergeCell ref="B1:E7"/>
    <mergeCell ref="B11:E11"/>
    <mergeCell ref="B10:D10"/>
    <mergeCell ref="B8:E8"/>
    <mergeCell ref="B9:E9"/>
    <mergeCell ref="C59:D59"/>
    <mergeCell ref="C63:D63"/>
    <mergeCell ref="C115:D115"/>
    <mergeCell ref="C35:D35"/>
    <mergeCell ref="B52:E53"/>
    <mergeCell ref="B60:E61"/>
    <mergeCell ref="B64:E65"/>
    <mergeCell ref="C39:D39"/>
    <mergeCell ref="C85:D85"/>
    <mergeCell ref="C55:D55"/>
  </mergeCells>
  <pageMargins left="0.511811024" right="0.511811024" top="0.78740157499999996" bottom="0.78740157499999996" header="0.31496062000000002" footer="0.31496062000000002"/>
  <pageSetup paperSize="9" scale="68" orientation="portrait" r:id="rId1"/>
  <rowBreaks count="1" manualBreakCount="1">
    <brk id="70" min="1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FFC02-8364-49DB-A457-520ED765B98A}">
  <sheetPr>
    <pageSetUpPr fitToPage="1"/>
  </sheetPr>
  <dimension ref="A1:H24"/>
  <sheetViews>
    <sheetView tabSelected="1" view="pageBreakPreview" zoomScale="130" zoomScaleNormal="100" zoomScaleSheetLayoutView="130" workbookViewId="0">
      <selection activeCell="B20" sqref="B20:B21"/>
    </sheetView>
  </sheetViews>
  <sheetFormatPr defaultRowHeight="12.75" x14ac:dyDescent="0.2"/>
  <cols>
    <col min="1" max="1" width="16.1640625" style="36" customWidth="1"/>
    <col min="2" max="2" width="38.6640625" style="36" customWidth="1"/>
    <col min="3" max="3" width="42.1640625" style="36" customWidth="1"/>
    <col min="4" max="4" width="18" style="36" customWidth="1"/>
    <col min="5" max="5" width="15" style="36" customWidth="1"/>
    <col min="6" max="6" width="16" style="36" hidden="1" customWidth="1"/>
    <col min="7" max="26" width="16" style="36" bestFit="1" customWidth="1"/>
    <col min="27" max="16384" width="9.33203125" style="36"/>
  </cols>
  <sheetData>
    <row r="1" spans="1:5" ht="12.75" customHeight="1" x14ac:dyDescent="0.2">
      <c r="A1" s="234"/>
      <c r="B1" s="234"/>
      <c r="C1" s="266" t="s">
        <v>279</v>
      </c>
      <c r="D1" s="266"/>
      <c r="E1" s="266"/>
    </row>
    <row r="2" spans="1:5" x14ac:dyDescent="0.2">
      <c r="A2" s="234"/>
      <c r="B2" s="234"/>
      <c r="C2" s="266"/>
      <c r="D2" s="266"/>
      <c r="E2" s="266"/>
    </row>
    <row r="3" spans="1:5" ht="46.5" customHeight="1" x14ac:dyDescent="0.2">
      <c r="A3" s="234"/>
      <c r="B3" s="234"/>
      <c r="C3" s="266"/>
      <c r="D3" s="266"/>
      <c r="E3" s="266"/>
    </row>
    <row r="4" spans="1:5" ht="12.75" customHeight="1" x14ac:dyDescent="0.2">
      <c r="A4" s="234"/>
      <c r="B4" s="234"/>
      <c r="C4" s="268" t="s">
        <v>47</v>
      </c>
      <c r="D4" s="268"/>
      <c r="E4" s="268"/>
    </row>
    <row r="5" spans="1:5" s="43" customFormat="1" x14ac:dyDescent="0.2">
      <c r="A5" s="234"/>
      <c r="B5" s="234"/>
      <c r="C5" s="269"/>
      <c r="D5" s="269"/>
    </row>
    <row r="6" spans="1:5" ht="27.75" customHeight="1" x14ac:dyDescent="0.2">
      <c r="A6" s="234"/>
      <c r="B6" s="234"/>
      <c r="C6" s="267" t="s">
        <v>334</v>
      </c>
      <c r="D6" s="267"/>
      <c r="E6" s="267"/>
    </row>
    <row r="7" spans="1:5" x14ac:dyDescent="0.2">
      <c r="A7" s="234"/>
      <c r="B7" s="234"/>
      <c r="C7" s="267" t="s">
        <v>402</v>
      </c>
      <c r="D7" s="267"/>
      <c r="E7" s="267"/>
    </row>
    <row r="8" spans="1:5" x14ac:dyDescent="0.2">
      <c r="A8" s="234"/>
      <c r="B8" s="234"/>
      <c r="C8" s="267" t="s">
        <v>6</v>
      </c>
      <c r="D8" s="267"/>
      <c r="E8" s="267"/>
    </row>
    <row r="9" spans="1:5" s="43" customFormat="1" x14ac:dyDescent="0.2">
      <c r="A9" s="234"/>
      <c r="B9" s="234"/>
      <c r="C9" s="234"/>
      <c r="D9" s="234"/>
    </row>
    <row r="10" spans="1:5" ht="15.75" x14ac:dyDescent="0.25">
      <c r="A10" s="292" t="s">
        <v>44</v>
      </c>
      <c r="B10" s="292"/>
      <c r="C10" s="292"/>
      <c r="D10" s="292"/>
      <c r="E10" s="292"/>
    </row>
    <row r="11" spans="1:5" ht="15" x14ac:dyDescent="0.2">
      <c r="A11" s="223" t="s">
        <v>8</v>
      </c>
      <c r="B11" s="223" t="s">
        <v>11</v>
      </c>
      <c r="C11" s="224" t="s">
        <v>63</v>
      </c>
      <c r="D11" s="224" t="s">
        <v>45</v>
      </c>
      <c r="E11" s="224" t="s">
        <v>403</v>
      </c>
    </row>
    <row r="12" spans="1:5" s="225" customFormat="1" ht="16.5" customHeight="1" thickBot="1" x14ac:dyDescent="0.25">
      <c r="A12" s="294" t="s">
        <v>19</v>
      </c>
      <c r="B12" s="296" t="s">
        <v>2</v>
      </c>
      <c r="C12" s="298" t="s">
        <v>400</v>
      </c>
      <c r="D12" s="300">
        <v>1</v>
      </c>
      <c r="E12" s="293"/>
    </row>
    <row r="13" spans="1:5" ht="13.5" thickTop="1" x14ac:dyDescent="0.2">
      <c r="A13" s="295"/>
      <c r="B13" s="297"/>
      <c r="C13" s="299"/>
      <c r="D13" s="303">
        <v>3995.36</v>
      </c>
    </row>
    <row r="14" spans="1:5" s="225" customFormat="1" ht="13.5" thickBot="1" x14ac:dyDescent="0.25">
      <c r="A14" s="294" t="s">
        <v>64</v>
      </c>
      <c r="B14" s="296" t="s">
        <v>28</v>
      </c>
      <c r="C14" s="301" t="s">
        <v>401</v>
      </c>
      <c r="D14" s="300">
        <v>1</v>
      </c>
    </row>
    <row r="15" spans="1:5" ht="13.5" thickTop="1" x14ac:dyDescent="0.2">
      <c r="A15" s="295"/>
      <c r="B15" s="297"/>
      <c r="C15" s="302"/>
      <c r="D15" s="303">
        <v>84633.78</v>
      </c>
    </row>
    <row r="16" spans="1:5" s="225" customFormat="1" ht="13.5" customHeight="1" thickBot="1" x14ac:dyDescent="0.25">
      <c r="A16" s="294" t="s">
        <v>65</v>
      </c>
      <c r="B16" s="296" t="s">
        <v>115</v>
      </c>
      <c r="C16" s="304" t="s">
        <v>369</v>
      </c>
      <c r="D16" s="300">
        <v>0.5</v>
      </c>
      <c r="E16" s="300">
        <v>0.5</v>
      </c>
    </row>
    <row r="17" spans="1:8" ht="13.5" thickTop="1" x14ac:dyDescent="0.2">
      <c r="A17" s="295"/>
      <c r="B17" s="297"/>
      <c r="C17" s="305">
        <v>445993.02</v>
      </c>
      <c r="D17" s="303">
        <f>C17/2</f>
        <v>222996.51</v>
      </c>
      <c r="E17" s="303">
        <f>C17/2</f>
        <v>222996.51</v>
      </c>
      <c r="F17" s="225"/>
    </row>
    <row r="18" spans="1:8" s="225" customFormat="1" ht="13.5" thickBot="1" x14ac:dyDescent="0.25">
      <c r="A18" s="294" t="s">
        <v>66</v>
      </c>
      <c r="B18" s="296" t="s">
        <v>122</v>
      </c>
      <c r="C18" s="298" t="s">
        <v>370</v>
      </c>
      <c r="E18" s="300">
        <v>1</v>
      </c>
    </row>
    <row r="19" spans="1:8" s="137" customFormat="1" ht="13.5" thickTop="1" x14ac:dyDescent="0.2">
      <c r="A19" s="295"/>
      <c r="B19" s="297"/>
      <c r="C19" s="299"/>
      <c r="D19" s="225"/>
      <c r="E19" s="303">
        <v>4379.76</v>
      </c>
    </row>
    <row r="20" spans="1:8" s="225" customFormat="1" ht="13.5" customHeight="1" thickBot="1" x14ac:dyDescent="0.25">
      <c r="A20" s="294">
        <v>5</v>
      </c>
      <c r="B20" s="296" t="s">
        <v>207</v>
      </c>
      <c r="C20" s="304" t="s">
        <v>371</v>
      </c>
      <c r="D20" s="300">
        <v>0.57230000000000003</v>
      </c>
      <c r="E20" s="300">
        <f>100%-D20</f>
        <v>0.42769999999999997</v>
      </c>
    </row>
    <row r="21" spans="1:8" ht="13.5" thickTop="1" x14ac:dyDescent="0.2">
      <c r="A21" s="308"/>
      <c r="B21" s="309"/>
      <c r="C21" s="307">
        <v>5492.84</v>
      </c>
      <c r="D21" s="310">
        <f>TRUNC(($D$20*C21),2)</f>
        <v>3143.55</v>
      </c>
      <c r="E21" s="310">
        <f>C21-D21</f>
        <v>2349.29</v>
      </c>
      <c r="F21" s="225"/>
    </row>
    <row r="22" spans="1:8" x14ac:dyDescent="0.2">
      <c r="A22" s="315"/>
      <c r="B22" s="315"/>
      <c r="C22" s="315"/>
      <c r="D22" s="315"/>
      <c r="E22" s="315"/>
    </row>
    <row r="23" spans="1:8" hidden="1" x14ac:dyDescent="0.2">
      <c r="C23" s="269" t="s">
        <v>405</v>
      </c>
      <c r="D23" s="269"/>
      <c r="E23" s="316">
        <f>TRUNC(D13+D15+D17+E17+E19+D21+E21,2)</f>
        <v>544494.76</v>
      </c>
      <c r="F23" s="306"/>
    </row>
    <row r="24" spans="1:8" ht="49.5" hidden="1" customHeight="1" x14ac:dyDescent="0.2">
      <c r="A24" s="311" t="s">
        <v>404</v>
      </c>
      <c r="B24" s="312"/>
      <c r="C24" s="313"/>
      <c r="D24" s="314" t="e">
        <f>#REF!/E23</f>
        <v>#REF!</v>
      </c>
      <c r="E24" s="314" t="e">
        <f>#REF!/E23</f>
        <v>#REF!</v>
      </c>
      <c r="F24" s="225"/>
      <c r="G24" s="225"/>
      <c r="H24" s="225"/>
    </row>
  </sheetData>
  <mergeCells count="25">
    <mergeCell ref="A22:E22"/>
    <mergeCell ref="A12:A13"/>
    <mergeCell ref="B12:B13"/>
    <mergeCell ref="C12:C13"/>
    <mergeCell ref="A14:A15"/>
    <mergeCell ref="B14:B15"/>
    <mergeCell ref="C14:C15"/>
    <mergeCell ref="A16:A17"/>
    <mergeCell ref="B16:B17"/>
    <mergeCell ref="A18:A19"/>
    <mergeCell ref="B18:B19"/>
    <mergeCell ref="C18:C19"/>
    <mergeCell ref="C6:E6"/>
    <mergeCell ref="C7:E7"/>
    <mergeCell ref="C8:E8"/>
    <mergeCell ref="A24:C24"/>
    <mergeCell ref="A20:A21"/>
    <mergeCell ref="B20:B21"/>
    <mergeCell ref="C23:D23"/>
    <mergeCell ref="A1:B8"/>
    <mergeCell ref="A9:D9"/>
    <mergeCell ref="C5:D5"/>
    <mergeCell ref="A10:E10"/>
    <mergeCell ref="C1:E3"/>
    <mergeCell ref="C4:E4"/>
  </mergeCells>
  <conditionalFormatting sqref="A24">
    <cfRule type="expression" dxfId="0" priority="3">
      <formula>IF(AND($C24="COTAÇÃO",OR($I24=0,$J24=0)),1,0)</formula>
    </cfRule>
  </conditionalFormatting>
  <pageMargins left="0.511811024" right="0.511811024" top="0.78740157499999996" bottom="0.78740157499999996" header="0.31496062000000002" footer="0.31496062000000002"/>
  <pageSetup paperSize="9" scale="7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CF472-1619-427E-86A2-8A41247789EA}">
  <dimension ref="A2:F59"/>
  <sheetViews>
    <sheetView view="pageBreakPreview" topLeftCell="A10" zoomScale="145" zoomScaleNormal="100" zoomScaleSheetLayoutView="145" workbookViewId="0">
      <selection activeCell="F69" sqref="F69"/>
    </sheetView>
  </sheetViews>
  <sheetFormatPr defaultRowHeight="12.75" x14ac:dyDescent="0.2"/>
  <cols>
    <col min="1" max="1" width="8.6640625" style="21" customWidth="1"/>
    <col min="2" max="2" width="20.83203125" style="21" customWidth="1"/>
    <col min="3" max="4" width="9.33203125" style="21"/>
    <col min="5" max="5" width="13.5" style="21" customWidth="1"/>
    <col min="6" max="6" width="47.33203125" style="21" customWidth="1"/>
    <col min="7" max="16384" width="9.33203125" style="70"/>
  </cols>
  <sheetData>
    <row r="2" spans="1:6" x14ac:dyDescent="0.2">
      <c r="B2" s="270" t="s">
        <v>307</v>
      </c>
      <c r="C2" s="270"/>
      <c r="D2" s="270"/>
      <c r="E2" s="270"/>
      <c r="F2" s="89"/>
    </row>
    <row r="3" spans="1:6" x14ac:dyDescent="0.2">
      <c r="B3" s="270"/>
      <c r="C3" s="270"/>
      <c r="D3" s="270"/>
      <c r="E3" s="270"/>
      <c r="F3" s="90"/>
    </row>
    <row r="4" spans="1:6" x14ac:dyDescent="0.2">
      <c r="B4" s="270"/>
      <c r="C4" s="270"/>
      <c r="D4" s="270"/>
      <c r="E4" s="270"/>
      <c r="F4" s="90"/>
    </row>
    <row r="5" spans="1:6" x14ac:dyDescent="0.2">
      <c r="B5" s="270"/>
      <c r="C5" s="270"/>
      <c r="D5" s="270"/>
      <c r="E5" s="270"/>
      <c r="F5" s="90"/>
    </row>
    <row r="6" spans="1:6" x14ac:dyDescent="0.2">
      <c r="B6" s="270"/>
      <c r="C6" s="270"/>
      <c r="D6" s="270"/>
      <c r="E6" s="270"/>
      <c r="F6" s="90"/>
    </row>
    <row r="7" spans="1:6" ht="46.5" customHeight="1" x14ac:dyDescent="0.2">
      <c r="B7" s="270"/>
      <c r="C7" s="270"/>
      <c r="D7" s="270"/>
      <c r="E7" s="270"/>
      <c r="F7" s="91"/>
    </row>
    <row r="8" spans="1:6" x14ac:dyDescent="0.2">
      <c r="B8" s="271"/>
      <c r="C8" s="272"/>
      <c r="D8" s="272"/>
      <c r="E8" s="272"/>
      <c r="F8" s="273"/>
    </row>
    <row r="9" spans="1:6" x14ac:dyDescent="0.2">
      <c r="B9" s="274" t="s">
        <v>308</v>
      </c>
      <c r="C9" s="275"/>
      <c r="D9" s="275"/>
      <c r="E9" s="275"/>
      <c r="F9" s="276"/>
    </row>
    <row r="10" spans="1:6" s="196" customFormat="1" ht="27" customHeight="1" x14ac:dyDescent="0.2">
      <c r="A10" s="21"/>
      <c r="B10" s="285" t="s">
        <v>333</v>
      </c>
      <c r="C10" s="285"/>
      <c r="D10" s="285"/>
      <c r="E10" s="285"/>
      <c r="F10" s="203">
        <v>0.6</v>
      </c>
    </row>
    <row r="11" spans="1:6" s="196" customFormat="1" ht="20.25" customHeight="1" x14ac:dyDescent="0.2">
      <c r="A11" s="21"/>
      <c r="B11" s="285" t="s">
        <v>332</v>
      </c>
      <c r="C11" s="285"/>
      <c r="D11" s="285"/>
      <c r="E11" s="285"/>
      <c r="F11" s="203">
        <v>0.05</v>
      </c>
    </row>
    <row r="12" spans="1:6" s="196" customFormat="1" x14ac:dyDescent="0.2">
      <c r="A12" s="21"/>
      <c r="B12" s="197"/>
      <c r="C12" s="198"/>
      <c r="D12" s="198"/>
      <c r="E12" s="198"/>
      <c r="F12" s="199"/>
    </row>
    <row r="13" spans="1:6" x14ac:dyDescent="0.2">
      <c r="B13" s="277" t="s">
        <v>309</v>
      </c>
      <c r="C13" s="278"/>
      <c r="D13" s="278"/>
      <c r="E13" s="278"/>
      <c r="F13" s="279"/>
    </row>
    <row r="14" spans="1:6" x14ac:dyDescent="0.2">
      <c r="B14" s="187" t="s">
        <v>4</v>
      </c>
      <c r="C14" s="187" t="s">
        <v>281</v>
      </c>
      <c r="D14" s="187" t="s">
        <v>282</v>
      </c>
      <c r="E14" s="187" t="s">
        <v>283</v>
      </c>
      <c r="F14" s="187" t="s">
        <v>284</v>
      </c>
    </row>
    <row r="15" spans="1:6" x14ac:dyDescent="0.2">
      <c r="B15" s="79" t="s">
        <v>80</v>
      </c>
      <c r="C15" s="281" t="s">
        <v>285</v>
      </c>
      <c r="D15" s="282"/>
      <c r="E15" s="283"/>
      <c r="F15" s="80">
        <v>0.03</v>
      </c>
    </row>
    <row r="16" spans="1:6" x14ac:dyDescent="0.2">
      <c r="B16" s="79" t="s">
        <v>81</v>
      </c>
      <c r="C16" s="281" t="s">
        <v>285</v>
      </c>
      <c r="D16" s="282"/>
      <c r="E16" s="283"/>
      <c r="F16" s="80">
        <v>6.4999999999999997E-3</v>
      </c>
    </row>
    <row r="17" spans="1:6" x14ac:dyDescent="0.2">
      <c r="B17" s="79" t="s">
        <v>82</v>
      </c>
      <c r="C17" s="281" t="s">
        <v>285</v>
      </c>
      <c r="D17" s="282"/>
      <c r="E17" s="283"/>
      <c r="F17" s="80">
        <f>F11*F10</f>
        <v>0.03</v>
      </c>
    </row>
    <row r="18" spans="1:6" x14ac:dyDescent="0.2">
      <c r="B18" s="79" t="s">
        <v>83</v>
      </c>
      <c r="C18" s="184">
        <v>0</v>
      </c>
      <c r="D18" s="184">
        <v>0</v>
      </c>
      <c r="E18" s="184">
        <v>0</v>
      </c>
      <c r="F18" s="80">
        <f t="shared" ref="F18" si="0">E18</f>
        <v>0</v>
      </c>
    </row>
    <row r="19" spans="1:6" x14ac:dyDescent="0.2">
      <c r="B19" s="79" t="s">
        <v>95</v>
      </c>
      <c r="C19" s="184">
        <v>0.03</v>
      </c>
      <c r="D19" s="184">
        <v>0.04</v>
      </c>
      <c r="E19" s="184">
        <v>5.5E-2</v>
      </c>
      <c r="F19" s="80">
        <v>4.4900000000000002E-2</v>
      </c>
    </row>
    <row r="20" spans="1:6" x14ac:dyDescent="0.2">
      <c r="B20" s="79" t="s">
        <v>84</v>
      </c>
      <c r="C20" s="184">
        <v>5.8999999999999999E-3</v>
      </c>
      <c r="D20" s="184">
        <v>1.23E-2</v>
      </c>
      <c r="E20" s="184">
        <v>1.3899999999999999E-2</v>
      </c>
      <c r="F20" s="80">
        <v>1.23E-2</v>
      </c>
    </row>
    <row r="21" spans="1:6" x14ac:dyDescent="0.2">
      <c r="B21" s="79" t="s">
        <v>85</v>
      </c>
      <c r="C21" s="184">
        <v>8.0000000000000002E-3</v>
      </c>
      <c r="D21" s="184">
        <v>8.0000000000000002E-3</v>
      </c>
      <c r="E21" s="184">
        <v>0.01</v>
      </c>
      <c r="F21" s="80">
        <v>8.0000000000000002E-3</v>
      </c>
    </row>
    <row r="22" spans="1:6" x14ac:dyDescent="0.2">
      <c r="B22" s="79" t="s">
        <v>86</v>
      </c>
      <c r="C22" s="184">
        <v>9.7000000000000003E-3</v>
      </c>
      <c r="D22" s="184">
        <v>1.2699999999999999E-2</v>
      </c>
      <c r="E22" s="184">
        <v>1.2699999999999999E-2</v>
      </c>
      <c r="F22" s="80">
        <v>1.2699999999999999E-2</v>
      </c>
    </row>
    <row r="23" spans="1:6" x14ac:dyDescent="0.2">
      <c r="B23" s="185" t="s">
        <v>96</v>
      </c>
      <c r="C23" s="184">
        <v>6.1600000000000002E-2</v>
      </c>
      <c r="D23" s="184">
        <v>7.3999999999999996E-2</v>
      </c>
      <c r="E23" s="184">
        <v>8.9599999999999999E-2</v>
      </c>
      <c r="F23" s="80">
        <v>7.3999999999999996E-2</v>
      </c>
    </row>
    <row r="24" spans="1:6" x14ac:dyDescent="0.2">
      <c r="B24" s="284" t="s">
        <v>301</v>
      </c>
      <c r="C24" s="284"/>
      <c r="D24" s="284"/>
      <c r="E24" s="284"/>
      <c r="F24" s="186">
        <f>(((1+(F19+F21+F22))*(1+F20)*(1+F23))/(1-(F15+F16+F17+F18)))-1</f>
        <v>0.24106179873594025</v>
      </c>
    </row>
    <row r="25" spans="1:6" x14ac:dyDescent="0.2">
      <c r="B25" s="78"/>
      <c r="C25" s="81"/>
      <c r="D25" s="81"/>
      <c r="E25" s="81"/>
      <c r="F25" s="78"/>
    </row>
    <row r="26" spans="1:6" s="188" customFormat="1" ht="26.25" customHeight="1" x14ac:dyDescent="0.2">
      <c r="A26" s="21"/>
      <c r="B26" s="289" t="s">
        <v>299</v>
      </c>
      <c r="C26" s="290"/>
      <c r="D26" s="290"/>
      <c r="E26" s="290"/>
      <c r="F26" s="291"/>
    </row>
    <row r="27" spans="1:6" s="188" customFormat="1" x14ac:dyDescent="0.2">
      <c r="A27" s="21"/>
      <c r="B27" s="187" t="s">
        <v>4</v>
      </c>
      <c r="C27" s="187" t="s">
        <v>281</v>
      </c>
      <c r="D27" s="187" t="s">
        <v>282</v>
      </c>
      <c r="E27" s="187" t="s">
        <v>283</v>
      </c>
      <c r="F27" s="187" t="s">
        <v>284</v>
      </c>
    </row>
    <row r="28" spans="1:6" s="188" customFormat="1" x14ac:dyDescent="0.2">
      <c r="A28" s="21"/>
      <c r="B28" s="79" t="s">
        <v>80</v>
      </c>
      <c r="C28" s="281" t="s">
        <v>285</v>
      </c>
      <c r="D28" s="282"/>
      <c r="E28" s="283"/>
      <c r="F28" s="80">
        <v>0.03</v>
      </c>
    </row>
    <row r="29" spans="1:6" s="188" customFormat="1" x14ac:dyDescent="0.2">
      <c r="A29" s="21"/>
      <c r="B29" s="79" t="s">
        <v>81</v>
      </c>
      <c r="C29" s="281" t="s">
        <v>285</v>
      </c>
      <c r="D29" s="282"/>
      <c r="E29" s="283"/>
      <c r="F29" s="80">
        <v>6.4999999999999997E-3</v>
      </c>
    </row>
    <row r="30" spans="1:6" s="188" customFormat="1" x14ac:dyDescent="0.2">
      <c r="A30" s="21"/>
      <c r="B30" s="79" t="s">
        <v>82</v>
      </c>
      <c r="C30" s="281" t="s">
        <v>303</v>
      </c>
      <c r="D30" s="282"/>
      <c r="E30" s="283"/>
      <c r="F30" s="80">
        <f t="shared" ref="F30:F31" si="1">E30</f>
        <v>0</v>
      </c>
    </row>
    <row r="31" spans="1:6" s="188" customFormat="1" x14ac:dyDescent="0.2">
      <c r="A31" s="21"/>
      <c r="B31" s="79" t="s">
        <v>83</v>
      </c>
      <c r="C31" s="184">
        <v>0</v>
      </c>
      <c r="D31" s="184">
        <v>0</v>
      </c>
      <c r="E31" s="184">
        <v>0</v>
      </c>
      <c r="F31" s="80">
        <f t="shared" si="1"/>
        <v>0</v>
      </c>
    </row>
    <row r="32" spans="1:6" s="188" customFormat="1" x14ac:dyDescent="0.2">
      <c r="A32" s="21"/>
      <c r="B32" s="79" t="s">
        <v>95</v>
      </c>
      <c r="C32" s="184">
        <v>1.4999999999999999E-2</v>
      </c>
      <c r="D32" s="184">
        <v>3.4500000000000003E-2</v>
      </c>
      <c r="E32" s="184">
        <v>4.4900000000000002E-2</v>
      </c>
      <c r="F32" s="80">
        <v>3.4500000000000003E-2</v>
      </c>
    </row>
    <row r="33" spans="1:6" s="188" customFormat="1" x14ac:dyDescent="0.2">
      <c r="A33" s="21"/>
      <c r="B33" s="79" t="s">
        <v>84</v>
      </c>
      <c r="C33" s="184">
        <v>8.5000000000000006E-3</v>
      </c>
      <c r="D33" s="184">
        <v>8.5000000000000006E-3</v>
      </c>
      <c r="E33" s="184">
        <v>1.11E-2</v>
      </c>
      <c r="F33" s="80">
        <v>8.5000000000000006E-3</v>
      </c>
    </row>
    <row r="34" spans="1:6" s="188" customFormat="1" x14ac:dyDescent="0.2">
      <c r="A34" s="21"/>
      <c r="B34" s="79" t="s">
        <v>85</v>
      </c>
      <c r="C34" s="184">
        <v>3.0000000000000001E-3</v>
      </c>
      <c r="D34" s="184">
        <v>4.7999999999999996E-3</v>
      </c>
      <c r="E34" s="184">
        <v>8.2000000000000007E-3</v>
      </c>
      <c r="F34" s="80">
        <v>4.7999999999999996E-3</v>
      </c>
    </row>
    <row r="35" spans="1:6" s="188" customFormat="1" x14ac:dyDescent="0.2">
      <c r="A35" s="21"/>
      <c r="B35" s="79" t="s">
        <v>86</v>
      </c>
      <c r="C35" s="184">
        <v>5.5999999999999999E-3</v>
      </c>
      <c r="D35" s="184">
        <v>8.5000000000000006E-3</v>
      </c>
      <c r="E35" s="184">
        <v>8.8999999999999999E-3</v>
      </c>
      <c r="F35" s="80">
        <v>8.5000000000000006E-3</v>
      </c>
    </row>
    <row r="36" spans="1:6" s="188" customFormat="1" x14ac:dyDescent="0.2">
      <c r="A36" s="21"/>
      <c r="B36" s="185" t="s">
        <v>96</v>
      </c>
      <c r="C36" s="184">
        <v>3.5000000000000003E-2</v>
      </c>
      <c r="D36" s="184">
        <v>5.11E-2</v>
      </c>
      <c r="E36" s="184">
        <v>6.2199999999999998E-2</v>
      </c>
      <c r="F36" s="80">
        <v>5.11E-2</v>
      </c>
    </row>
    <row r="37" spans="1:6" s="188" customFormat="1" x14ac:dyDescent="0.2">
      <c r="A37" s="21"/>
      <c r="B37" s="284" t="s">
        <v>300</v>
      </c>
      <c r="C37" s="284"/>
      <c r="D37" s="284"/>
      <c r="E37" s="284"/>
      <c r="F37" s="186">
        <f>(((1+(F32+F34+F35))*(1+F33)*(1+F36))/(1-(F28+F29+F30+F31)))-1</f>
        <v>0.15278047942916428</v>
      </c>
    </row>
    <row r="38" spans="1:6" s="188" customFormat="1" x14ac:dyDescent="0.2">
      <c r="A38" s="21"/>
      <c r="B38" s="78"/>
      <c r="C38" s="81"/>
      <c r="D38" s="81"/>
      <c r="E38" s="81"/>
      <c r="F38" s="78"/>
    </row>
    <row r="39" spans="1:6" x14ac:dyDescent="0.2">
      <c r="B39" s="92" t="s">
        <v>87</v>
      </c>
      <c r="C39" s="93"/>
      <c r="D39" s="93"/>
      <c r="E39" s="93"/>
      <c r="F39" s="92"/>
    </row>
    <row r="40" spans="1:6" s="188" customFormat="1" x14ac:dyDescent="0.2">
      <c r="A40" s="21"/>
      <c r="B40" s="92" t="s">
        <v>302</v>
      </c>
      <c r="C40" s="93"/>
      <c r="D40" s="93"/>
      <c r="E40" s="93"/>
      <c r="F40" s="92"/>
    </row>
    <row r="41" spans="1:6" s="188" customFormat="1" ht="11.25" customHeight="1" x14ac:dyDescent="0.2">
      <c r="A41" s="21"/>
      <c r="B41" s="92"/>
      <c r="C41" s="93"/>
      <c r="D41" s="93"/>
      <c r="E41" s="93"/>
      <c r="F41" s="92"/>
    </row>
    <row r="42" spans="1:6" x14ac:dyDescent="0.2">
      <c r="B42" s="280" t="s">
        <v>88</v>
      </c>
      <c r="C42" s="280"/>
      <c r="D42" s="280"/>
      <c r="E42" s="280"/>
      <c r="F42" s="280"/>
    </row>
    <row r="43" spans="1:6" x14ac:dyDescent="0.2">
      <c r="B43" s="280" t="s">
        <v>89</v>
      </c>
      <c r="C43" s="280"/>
      <c r="D43" s="280"/>
      <c r="E43" s="280"/>
      <c r="F43" s="280"/>
    </row>
    <row r="44" spans="1:6" ht="18.75" customHeight="1" x14ac:dyDescent="0.2">
      <c r="B44" s="280" t="s">
        <v>298</v>
      </c>
      <c r="C44" s="280"/>
      <c r="D44" s="280"/>
      <c r="E44" s="280"/>
      <c r="F44" s="280"/>
    </row>
    <row r="45" spans="1:6" x14ac:dyDescent="0.2">
      <c r="B45" s="280" t="s">
        <v>90</v>
      </c>
      <c r="C45" s="280"/>
      <c r="D45" s="280"/>
      <c r="E45" s="280"/>
      <c r="F45" s="280"/>
    </row>
    <row r="46" spans="1:6" ht="21.75" customHeight="1" x14ac:dyDescent="0.2">
      <c r="B46" s="280" t="s">
        <v>91</v>
      </c>
      <c r="C46" s="280"/>
      <c r="D46" s="280"/>
      <c r="E46" s="280"/>
      <c r="F46" s="280"/>
    </row>
    <row r="47" spans="1:6" ht="51" customHeight="1" x14ac:dyDescent="0.2">
      <c r="B47" s="94"/>
      <c r="C47" s="94"/>
      <c r="D47" s="176"/>
      <c r="E47" s="94"/>
      <c r="F47" s="94"/>
    </row>
    <row r="48" spans="1:6" ht="84" customHeight="1" x14ac:dyDescent="0.2">
      <c r="B48" s="280" t="s">
        <v>92</v>
      </c>
      <c r="C48" s="280"/>
      <c r="D48" s="280"/>
      <c r="E48" s="280"/>
      <c r="F48" s="280"/>
    </row>
    <row r="49" spans="2:6" x14ac:dyDescent="0.2">
      <c r="B49" s="280" t="s">
        <v>93</v>
      </c>
      <c r="C49" s="280"/>
      <c r="D49" s="280"/>
      <c r="E49" s="280"/>
      <c r="F49" s="280"/>
    </row>
    <row r="50" spans="2:6" ht="30.75" customHeight="1" x14ac:dyDescent="0.2">
      <c r="B50" s="280" t="s">
        <v>94</v>
      </c>
      <c r="C50" s="280"/>
      <c r="D50" s="280"/>
      <c r="E50" s="280"/>
      <c r="F50" s="280"/>
    </row>
    <row r="51" spans="2:6" ht="21.75" customHeight="1" x14ac:dyDescent="0.2">
      <c r="B51" s="287" t="s">
        <v>97</v>
      </c>
      <c r="C51" s="287"/>
      <c r="D51" s="287"/>
      <c r="E51" s="287"/>
      <c r="F51" s="287"/>
    </row>
    <row r="52" spans="2:6" ht="24.75" customHeight="1" x14ac:dyDescent="0.2">
      <c r="B52" s="288" t="s">
        <v>98</v>
      </c>
      <c r="C52" s="288"/>
      <c r="D52" s="288"/>
      <c r="E52" s="288"/>
      <c r="F52" s="288"/>
    </row>
    <row r="53" spans="2:6" x14ac:dyDescent="0.2">
      <c r="B53" s="95"/>
      <c r="C53" s="96"/>
      <c r="D53" s="96"/>
      <c r="E53" s="96"/>
      <c r="F53" s="95"/>
    </row>
    <row r="54" spans="2:6" x14ac:dyDescent="0.2">
      <c r="B54" s="95"/>
      <c r="C54" s="96"/>
      <c r="D54" s="96"/>
      <c r="E54" s="96"/>
      <c r="F54" s="95"/>
    </row>
    <row r="55" spans="2:6" x14ac:dyDescent="0.2">
      <c r="B55" s="286"/>
      <c r="C55" s="286"/>
      <c r="D55" s="286"/>
      <c r="E55" s="286"/>
      <c r="F55" s="95"/>
    </row>
    <row r="56" spans="2:6" x14ac:dyDescent="0.2">
      <c r="B56" s="286"/>
      <c r="C56" s="286"/>
      <c r="D56" s="286"/>
      <c r="E56" s="286"/>
      <c r="F56" s="95"/>
    </row>
    <row r="57" spans="2:6" x14ac:dyDescent="0.2">
      <c r="B57" s="97"/>
      <c r="C57" s="97"/>
      <c r="D57" s="97"/>
      <c r="E57" s="97"/>
      <c r="F57" s="97"/>
    </row>
    <row r="58" spans="2:6" x14ac:dyDescent="0.2">
      <c r="B58" s="97"/>
      <c r="C58" s="97"/>
      <c r="D58" s="97"/>
      <c r="E58" s="97"/>
      <c r="F58" s="97"/>
    </row>
    <row r="59" spans="2:6" x14ac:dyDescent="0.2">
      <c r="B59" s="97"/>
      <c r="C59" s="97"/>
      <c r="D59" s="97"/>
      <c r="E59" s="97"/>
      <c r="F59" s="97"/>
    </row>
  </sheetData>
  <mergeCells count="27">
    <mergeCell ref="B46:F46"/>
    <mergeCell ref="B26:F26"/>
    <mergeCell ref="C28:E28"/>
    <mergeCell ref="C29:E29"/>
    <mergeCell ref="C30:E30"/>
    <mergeCell ref="B37:E37"/>
    <mergeCell ref="B43:F43"/>
    <mergeCell ref="B44:F44"/>
    <mergeCell ref="B45:F45"/>
    <mergeCell ref="B56:E56"/>
    <mergeCell ref="B48:F48"/>
    <mergeCell ref="B49:F49"/>
    <mergeCell ref="B50:F50"/>
    <mergeCell ref="B51:F51"/>
    <mergeCell ref="B52:F52"/>
    <mergeCell ref="B55:E55"/>
    <mergeCell ref="B2:E7"/>
    <mergeCell ref="B8:F8"/>
    <mergeCell ref="B9:F9"/>
    <mergeCell ref="B13:F13"/>
    <mergeCell ref="B42:F42"/>
    <mergeCell ref="C15:E15"/>
    <mergeCell ref="C16:E16"/>
    <mergeCell ref="C17:E17"/>
    <mergeCell ref="B24:E24"/>
    <mergeCell ref="B10:E10"/>
    <mergeCell ref="B11:E11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Orçamento </vt:lpstr>
      <vt:lpstr>Composição</vt:lpstr>
      <vt:lpstr>Memória de Cálculo</vt:lpstr>
      <vt:lpstr>Cronograma</vt:lpstr>
      <vt:lpstr>BDI</vt:lpstr>
      <vt:lpstr>BDI!Area_de_impressao</vt:lpstr>
      <vt:lpstr>Composição!Area_de_impressao</vt:lpstr>
      <vt:lpstr>Cronograma!Area_de_impressao</vt:lpstr>
      <vt:lpstr>'Memória de Cálculo'!Area_de_impressao</vt:lpstr>
      <vt:lpstr>'Orçamento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Jucelino Gonalves</dc:creator>
  <cp:lastModifiedBy>Rafaella Brandao da Silva</cp:lastModifiedBy>
  <cp:lastPrinted>2024-07-18T14:12:31Z</cp:lastPrinted>
  <dcterms:created xsi:type="dcterms:W3CDTF">2021-01-28T15:36:51Z</dcterms:created>
  <dcterms:modified xsi:type="dcterms:W3CDTF">2024-07-18T18:05:32Z</dcterms:modified>
</cp:coreProperties>
</file>