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2520" windowWidth="21840" windowHeight="13020" tabRatio="772" activeTab="3"/>
  </bookViews>
  <sheets>
    <sheet name="Orçamento Sintético" sheetId="1" r:id="rId1"/>
    <sheet name="Orçamento Analítico" sheetId="4" r:id="rId2"/>
    <sheet name="Cotação" sheetId="10" r:id="rId3"/>
    <sheet name="BDI" sheetId="9" r:id="rId4"/>
  </sheets>
  <externalReferences>
    <externalReference r:id="rId7"/>
    <externalReference r:id="rId8"/>
  </externalReferences>
  <definedNames>
    <definedName name="__PL1">#REF!</definedName>
    <definedName name="_01_09_96">#REF!</definedName>
    <definedName name="a">#REF!</definedName>
    <definedName name="AA">[0]!AA</definedName>
    <definedName name="ALTA">#REF!</definedName>
    <definedName name="amarela">#REF!</definedName>
    <definedName name="_xlnm.Print_Area" localSheetId="3">'BDI'!$B$2:$E$26</definedName>
    <definedName name="_xlnm.Print_Area" localSheetId="2">'Cotação'!$B$2:$L$23</definedName>
    <definedName name="_xlnm.Print_Area" localSheetId="1">'Orçamento Analítico'!$A$1:$H$489</definedName>
    <definedName name="_xlnm.Print_Area" localSheetId="0">'Orçamento Sintético'!$A$1:$O$103</definedName>
    <definedName name="azul">#REF!</definedName>
    <definedName name="AZULSINAL">#REF!</definedName>
    <definedName name="bbddii">#REF!</definedName>
    <definedName name="BD">#REF!</definedName>
    <definedName name="BDI">#REF!</definedName>
    <definedName name="BG">#REF!</definedName>
    <definedName name="BGU">#REF!</definedName>
    <definedName name="CBU">#REF!</definedName>
    <definedName name="CBUII">#REF!</definedName>
    <definedName name="CBUQB">#REF!</definedName>
    <definedName name="CBUQc">#REF!</definedName>
    <definedName name="d">#REF!</definedName>
    <definedName name="Data_Final">#REF!</definedName>
    <definedName name="Data_Início">#REF!</definedName>
    <definedName name="DGA">#REF!</definedName>
    <definedName name="DJ">#REF!</definedName>
    <definedName name="ECJ">#REF!</definedName>
    <definedName name="EJ">#REF!</definedName>
    <definedName name="EXA">#REF!</definedName>
    <definedName name="Extenso">[0]!Extenso</definedName>
    <definedName name="fc1a">#REF!</definedName>
    <definedName name="FC2A">#REF!</definedName>
    <definedName name="FC3A">#REF!</definedName>
    <definedName name="hi">#REF!</definedName>
    <definedName name="IM">#REF!</definedName>
    <definedName name="JR_PAGE_ANCHOR_0_1">#REF!</definedName>
    <definedName name="LILASDRENA">#REF!</definedName>
    <definedName name="Medição">#REF!</definedName>
    <definedName name="módulo1.Extenso">[0]!módulo1.Extenso</definedName>
    <definedName name="NTEI">#REF!</definedName>
    <definedName name="OPA">#REF!</definedName>
    <definedName name="pesquisa">#REF!</definedName>
    <definedName name="PL">#REF!</definedName>
    <definedName name="QQ_2">[0]!QQ_2</definedName>
    <definedName name="RBV">'[2]Teor'!$C$3:$C$7</definedName>
    <definedName name="REG">#REF!</definedName>
    <definedName name="REGULA">#REF!</definedName>
    <definedName name="RESUMO">[0]!RESUMO</definedName>
    <definedName name="RMA">#REF!</definedName>
    <definedName name="RS">#REF!</definedName>
    <definedName name="sbg">#REF!</definedName>
    <definedName name="SBTC">#REF!</definedName>
    <definedName name="simone">[0]!simone</definedName>
    <definedName name="Teor">'[2]Teor'!$A$3:$A$7</definedName>
    <definedName name="Terraplenagem">[0]!Terraplenagem</definedName>
    <definedName name="TPM">#REF!</definedName>
    <definedName name="Vazios">'[2]Teor'!$B$3:$B$7</definedName>
    <definedName name="verde">#REF!</definedName>
    <definedName name="verdepav">#REF!</definedName>
    <definedName name="WEWRWR">[0]!WEWRWR</definedName>
    <definedName name="x">#REF!</definedName>
    <definedName name="XXX">[0]!XXX</definedName>
    <definedName name="_xlnm.Print_Titles" localSheetId="0">'Orçamento Sintético'!$1:$4</definedName>
    <definedName name="_xlnm.Print_Titles" localSheetId="1">'Orçamento Analítico'!$1:$3</definedName>
    <definedName name="_xlnm.Print_Titles" localSheetId="2">'Cotação'!$2:$6</definedName>
  </definedNames>
  <calcPr calcId="191029"/>
  <extLst/>
</workbook>
</file>

<file path=xl/comments4.xml><?xml version="1.0" encoding="utf-8"?>
<comments xmlns="http://schemas.openxmlformats.org/spreadsheetml/2006/main">
  <authors>
    <author>thiago.lopes</author>
    <author>Thiago Rodrigues</author>
  </authors>
  <commentList>
    <comment ref="D17" authorId="0">
      <text>
        <r>
          <rPr>
            <b/>
            <sz val="9"/>
            <rFont val="Tahoma"/>
            <family val="2"/>
          </rPr>
          <t xml:space="preserve">3) ISS:
• Alíquota e base de cálculo:
- </t>
        </r>
        <r>
          <rPr>
            <sz val="9"/>
            <rFont val="Tahoma"/>
            <family val="2"/>
          </rPr>
          <t xml:space="preserve">Conferir na planilha Municípios - BDI
</t>
        </r>
      </text>
    </comment>
    <comment ref="D18" authorId="1">
      <text>
        <r>
          <rPr>
            <b/>
            <sz val="9"/>
            <rFont val="Tahoma"/>
            <family val="2"/>
          </rPr>
          <t>4) CPRB:</t>
        </r>
        <r>
          <rPr>
            <sz val="9"/>
            <rFont val="Tahoma"/>
            <family val="2"/>
          </rPr>
          <t xml:space="preserve">
• Lei 13.161/2015:
- Desonerada: 4,50%
- Onerada: 0%</t>
        </r>
      </text>
    </comment>
    <comment ref="D19" authorId="1">
      <text>
        <r>
          <rPr>
            <b/>
            <sz val="9"/>
            <rFont val="Tahoma"/>
            <family val="2"/>
          </rPr>
          <t xml:space="preserve">5) Administração Central
</t>
        </r>
        <r>
          <rPr>
            <sz val="9"/>
            <rFont val="Tahoma"/>
            <family val="2"/>
          </rPr>
          <t>• Acórdão TCU 2.622/2013 
- 1º Quartil: 3,00%
- Médio: 4,00%
- 3º Quartil: 5,50%</t>
        </r>
      </text>
    </comment>
    <comment ref="D20" authorId="1">
      <text>
        <r>
          <rPr>
            <b/>
            <sz val="9"/>
            <rFont val="Tahoma"/>
            <family val="2"/>
          </rPr>
          <t xml:space="preserve">6) Despesas Financeiras:
</t>
        </r>
        <r>
          <rPr>
            <sz val="9"/>
            <rFont val="Tahoma"/>
            <family val="2"/>
          </rPr>
          <t xml:space="preserve">• Acórdão TCU 2.622/2013 
- 1º Quartil: 0,59%
- Médio: 1,23%
- 3º Quartil: 1,39%
</t>
        </r>
      </text>
    </comment>
    <comment ref="D21" authorId="1">
      <text>
        <r>
          <rPr>
            <b/>
            <sz val="9"/>
            <rFont val="Tahoma"/>
            <family val="2"/>
          </rPr>
          <t xml:space="preserve">7) Seguros + Garantias
</t>
        </r>
        <r>
          <rPr>
            <sz val="9"/>
            <rFont val="Tahoma"/>
            <family val="2"/>
          </rPr>
          <t>• Acórdão TCU 2.622/2013 
- 1º Quartil: 0,80%
- Médio: 0,80%
- 3º Quartil: 1,00%</t>
        </r>
      </text>
    </comment>
    <comment ref="D22" authorId="1">
      <text>
        <r>
          <rPr>
            <b/>
            <sz val="9"/>
            <rFont val="Tahoma"/>
            <family val="2"/>
          </rPr>
          <t xml:space="preserve">8) RISCO: 
• </t>
        </r>
        <r>
          <rPr>
            <sz val="9"/>
            <rFont val="Tahoma"/>
            <family val="2"/>
          </rPr>
          <t>Acórdão TCU 2.622/2013 
- 1º Quartil: 0,97%
- Médio: 0,97%
- 3º Quartil: 1,27%</t>
        </r>
      </text>
    </comment>
    <comment ref="D23" authorId="1">
      <text>
        <r>
          <rPr>
            <b/>
            <sz val="9"/>
            <rFont val="Tahoma"/>
            <family val="2"/>
          </rPr>
          <t xml:space="preserve">9) LUCRO:
</t>
        </r>
        <r>
          <rPr>
            <sz val="9"/>
            <rFont val="Tahoma"/>
            <family val="2"/>
          </rPr>
          <t>• Acórdão TCU 2.622/2013  
- 1º Quartil: 6,16%
- Médio: 7,40%
- 3º Quartil: 8,96%</t>
        </r>
      </text>
    </comment>
  </commentList>
</comments>
</file>

<file path=xl/sharedStrings.xml><?xml version="1.0" encoding="utf-8"?>
<sst xmlns="http://schemas.openxmlformats.org/spreadsheetml/2006/main" count="2177" uniqueCount="506">
  <si>
    <t>Obra</t>
  </si>
  <si>
    <t>Bancos</t>
  </si>
  <si>
    <t>B.D.I.</t>
  </si>
  <si>
    <t>Encargos Sociais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</si>
  <si>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</si>
  <si>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</si>
  <si>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</si>
  <si>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</si>
  <si>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</si>
  <si>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</si>
  <si>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</si>
  <si>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</si>
  <si>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</si>
  <si>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SERVIÇOS PRELIMINARES</t>
  </si>
  <si>
    <t>SERVIÇOS INICIAIS</t>
  </si>
  <si>
    <t xml:space="preserve"> COD.001 </t>
  </si>
  <si>
    <t>EMISSÃO DE ANOTAÇÃO DE RESPONSABILIDADE TÉCNICA - ART</t>
  </si>
  <si>
    <t>un</t>
  </si>
  <si>
    <t xml:space="preserve"> 1.1.2 </t>
  </si>
  <si>
    <t>m²</t>
  </si>
  <si>
    <t>DEMOLIÇÕES E RETIRADAS</t>
  </si>
  <si>
    <t>DEMOLIÇÃO MANUAL DE PISO CIMENT.SOBRE LASTRO CONC.C/TR.ATE CB. E CARGA</t>
  </si>
  <si>
    <t>DEMOLIÇÃO MANUAL EM CONCRETO SIMPLES C/TR.ATE CB.E CARGA (O.C.)</t>
  </si>
  <si>
    <t>m³</t>
  </si>
  <si>
    <t>m</t>
  </si>
  <si>
    <t>REMOÇÃO MANUAL DE TUBULAÇÃO (TUBO E CONEXÃO)  C/ TRANSP. ATÉ CB. E CARGA ( EXCLUSO RASGOS E ESCAVAÇÕES)</t>
  </si>
  <si>
    <t xml:space="preserve"> 1.3 </t>
  </si>
  <si>
    <t>REMOÇÃO DE ENTULHOS</t>
  </si>
  <si>
    <t xml:space="preserve"> 1.3.1 </t>
  </si>
  <si>
    <t>TRANSPORTE DE ENTULHO EM CAÇAMBA ESTACIONÁRIA  INCLUSO A CARGA MANUAL</t>
  </si>
  <si>
    <t>PAINÉIS E VEDAÇÕES</t>
  </si>
  <si>
    <t>ALVENARIA</t>
  </si>
  <si>
    <t>SBC</t>
  </si>
  <si>
    <t>PAVIMENTAÇÕES</t>
  </si>
  <si>
    <t>REGULARIZAÇÃO E COMPACTAÇÃO</t>
  </si>
  <si>
    <t>PISOS</t>
  </si>
  <si>
    <t>SOLEIRAS</t>
  </si>
  <si>
    <t>ESQUADRIAS</t>
  </si>
  <si>
    <t>DE VIDRO</t>
  </si>
  <si>
    <t>INSTALAÇÕES ELÉTRICAS</t>
  </si>
  <si>
    <t>M</t>
  </si>
  <si>
    <t>SINAPI</t>
  </si>
  <si>
    <t>UN</t>
  </si>
  <si>
    <t>CONDULETE DE ALUMÍNIO, TIPO E, PARA ELETRODUTO DE AÇO GALVANIZADO DN 20 MM (3/4</t>
  </si>
  <si>
    <t>CURVA DE 90 GRAUS AÇO GALVANIZADO DIAM.3/4"</t>
  </si>
  <si>
    <t>Un</t>
  </si>
  <si>
    <t>DISJUNTOR TRIPOLAR DE 60 A 100-A</t>
  </si>
  <si>
    <t>ELETRODUTO PVC FLEXÍVEL - MANGUEIRA CORRUGADA REFORÇADA - DIAM. 40MM</t>
  </si>
  <si>
    <t>ELETRODUTO PVC FLEXÍVEL - MANGUEIRA CORRUGADA REFORÇADA - DIAM. 60MM</t>
  </si>
  <si>
    <t>ELETRODUTO EM AÇO ZINCADO DIÂMETRO 4"</t>
  </si>
  <si>
    <t>INTERRUPTOR SIMPLES (3 MÓDULOS), 10A/250V, INCLUINDO SUPORTE E PLACA - FORNECIMENTO E INSTALAÇÃO. AF_12/2015</t>
  </si>
  <si>
    <t>TOMADA ALTA DE EMBUTIR (1 MÓDULO), 2P+T 20 A, INCLUINDO SUPORTE E PLACA - FORNECIMENTO E INSTALAÇÃO. AF_12/2015</t>
  </si>
  <si>
    <t>TOMADA BAIXA DE EMBUTIR (1 MÓDULO), 2P+T 20 A, INCLUINDO SUPORTE E PLACA - FORNECIMENTO E INSTALAÇÃO. AF_12/2015</t>
  </si>
  <si>
    <t xml:space="preserve"> 036521 </t>
  </si>
  <si>
    <t>LUMINÁRIA TIPO PLAFON DE SOBREPOR QUADRADA PARA 02 LÂMPADAS</t>
  </si>
  <si>
    <t>FITA ISOLANTE, ROLO DE 10,00 M</t>
  </si>
  <si>
    <t>FITA DE AUTO FUSAO, ROLO E 10,00 MM</t>
  </si>
  <si>
    <t>FORRO</t>
  </si>
  <si>
    <t>PINTURA</t>
  </si>
  <si>
    <t>IMPLANTAÇÃO</t>
  </si>
  <si>
    <t>PAISAGISMO</t>
  </si>
  <si>
    <t>h</t>
  </si>
  <si>
    <t>SERVIÇOS FINAIS</t>
  </si>
  <si>
    <t>LIMPEZA FINAL DE OBRA - (OBRAS CIVIS)</t>
  </si>
  <si>
    <t>ADMINISTRAÇÃO LOCAL</t>
  </si>
  <si>
    <t>EQUIPE TÉCNICA</t>
  </si>
  <si>
    <t>Total sem BDI</t>
  </si>
  <si>
    <t>Total do BDI</t>
  </si>
  <si>
    <t>Total Geral</t>
  </si>
  <si>
    <t>Planilha Orçamentária Analítica</t>
  </si>
  <si>
    <t>Insumo</t>
  </si>
  <si>
    <t>Composição</t>
  </si>
  <si>
    <t>Kg</t>
  </si>
  <si>
    <t>FERRAGEM PARA TELHADO</t>
  </si>
  <si>
    <t>PARAFUSO DIAM.3/8" - 10 CM</t>
  </si>
  <si>
    <t xml:space="preserve"> 2691 </t>
  </si>
  <si>
    <t>TRANSPORTE DE ENTULHO C/CACAMBA ESTACIONARIA</t>
  </si>
  <si>
    <t>PORCELANATO 84x84cm RETIFICADO TRAVERTINO POLIDO BEIGE ELIZABETH</t>
  </si>
  <si>
    <t>BUCHA DE NYLON SEM ABA S6, COM PARAFUSO DE 4,20 X 40 MM EM ACO ZINCADO COM ROSCA SOBERBA, CABECA CHATA E FENDA PHILLIPS</t>
  </si>
  <si>
    <t>CONDULETE DE ALUMINIO TIPO B, PARA ELETRODUTO ROSCAVEL DE 3/4", COM TAMPA CEGA</t>
  </si>
  <si>
    <t>CONDULETE DE ALUMINIO TIPO C, PARA ELETRODUTO ROSCAVEL DE 3/4", COM TAMPA CEGA</t>
  </si>
  <si>
    <t>CONDULETE DE ALUMINIO TIPO E, PARA ELETRODUTO ROSCAVEL DE 3/4", COM TAMPA CEGA</t>
  </si>
  <si>
    <t>CONDULETE DE ALUMINIO TIPO LR, PARA ELETRODUTO ROSCAVEL DE 3/4", COM TAMPA CEGA</t>
  </si>
  <si>
    <t>CONDULETE DE ALUMINIO TIPO T, PARA ELETRODUTO ROSCAVEL DE 3/4", COM TAMPA CEGA</t>
  </si>
  <si>
    <t xml:space="preserve"> 3925 </t>
  </si>
  <si>
    <t>ELETRODUTO PVC FLEXÍVEL (MANGUEIRA CORRUGADA REFORÇADA) DIAM. 40MM</t>
  </si>
  <si>
    <t xml:space="preserve"> 3927 </t>
  </si>
  <si>
    <t>ELETRODUTO PVC FLEXÍVEL (MANGUEIRA CORRUGADA REFORÇADA) DIAM. 60MM</t>
  </si>
  <si>
    <t xml:space="preserve"> 3307 </t>
  </si>
  <si>
    <t>ELETRODUTO EM AÇO ZINCADO DIAMETRO 4"</t>
  </si>
  <si>
    <t xml:space="preserve"> 91966 </t>
  </si>
  <si>
    <t>INTERRUPTOR SIMPLES (3 MÓDULOS), 10A/250V, SEM SUPORTE E SEM PLACA - FORNECIMENTO E INSTALAÇÃO. AF_12/2015</t>
  </si>
  <si>
    <t xml:space="preserve"> 91946 </t>
  </si>
  <si>
    <t>SUPORTE PARAFUSADO COM PLACA DE ENCAIXE 4" X 2" MÉDIO (1,30 M DO PISO) PARA PONTO ELÉTRICO - FORNECIMENTO E INSTALAÇÃO. AF_12/2015</t>
  </si>
  <si>
    <t xml:space="preserve"> 91991 </t>
  </si>
  <si>
    <t>TOMADA ALTA DE EMBUTIR (1 MÓDULO), 2P+T 20 A, SEM SUPORTE E SEM PLACA - FORNECIMENTO E INSTALAÇÃO. AF_12/2015</t>
  </si>
  <si>
    <t xml:space="preserve"> 91999 </t>
  </si>
  <si>
    <t>TOMADA BAIXA DE EMBUTIR (1 MÓDULO), 2P+T 20 A, SEM SUPORTE E SEM PLACA - FORNECIMENTO E INSTALAÇÃO. AF_12/2015</t>
  </si>
  <si>
    <t xml:space="preserve"> 3319 </t>
  </si>
  <si>
    <t xml:space="preserve"> 3318 </t>
  </si>
  <si>
    <t>FITA DE AUTO FUSAO, ROLO DE 10,00 M</t>
  </si>
  <si>
    <t>l</t>
  </si>
  <si>
    <t xml:space="preserve"> 2840 </t>
  </si>
  <si>
    <t>AMÔNIA ( D = 0,771 KG/DM3)</t>
  </si>
  <si>
    <t xml:space="preserve"> 1971 </t>
  </si>
  <si>
    <t>SABAO EM PO</t>
  </si>
  <si>
    <t>DESCRIÇÃO</t>
  </si>
  <si>
    <t>%</t>
  </si>
  <si>
    <t xml:space="preserve"> 1.2.1</t>
  </si>
  <si>
    <t>GOINFRA</t>
  </si>
  <si>
    <t>Sem BDI</t>
  </si>
  <si>
    <t>Valor Unit - Material</t>
  </si>
  <si>
    <t>Valor Unit - Mão de Obra</t>
  </si>
  <si>
    <t>Com BDI</t>
  </si>
  <si>
    <t>1.1.1</t>
  </si>
  <si>
    <t>GOINFRA.MOD</t>
  </si>
  <si>
    <t>CIMENTO PORTLAND COMPOSTO CP II-32</t>
  </si>
  <si>
    <t>PLACA DE OBRA PLOTADA EM CHAPA METÁLICA 22 , AFIXADA EM CAVALETES DE MADEIRA DE LEI (VIGOTAS 6X12CM) - PADRÃO GOINFRA</t>
  </si>
  <si>
    <t>PLACA DE OBRA (PARA CONSTRUCAO CIVIL) EM CHAPA GALVANIZADA *N. 22*, ADESIVADA, DE *2,4 X 1,2* M (SEM POSTES PARA FIXACAO)</t>
  </si>
  <si>
    <t>VIGA APARELHADA *6 X 12* CM, EM MACARANDUBA, ANGELIM OU EQUIVALENTE DA REGIAO</t>
  </si>
  <si>
    <t>SARRAFO APARELHADO *2 X 10* CM, EM MACARANDUBA, ANGELIM OU EQUIVALENTE DA REGIAO</t>
  </si>
  <si>
    <t>PARAFUSO ZINCADO ROSCA SOBERBA, CABECA SEXTAVADA, 5/16 " X 110 MM</t>
  </si>
  <si>
    <t>CARPINTEIRO DE FORMAS COM ENCARGOS COMPLEMENTARES</t>
  </si>
  <si>
    <t>AJUDANTE DE CARPINTEIRO COM ENCARGOS COMPLEMENTARES</t>
  </si>
  <si>
    <t xml:space="preserve"> 1.2.2</t>
  </si>
  <si>
    <t xml:space="preserve"> 1.2.3</t>
  </si>
  <si>
    <t>REMOÇÃO DE LUMINÁRIAS, DE FORMA MANUAL</t>
  </si>
  <si>
    <t>SERVENTE COM ENCARGOS COMPLEMENTARES</t>
  </si>
  <si>
    <t>ELETRICISTA COM ENCARGOS COMPLEMENTARES</t>
  </si>
  <si>
    <t>PEDREIRO COM ENCARGOS COMPLEMENTARES</t>
  </si>
  <si>
    <t>REMOÇÃO DE CABOS ELÉTRICOS, DE FORMA MANUAL, SEM REAPROVEITAMENTO</t>
  </si>
  <si>
    <t>1.2.4</t>
  </si>
  <si>
    <t>ENCANADOR OU BOMBEIRO HIDRÁULICO COM ENCARGOS COMPLEMENTARES</t>
  </si>
  <si>
    <t>CREA GO</t>
  </si>
  <si>
    <t>1.1</t>
  </si>
  <si>
    <t>1.2</t>
  </si>
  <si>
    <t>CALCULO DE BDI</t>
  </si>
  <si>
    <t>OBRA</t>
  </si>
  <si>
    <t>ENDEREÇO</t>
  </si>
  <si>
    <t>ESTÁDIO SERRA DOURADA - GOIANIA - GO</t>
  </si>
  <si>
    <t>DATA</t>
  </si>
  <si>
    <t>DETALHAMENTO DA COMPOSIÇÃO DE BDI</t>
  </si>
  <si>
    <t>COMPOSIÇÃO BDI PARA OBRAS CIVIS</t>
  </si>
  <si>
    <t>COEF.</t>
  </si>
  <si>
    <t>TAXA % (a.m)</t>
  </si>
  <si>
    <t>% no preço de venda</t>
  </si>
  <si>
    <t>1) COFINS</t>
  </si>
  <si>
    <t>2) PIS</t>
  </si>
  <si>
    <t>3) ISSQN</t>
  </si>
  <si>
    <t>4) CPRB</t>
  </si>
  <si>
    <t>5) Administração Central</t>
  </si>
  <si>
    <t>6) Despesas Financeiras</t>
  </si>
  <si>
    <t>7) Seguros + Garantias</t>
  </si>
  <si>
    <t>8) Risco</t>
  </si>
  <si>
    <t>9) Lucro</t>
  </si>
  <si>
    <t>BDI - FINAL</t>
  </si>
  <si>
    <t>Não Desonerado: 
Horista:  115,42%
Mensalista:  72,81%</t>
  </si>
  <si>
    <t>2.1</t>
  </si>
  <si>
    <t>2.1.1</t>
  </si>
  <si>
    <t>2.1.2</t>
  </si>
  <si>
    <t>2.2</t>
  </si>
  <si>
    <t>2.2.1</t>
  </si>
  <si>
    <t>2.2.2</t>
  </si>
  <si>
    <t>ALVENARIA DE VEDAÇÃO DE BLOCOS CERÂMICOS MACIÇOS DE 5X10X20CM (ESPESSURA 10CM) E ARGAMASSA DE ASSENTAMENTO COM PREPARO EM BETONEIRA</t>
  </si>
  <si>
    <t>7258</t>
  </si>
  <si>
    <t>87292</t>
  </si>
  <si>
    <t>88309</t>
  </si>
  <si>
    <t>88316</t>
  </si>
  <si>
    <t>TIJOLO CERAMICO MACICO COMUM *5 X 10 X 20* CM (L X A X C)</t>
  </si>
  <si>
    <t>ARGAMASSA TRAÇO 1:2:8 (EM VOLUME DE CIMENTO, CAL E AREIA MÉDIA ÚMIDA) PARA EMBOÇO/MASSA ÚNICA/ASSENTAMENTO DE ALVENARIA DE VEDAÇÃO, PREPARO MECÂNICO COM BETONEIRA 400 L. AF_08/2019</t>
  </si>
  <si>
    <t>MASSA ÚNICA, PARA RECEBIMENTO DE PINTURA, EM ARGAMASSA TRAÇO 1:2:8, PREPARO MECÂNICO COM BETONEIRA 400L, APLICADA MANUALMENTE EM FACES INTERNAS DE PAREDES, ESPESSURA DE 20MM, COM EXECUÇÃO DE TALISCAS. AF_06/2014</t>
  </si>
  <si>
    <t>PAINEL/FECHAMENTOS</t>
  </si>
  <si>
    <t>39419</t>
  </si>
  <si>
    <t>PERFIL GUIA, FORMATO U, EM ACO ZINCADO, PARA ESTRUTURA PAREDE DRYWALL, E = 0,5 MM, 70 X 3000 MM (L X C)</t>
  </si>
  <si>
    <t>39422</t>
  </si>
  <si>
    <t>PERFIL MONTANTE, FORMATO C, EM ACO ZINCADO, PARA ESTRUTURA PAREDE DRYWALL, E = 0,5 MM, 70 X 3000 MM (L X C)</t>
  </si>
  <si>
    <t>37586</t>
  </si>
  <si>
    <t>PINO DE ACO COM ARRUELA CONICA, DIAMETRO ARRUELA = *23* MM E COMP HASTE = *27* MM (ACAO INDIRETA)</t>
  </si>
  <si>
    <t>88278</t>
  </si>
  <si>
    <t>39435</t>
  </si>
  <si>
    <t>39437</t>
  </si>
  <si>
    <t>39443</t>
  </si>
  <si>
    <t>PARAFUSO DRY WALL, EM ACO FOSFATIZADO, CABECA TROMBETA E PONTA AGULHA (TA), COMPRIMENTO 25 MM</t>
  </si>
  <si>
    <t>PARAFUSO DRY WALL, EM ACO FOSFATIZADO, CABECA TROMBETA E PONTA AGULHA (TA), COMPRIMENTO 45 MM</t>
  </si>
  <si>
    <t>PARAFUSO DRY WALL, EM ACO ZINCADO, CABECA LENTILHA E PONTA BROCA (LB), LARGURA 4,2 MM, COMPRIMENTO 13 MM</t>
  </si>
  <si>
    <t>MONTADOR DE ESTRUTURA METÁLICA COM ENCARGOS COMPLEMENTARES</t>
  </si>
  <si>
    <t>SINAPI.MOD</t>
  </si>
  <si>
    <t>3.2.2</t>
  </si>
  <si>
    <t>SBC.MOD</t>
  </si>
  <si>
    <t>cento</t>
  </si>
  <si>
    <t>PREGO DE ACO POLIDO COM CABECA 17 X 21 (2 X 11)</t>
  </si>
  <si>
    <t>SARRAFO NAO APARELHADO *2,5 X 10* CM, EM MACARANDUBA, ANGELIM OU EQUIVALENTE DA REGIAO - BRUTA</t>
  </si>
  <si>
    <t>kg</t>
  </si>
  <si>
    <t>PARQUET MADEIRA DE LEI MACHO/FEMEA 2 x 10cm</t>
  </si>
  <si>
    <t>CARPINTEIRO DE ESQUADRIA COM ENCARGOS COMPLEMENTARES</t>
  </si>
  <si>
    <t>2.2.3</t>
  </si>
  <si>
    <t>PAINEL RIPADO DE BAMBU OU CUMARU</t>
  </si>
  <si>
    <t>39961</t>
  </si>
  <si>
    <t>SILICONE ACETICO USO GERAL INCOLOR 280 G</t>
  </si>
  <si>
    <t>ESQUADRIA COM VIDRO TEMPERADO 10MM</t>
  </si>
  <si>
    <t>3.1</t>
  </si>
  <si>
    <t>3.1.1</t>
  </si>
  <si>
    <t>ATERRO MANUAL DE VALAS COM AREIA PARA ATERRO E COMPACTAÇÃO MECANIZADA. AF_05/2016</t>
  </si>
  <si>
    <t>5901</t>
  </si>
  <si>
    <t>5903</t>
  </si>
  <si>
    <t>91533</t>
  </si>
  <si>
    <t>91534</t>
  </si>
  <si>
    <t>AREIA PARA ATERRO - POSTO JAZIDA/FORNECEDOR (RETIRADO NA JAZIDA, SEM TRANSPORTE)</t>
  </si>
  <si>
    <t>CAMINHÃO PIPA 10.000 L TRUCADO, PESO BRUTO TOTAL 23.000 KG, CARGA ÚTIL MÁXIMA 15.935 KG, DISTÂNCIA ENTRE EIXOS 4,8 M, POTÊNCIA 230 CV, INCLUSIVE TANQUE DE AÇO PARA TRANSPORTE DE ÁGUA - CHP DIURNO. AF_06/2014</t>
  </si>
  <si>
    <t>CAMINHÃO PIPA 10.000 L TRUCADO, PESO BRUTO TOTAL 23.000 KG, CARGA ÚTIL MÁXIMA 15.935 KG, DISTÂNCIA ENTRE EIXOS 4,8 M, POTÊNCIA 230 CV, INCLUSIVE TANQUE DE AÇO PARA TRANSPORTE DE ÁGUA - CHI DIURNO. AF_06/2014</t>
  </si>
  <si>
    <t>COMPACTADOR DE SOLOS DE PERCUSSÃO (SOQUETE) COM MOTOR A GASOLINA 4 TEMPOS, POTÊNCIA 4 CV - CHP DIURNO. AF_08/2015</t>
  </si>
  <si>
    <t>COMPACTADOR DE SOLOS DE PERCUSSÃO (SOQUETE) COM MOTOR A GASOLINA 4 TEMPOS, POTÊNCIA 4 CV - CHI DIURNO. AF_08/2015</t>
  </si>
  <si>
    <t>chp</t>
  </si>
  <si>
    <t>chi</t>
  </si>
  <si>
    <t>LASTRO COM MATERIAL GRANULAR, APLICADO EM PISOS OU LAJES SOBRE SOLO, ESPESSURA DE *5 CM*. AF_08/2017</t>
  </si>
  <si>
    <t>4718</t>
  </si>
  <si>
    <t>91277</t>
  </si>
  <si>
    <t>91278</t>
  </si>
  <si>
    <t>PEDRA BRITADA N. 2 (19 A 38 MM) POSTO PEDREIRA/FORNECEDOR, SEM FRETE</t>
  </si>
  <si>
    <t>PLACA VIBRATÓRIA REVERSÍVEL COM MOTOR 4 TEMPOS A GASOLINA, FORÇA CENTRÍFUGA DE 25 KN (2500 KGF), POTÊNCIA 5,5 CV - CHP DIURNO. AF_08/2015</t>
  </si>
  <si>
    <t>PLACA VIBRATÓRIA REVERSÍVEL COM MOTOR 4 TEMPOS A GASOLINA, FORÇA CENTRÍFUGA DE 25 KN (2500 KGF), POTÊNCIA 5,5 CV - CHI DIURNO. AF_08/2015</t>
  </si>
  <si>
    <t>3.1.2</t>
  </si>
  <si>
    <t>EXECUÇÃO DE PASSEIO (CALÇADA) OU PISO DE CONCRETO COM CONCRETO MOLDADO IN LOCO, FEITO EM OBRA, ACABAMENTO CONVENCIONAL, NÃO ARMADO</t>
  </si>
  <si>
    <t>4460</t>
  </si>
  <si>
    <t>4517</t>
  </si>
  <si>
    <t>88262</t>
  </si>
  <si>
    <t>94964</t>
  </si>
  <si>
    <t>SARRAFO NAO APARELHADO *2,5 X 10* CM, EM MACARANDUBA, ANGELIM OU EQUIVALENTE DA REGIAO -  BRUTA</t>
  </si>
  <si>
    <t>SARRAFO *2,5 X 7,5* CM EM PINUS, MISTA OU EQUIVALENTE DA REGIAO - BRUTA</t>
  </si>
  <si>
    <t>CONCRETO FCK = 20MPA, TRAÇO 1:2,7:3 (EM MASSA SECA DE CIMENTO/ AREIA MÉDIA/ BRITA 1) - PREPARO MECÂNICO COM BETONEIRA 400 L. AF_05/2021</t>
  </si>
  <si>
    <t>87298</t>
  </si>
  <si>
    <t>PEDRA QUARTZITO OU CALCARIO LAMINADO, SERRADA, TIPO CARIRI, ITACOLOMI, LAGOA SANTA, LUMINARIA, PIRENOPOLIS, SAO TOME OU OUTRAS SIMILARES DA REGIAO, *20 X *40 CM, E=  *1,5 A *2,5 CM</t>
  </si>
  <si>
    <t>ARGAMASSA TRAÇO 1:3 (EM VOLUME DE CIMENTO E AREIA MÉDIA ÚMIDA) PARA CONTRAPISO, PREPARO MECÂNICO COM BETONEIRA 400 L. AF_08/2019</t>
  </si>
  <si>
    <t>REJUNTE CIMENTICIO, QUALQUER COR</t>
  </si>
  <si>
    <t>ARGAMASSA COLANTE TIPO AC III</t>
  </si>
  <si>
    <t>AZULEJISTA OU LADRILHISTA COM ENCARGOS COMPLEMENTARES</t>
  </si>
  <si>
    <t>34357</t>
  </si>
  <si>
    <t>37595</t>
  </si>
  <si>
    <t>88256</t>
  </si>
  <si>
    <t>PORCELANATO POLIDO BEGE 80X80CM</t>
  </si>
  <si>
    <t>CALÇADAS E CONTRAPISOS</t>
  </si>
  <si>
    <t>CONTRAPISO EM ARGAMASSA TRAÇO 1:4 (CIMENTO E AREIA), PREPARO MANUAL, ESP. 3CM</t>
  </si>
  <si>
    <t>1379</t>
  </si>
  <si>
    <t>7334</t>
  </si>
  <si>
    <t>87373</t>
  </si>
  <si>
    <t>ADITIVO ADESIVO LIQUIDO PARA ARGAMASSAS DE REVESTIMENTOS CIMENTICIOS</t>
  </si>
  <si>
    <t>ARGAMASSA TRAÇO 1:4 (EM VOLUME DE CIMENTO E AREIA MÉDIA ÚMIDA) PARA CONTRAPISO, PREPARO MANUAL. AF_08/2019</t>
  </si>
  <si>
    <t>3.2</t>
  </si>
  <si>
    <t>3.2.1</t>
  </si>
  <si>
    <t>3.3</t>
  </si>
  <si>
    <t>3.3.1</t>
  </si>
  <si>
    <t>3.4</t>
  </si>
  <si>
    <t>3.4.1</t>
  </si>
  <si>
    <t>3.4.2</t>
  </si>
  <si>
    <t>2.1.3</t>
  </si>
  <si>
    <t>CHAPISCO APLICADO EM ALVENARIAS E ESTRUTURAS DE CONCRETO INTERNAS, COM COLHER DE PEDREIRO.  ARGAMASSA TRAÇO 1:3 COM PREPARO MANUAL. AF_06/2014</t>
  </si>
  <si>
    <t>ARGAMASSA TRAÇO 1:3 (EM VOLUME DE CIMENTO E AREIA GROSSA ÚMIDA) PARA CHAPISCO CONVENCIONAL, PREPARO MANUAL. AF_08/2019</t>
  </si>
  <si>
    <t>PAREDE COM PLACAS DE GESSO ACARTONADO (DRYWALL) E PLACA CIMENTICIA, PARA USO INTERNO  E ESTRUTURA METÁLICA COM GUIAS DUPLAS, SEM VÃOS</t>
  </si>
  <si>
    <t>39413</t>
  </si>
  <si>
    <t>39431</t>
  </si>
  <si>
    <t>39432</t>
  </si>
  <si>
    <t>39434</t>
  </si>
  <si>
    <t>PLACA / CHAPA DE GESSO ACARTONADO, STANDARD (ST), COR BRANCA, E = 12,5 MM, 1200 X 2400 MM (L X C)</t>
  </si>
  <si>
    <t>FITA DE PAPEL MICROPERFURADO, 50 X 150 MM, PARA TRATAMENTO DE JUNTAS DE CHAPA DE GESSO PARA DRYWALL</t>
  </si>
  <si>
    <t>FITA DE PAPEL REFORCADA COM LAMINA DE METAL PARA REFORCO DE CANTOS DE CHAPA DE GESSO PARA DRYWALL</t>
  </si>
  <si>
    <t>MASSA DE REJUNTE EM PO PARA DRYWALL, A BASE DE GESSO, SECAGEM RAPIDA, PARA TRATAMENTO DE JUNTAS DE CHAPA DE GESSO (NECESSITA ADICAO DE AGUA)</t>
  </si>
  <si>
    <t>PLACA CIMENTICIA LISA E = 10 MM, DE 1,20 X *2,50* M (SEM AMIANTO)</t>
  </si>
  <si>
    <t>VIDRO TEMPERADO INCOLOR E = 10 MM, SEM COLOCACAO</t>
  </si>
  <si>
    <t>PERFIL DE ALUMINIO ANODIZADO</t>
  </si>
  <si>
    <t>VIDRACEIRO COM ENCARGOS COMPLEMENTARES</t>
  </si>
  <si>
    <t>SERRA CIRCULAR DE BANCADA COM MOTOR ELÉTRICO POTÊNCIA DE 5HP, COM COIFA PARA DISCO 10" - CHP DIURNO. AF_08/2015</t>
  </si>
  <si>
    <t>SERRA CIRCULAR DE BANCADA COM MOTOR ELÉTRICO POTÊNCIA DE 5HP, COM COIFA PARA DISCO 10" - CHI DIURNO. AF_08/2015</t>
  </si>
  <si>
    <t>10507</t>
  </si>
  <si>
    <t>11950</t>
  </si>
  <si>
    <t>34360</t>
  </si>
  <si>
    <t>88325</t>
  </si>
  <si>
    <t>91692</t>
  </si>
  <si>
    <t>91693</t>
  </si>
  <si>
    <t>4.1</t>
  </si>
  <si>
    <t>4.1.1</t>
  </si>
  <si>
    <t xml:space="preserve"> 1.2.6</t>
  </si>
  <si>
    <t>1.2.5</t>
  </si>
  <si>
    <t>REMOÇÃO DE INTERRUPTORES/TOMADAS ELÉTRICAS, DE FORMA MANUAL, SEM REAPROVEITAMENTO. AF_12/2017</t>
  </si>
  <si>
    <t>5.1</t>
  </si>
  <si>
    <t>CABO DE COBRE FLEXÍVEL ISOLADO, 2,5 MM², ANTI-CHAMA 450/750 V, PARA CIRCUITOS TERMINAIS - FORNECIMENTO E INSTALAÇÃO. AF_12/2015</t>
  </si>
  <si>
    <t>1014</t>
  </si>
  <si>
    <t>21127</t>
  </si>
  <si>
    <t>88247</t>
  </si>
  <si>
    <t>88264</t>
  </si>
  <si>
    <t>CABO DE COBRE, FLEXIVEL, CLASSE 4 OU 5, ISOLACAO EM PVC/A, ANTICHAMA BWF-B, 1 CONDUTOR, 450/750 V, SECAO NOMINAL 2,5 MM2</t>
  </si>
  <si>
    <t>FITA ISOLANTE ADESIVA ANTICHAMA, USO ATE 750 V, EM ROLO DE 19 MM X 5 M</t>
  </si>
  <si>
    <t>AUXILIAR DE ELETRICISTA COM ENCARGOS COMPLEMENTARES</t>
  </si>
  <si>
    <t>5.1.1</t>
  </si>
  <si>
    <t>5.1.2</t>
  </si>
  <si>
    <t>CABO DE COBRE FLEXÍVEL ISOLADO, 6 MM², ANTI-CHAMA 450/750 V, PARA CIRCUITOS TERMINAIS - FORNECIMENTO E INSTALAÇÃO. AF_12/2015</t>
  </si>
  <si>
    <t>982</t>
  </si>
  <si>
    <t>CABO DE COBRE, FLEXIVEL, CLASSE 4 OU 5, ISOLACAO EM PVC/A, ANTICHAMA BWF-B, 1 CONDUTOR, 450/750 V, SECAO NOMINAL 6 MM2</t>
  </si>
  <si>
    <t>5.1.3</t>
  </si>
  <si>
    <t>CABO DE COBRE FLEXÍVEL ISOLADO, 16 MM², ANTI-CHAMA 0,6/1,0 KV, PARA DISTRIBUIÇÃO - FORNECIMENTO E INSTALAÇÃO. AF_12/2015</t>
  </si>
  <si>
    <t>CABO DE COBRE, FLEXIVEL, CLASSE 4 OU 5, ISOLACAO EM PVC/A, ANTICHAMA BWF-B, COBERTURA PVC-ST1, ANTICHAMA BWF-B, 1 CONDUTOR, 0,6/1 KV, SECAO NOMINAL 16 MM2</t>
  </si>
  <si>
    <t>CABO DE COBRE, FLEXIVEL, CLASSE 4 OU 5, ISOLACAO EM PVC/A, ANTICHAMA BWF-B, COBERTURA PVC-ST1, ANTICHAMA BWF-B, 1 CONDUTOR, 0,6/1 KV, SECAO NOMINAL 25 MM2</t>
  </si>
  <si>
    <t>CABO DE COBRE FLEXÍVEL ISOLADO, 25 MM², ANTI-CHAMA 0,6/1,0 KV, PARA DISTRIBUIÇÃO - FORNECIMENTO E INSTALAÇÃO. AF_12/2015</t>
  </si>
  <si>
    <t>CONDULETE DE ALUMÍNIO, TIPO B, PARA ELETRODUTO DE AÇO GALVANIZADO DN 20 MM (3/4''), APARENTE - FORNECIMENTO E INSTALAÇÃO. AF_11/2016_P</t>
  </si>
  <si>
    <t>14053</t>
  </si>
  <si>
    <t>5.1.4</t>
  </si>
  <si>
    <t>5.1.5</t>
  </si>
  <si>
    <t>5.1.6</t>
  </si>
  <si>
    <t>CONDULETE DE ALUMÍNIO, TIPO C, PARA ELETRODUTO DE AÇO GALVANIZADO DN 20 MM (3/4''), APARENTE - FORNECIMENTO E INSTALAÇÃO. AF_11/2016_P</t>
  </si>
  <si>
    <t>2559</t>
  </si>
  <si>
    <t>5.1.7</t>
  </si>
  <si>
    <t>2565</t>
  </si>
  <si>
    <t>CONDULETE DE ALUMÍNIO, TIPO LR, PARA ELETRODUTO DE AÇO GALVANIZADO DN 20 MM (3/4''), APARENTE - FORNECIMENTO E INSTALAÇÃO. AF_11/2016_P</t>
  </si>
  <si>
    <t>5.1.8</t>
  </si>
  <si>
    <t>5.1.9</t>
  </si>
  <si>
    <t>CONDULETE DE ALUMÍNIO, TIPO T, PARA ELETRODUTO DE AÇO GALVANIZADO DN 20 MM (3/4''), APARENTE - FORNECIMENTO E INSTALAÇÃO. AF_11/2016_P</t>
  </si>
  <si>
    <t>2574</t>
  </si>
  <si>
    <t xml:space="preserve"> 5.1.10 </t>
  </si>
  <si>
    <t>CURVA 90 GRAUS, PARA ELETRODUTO, EM ACO GALVANIZADO ELETROLITICO, DIAMETRO DE 20 MM (3/4")</t>
  </si>
  <si>
    <t>DISJUNTOR TRIPOLAR TIPO DIN, CORRENTE NOMINAL DE 16A - FORNECIMENTO E INSTALAÇÃO. AF_10/2020</t>
  </si>
  <si>
    <t>1570</t>
  </si>
  <si>
    <t>34709</t>
  </si>
  <si>
    <t>TERMINAL A COMPRESSAO EM COBRE ESTANHADO PARA CABO 2,5 MM2, 1 FURO E 1 COMPRESSAO, PARA PARAFUSO DE FIXACAO M5</t>
  </si>
  <si>
    <t>DISJUNTOR TIPO DIN/IEC, TRIPOLAR DE 10 ATE 50A</t>
  </si>
  <si>
    <t>5.1.12</t>
  </si>
  <si>
    <t>5.1.13</t>
  </si>
  <si>
    <t>ELETRODUTO FLEXÍVEL CORRUGADO, PVC, DN 25 MM (3/4"), PARA CIRCUITOS TERMINAIS, INSTALADO EM FORRO - FORNECIMENTO E INSTALAÇÃO. AF_12/2015</t>
  </si>
  <si>
    <t>2688</t>
  </si>
  <si>
    <t>91170</t>
  </si>
  <si>
    <t>ELETRODUTO PVC FLEXIVEL CORRUGADO, COR AMARELA, DE 25 MM</t>
  </si>
  <si>
    <t>FIXAÇÃO DE TUBOS HORIZONTAIS DE PVC, CPVC OU COBRE DIÂMETROS MENORES OU IGUAIS A 40 MM OU ELETROCALHAS ATÉ 150MM DE LARGURA, COM ABRAÇADEIRA METÁLICA RÍGIDA TIPO D 1/2, FIXADA EM PERFILADO EM LAJE. AF_05/2015</t>
  </si>
  <si>
    <t>ELETRODUTO DE AÇO GALVANIZADO, CLASSE LEVE, DN 20 MM (3/4), APARENTE, INSTALADO EM TETO - FORNECIMENTO E INSTALAÇÃO. AF_11/2016_P</t>
  </si>
  <si>
    <t>21128</t>
  </si>
  <si>
    <t>95753</t>
  </si>
  <si>
    <t>!EM PROCESSO DESATIVACAO! ELETRODUTO EM ACO GALVANIZADO ELETROLITICO, LEVE, DIAMETRO 3/4", PAREDE DE 0,90 MM</t>
  </si>
  <si>
    <t>LUVA DE EMENDA PARA ELETRODUTO, AÇO GALVANIZADO, DN 20 MM (3/4  ), APARENTE, INSTALADA EM TETO - FORNECIMENTO E INSTALAÇÃO. AF_11/2016_P</t>
  </si>
  <si>
    <t>5.1.14</t>
  </si>
  <si>
    <t>5.1.15</t>
  </si>
  <si>
    <t>5.1.16</t>
  </si>
  <si>
    <t>5.1.17</t>
  </si>
  <si>
    <t>5.1.18</t>
  </si>
  <si>
    <t>5.1.19</t>
  </si>
  <si>
    <t>5.1.20</t>
  </si>
  <si>
    <t xml:space="preserve"> 5.1.11 </t>
  </si>
  <si>
    <t>LUVA DE EMENDA PARA ELETRODUTO, AÇO GALVANIZADO, DN 20 MM (3/4''), APARENTE, INSTALADA EM PAREDE - FORNECIMENTO E INSTALAÇÃO. AF_11/2016_P</t>
  </si>
  <si>
    <t>2637</t>
  </si>
  <si>
    <t>LUVA PARA ELETRODUTO, EM ACO GALVANIZADO ELETROLITICO, DIAMETRO DE 20 MM (3/4")</t>
  </si>
  <si>
    <t>5.1.21</t>
  </si>
  <si>
    <t>ARANDELA 2 FACHOS SLIM BRANCA + LED G9 5W 3000K EXT/INTERNA</t>
  </si>
  <si>
    <t>5.1.22</t>
  </si>
  <si>
    <t>5.1.23</t>
  </si>
  <si>
    <t>LUMINÁRIA DE EMERGÊNCIA, COM 30 LÂMPADAS LED DE 2 W, SEM REATOR - FORNECIMENTO E INSTALAÇÃO. AF_02/2020</t>
  </si>
  <si>
    <t>38774</t>
  </si>
  <si>
    <t>LUMINARIA DE EMERGENCIA 30 LEDS, POTENCIA 2 W, BATERIA DE LITIO, AUTONOMIA DE 6 HORAS</t>
  </si>
  <si>
    <t>FITA DE LED PARA AMBIENTE INTERNO BRANCO NEUTRO (4000K - 6W/M)</t>
  </si>
  <si>
    <t>5.1.24</t>
  </si>
  <si>
    <t>5.1.25</t>
  </si>
  <si>
    <t>5.1.26</t>
  </si>
  <si>
    <t>FITA DE LED PARA AMBIENTE INTERNO BRANCO QUENTE (3000K - 5W/M)</t>
  </si>
  <si>
    <t>5.1.27</t>
  </si>
  <si>
    <t>5.1.28</t>
  </si>
  <si>
    <t>PAREDE COM PLACAS DE GESSO ACARTONADO (DRYWALL), PARA USO INTERNO, COM DUAS FACES SIMPLES E ESTRUTURA METÁLICA COM GUIAS DUPLAS, SEM VÃOS. AF_06/2017_P</t>
  </si>
  <si>
    <t>FORRO DE MADEIRA ANGELIM</t>
  </si>
  <si>
    <t>ORSE.MOD</t>
  </si>
  <si>
    <t>ORSE</t>
  </si>
  <si>
    <t>FORRO RIPADO DE BAMBU OU LAMBRI DE MADEIRA CUMARU</t>
  </si>
  <si>
    <t>6.1</t>
  </si>
  <si>
    <t>PREGO DE ACO POLIDO COM CABECA 16 X 24 (2 1/4 X 12)</t>
  </si>
  <si>
    <t>7.1</t>
  </si>
  <si>
    <t>SUPERFÍCIES EM CONCRETO</t>
  </si>
  <si>
    <t>APLICAÇÃO E LIXAMENTO DE MASSA LÁTEX, UMA DEMÃO</t>
  </si>
  <si>
    <t>APLICAÇÃO MANUAL DE TINTA LÁTEX ACRÍLICA, 2 DEMÃOS</t>
  </si>
  <si>
    <t>PAREDES E TETOS</t>
  </si>
  <si>
    <t>7.1.1</t>
  </si>
  <si>
    <t>7.1.2</t>
  </si>
  <si>
    <t>7.2</t>
  </si>
  <si>
    <t>7.2.1</t>
  </si>
  <si>
    <t>REMOÇÃO DE PINTURA LATEX</t>
  </si>
  <si>
    <t>TRATAMENTO DE CONCRETO APARENTE</t>
  </si>
  <si>
    <t>7.2.2</t>
  </si>
  <si>
    <t>88310</t>
  </si>
  <si>
    <t>LIXA EM FOLHA PARA PAREDE OU MADEIRA, NUMERO 120, COR VERMELHA</t>
  </si>
  <si>
    <t>MASSA CORRIDA PARA SUPERFICIES DE AMBIENTES INTERNOS</t>
  </si>
  <si>
    <t>PINTOR COM ENCARGOS COMPLEMENTARES</t>
  </si>
  <si>
    <t>7356</t>
  </si>
  <si>
    <t>TINTA LATEX ACRILICA PREMIUM, COR BRANCO FOSCO</t>
  </si>
  <si>
    <t>DILUENTE AGUARRAS</t>
  </si>
  <si>
    <t xml:space="preserve">VERNIZ MARITIMO PREMIUM </t>
  </si>
  <si>
    <t>8.1</t>
  </si>
  <si>
    <t>8.1.1</t>
  </si>
  <si>
    <t>8.1.2</t>
  </si>
  <si>
    <t>DIVERSOS</t>
  </si>
  <si>
    <t>INSTALAÇÃO DE PERGOLADO DE MADEIRA, EM MAÇARANDUBA, ANGELIM OU EQUIVALENTE DA REGIÃO, FIXADO COM CONCRETO SOBRE SOLO. AF_11/2021</t>
  </si>
  <si>
    <t>PEDRA BRITADA N. 1 (9,5 a 19 MM) POSTO PEDREIRA/FORNECEDOR, SEM FRETE</t>
  </si>
  <si>
    <t>PRANCHAO APARELHADO *7,5 X 23* CM, EM MACARANDUBA, ANGELIM OU EQUIVALENTE DA REGIAO</t>
  </si>
  <si>
    <t>VIGA APARELHADA *6 X 16* CM, EM MACARANDUBA, ANGELIM OU EQUIVALENTE DA REGIAO</t>
  </si>
  <si>
    <t>PILAR QUADRADO NAO APARELHADO *15 X 15* CM, EM MACARANDUBA, ANGELIM OU EQUIVALENTE DA REGIAO - BRUTA</t>
  </si>
  <si>
    <t>PREGO DE ACO POLIDO COM CABECA 19  X 36 (3 1/4  X  9)</t>
  </si>
  <si>
    <t>CONCRETO FCK = 15MPA, TRAÇO 1:3,4:3,4 (EM MASSA SECA DE CIMENTO/ AREIA MÉDIA/ SEIXO ROLADO) - PREPARO MANUAL. AF_05/2021</t>
  </si>
  <si>
    <t>4721</t>
  </si>
  <si>
    <t>20204</t>
  </si>
  <si>
    <t>20211</t>
  </si>
  <si>
    <t>35275</t>
  </si>
  <si>
    <t>39027</t>
  </si>
  <si>
    <t>88239</t>
  </si>
  <si>
    <t>102486</t>
  </si>
  <si>
    <t>8.2</t>
  </si>
  <si>
    <t>8.2.1</t>
  </si>
  <si>
    <t>9.1</t>
  </si>
  <si>
    <t>ACIDO CLORIDRICO / ACIDO MURIATICO, DILUICAO 10% A 12% PARA USO EM LIMPEZA</t>
  </si>
  <si>
    <t>PLACA DE INAUGURACAO METALICA, *40* CM X *60* CM</t>
  </si>
  <si>
    <t>9.2</t>
  </si>
  <si>
    <t>10.1</t>
  </si>
  <si>
    <t>10.1.1</t>
  </si>
  <si>
    <t>ENGENHEIRO CIVIL DE OBRA JUNIOR COM ENCARGOS COMPLEMENTARES</t>
  </si>
  <si>
    <t>ENCARREGADO GERAL COM ENCARGOS COMPLEMENTARES</t>
  </si>
  <si>
    <t>10.1.2</t>
  </si>
  <si>
    <t>PAINEL DE JARDIM VERTICAL</t>
  </si>
  <si>
    <t>COT01</t>
  </si>
  <si>
    <t>Serviço</t>
  </si>
  <si>
    <t>MERCADO</t>
  </si>
  <si>
    <t>COD.002</t>
  </si>
  <si>
    <t>PLANTIO DE FORRAÇÃO</t>
  </si>
  <si>
    <t>360</t>
  </si>
  <si>
    <t>88441</t>
  </si>
  <si>
    <t>MUDA DE RASTEIRA/FORRACAO, AMENDOIM RASTEIRO/ONZE HORAS/AZULZINHA/IMPATIENS OU EQUIVALENTE DA REGIAO</t>
  </si>
  <si>
    <t>JARDINEIRO COM ENCARGOS COMPLEMENTARES</t>
  </si>
  <si>
    <t>8.1.3</t>
  </si>
  <si>
    <t>ENCHIMENTO DE SEIXO ROLADO</t>
  </si>
  <si>
    <t>1,1000000</t>
  </si>
  <si>
    <t>0,3711000</t>
  </si>
  <si>
    <t>1,1134000</t>
  </si>
  <si>
    <t>24,07</t>
  </si>
  <si>
    <t>SEIXO ROLADO</t>
  </si>
  <si>
    <t>8.2.2</t>
  </si>
  <si>
    <t>COD.003</t>
  </si>
  <si>
    <t>COT02</t>
  </si>
  <si>
    <t>AR CONDICIONADO SPLIT ON/OFF, PISO TETO, 60.000 BTU/H, CICLO FRIO - FORNECIMENTO E INSTALAÇÃO. AF_11/2021</t>
  </si>
  <si>
    <t>4374</t>
  </si>
  <si>
    <t>13246</t>
  </si>
  <si>
    <t>13294</t>
  </si>
  <si>
    <t>13348</t>
  </si>
  <si>
    <t>43189</t>
  </si>
  <si>
    <t>88243</t>
  </si>
  <si>
    <t>93287</t>
  </si>
  <si>
    <t>93288</t>
  </si>
  <si>
    <t>100308</t>
  </si>
  <si>
    <t>BUCHA DE NYLON SEM ABA S10</t>
  </si>
  <si>
    <t>PARAFUSO DE FERRO POLIDO, SEXTAVADO, COM ROSCA INTEIRA, DIAMETRO 5/16", COMPRIMENTO 3/4", COM PORCA E ARRUELA LISA LEVE</t>
  </si>
  <si>
    <t>PARAFUSO ZINCADO, SEXTAVADO, COM ROSCA SOBERBA, DIAMETRO 3/8", COMPRIMENTO 80 MM</t>
  </si>
  <si>
    <t>ARRUELA  EM ACO GALVANIZADO, DIAMETRO EXTERNO = 35MM, ESPESSURA = 3MM, DIAMETRO DO FURO= 18MM</t>
  </si>
  <si>
    <t>AR CONDICIONADO SPLIT ON/OFF, PISO TETO, 60.000 BTU/H, CICLO FRIO, 60HZ, CLASSIFICACAO ENERGETICA C - SELO PROCEL, GAS HFC, CONTROLE S/FIO</t>
  </si>
  <si>
    <t>AJUDANTE ESPECIALIZADO COM ENCARGOS COMPLEMENTARES</t>
  </si>
  <si>
    <t>GUINDASTE HIDRÁULICO AUTOPROPELIDO, COM LANÇA TELESCÓPICA 40 M, CAPACIDADE MÁXIMA 60 T, POTÊNCIA 260 KW - CHP DIURNO. AF_03/2016</t>
  </si>
  <si>
    <t>GUINDASTE HIDRÁULICO AUTOPROPELIDO, COM LANÇA TELESCÓPICA 40 M, CAPACIDADE MÁXIMA 60 T, POTÊNCIA 260 KW - CHI DIURNO. AF_03/2016</t>
  </si>
  <si>
    <t>MECÂNICO DE REFRIGERAÇÃO COM ENCARGOS COMPLEMENTARES</t>
  </si>
  <si>
    <t>8.2.3</t>
  </si>
  <si>
    <t>COTAÇÃO - PREÇO DE MERCADO</t>
  </si>
  <si>
    <t>Orçamento:</t>
  </si>
  <si>
    <t>FONTE</t>
  </si>
  <si>
    <t>CÓDIGO</t>
  </si>
  <si>
    <t>UNIDADE</t>
  </si>
  <si>
    <t>MEDIA</t>
  </si>
  <si>
    <t>INDICE DE RETROAÇÃO</t>
  </si>
  <si>
    <t>COTAÇÃO.</t>
  </si>
  <si>
    <t>COTAÇÃO 01</t>
  </si>
  <si>
    <t>M²</t>
  </si>
  <si>
    <t xml:space="preserve">EMPRESA </t>
  </si>
  <si>
    <t>NOME EMPRESA</t>
  </si>
  <si>
    <t>COTAÇÃO</t>
  </si>
  <si>
    <t>DATA COTAÇÃO</t>
  </si>
  <si>
    <t>EMPRESA  01</t>
  </si>
  <si>
    <t>EMPRESA  02</t>
  </si>
  <si>
    <t>EMPRESA  03</t>
  </si>
  <si>
    <t>COTAÇÃO 02</t>
  </si>
  <si>
    <t xml:space="preserve">UN </t>
  </si>
  <si>
    <t>EMPRESA  04</t>
  </si>
  <si>
    <t>PAINEL DE JARDIM VERTICAL ARTIFICIAL, INSTALADO</t>
  </si>
  <si>
    <t>JARDINS VERTICAIS ANA ROCHA, CNPJ: 34.616.116/0001-71, CONTATO: (62)98456-2427</t>
  </si>
  <si>
    <t>27/01/2022</t>
  </si>
  <si>
    <t>CASA E COISAS, CNPJ: 23.009.158/0001-28, CONTATO: EMILIA(62) 99850-7858</t>
  </si>
  <si>
    <t>31/01/2022</t>
  </si>
  <si>
    <t>26/01/2022</t>
  </si>
  <si>
    <t>REVESTIC, CNPJ: 23.743.473/0001-84, CONTATO: HIURY (62) 3241-7019</t>
  </si>
  <si>
    <t>01/02/2022</t>
  </si>
  <si>
    <t>PAINEL DE JARDIM VERTICAL, INSTALADO</t>
  </si>
  <si>
    <t>UBÁ, CNPJ: 09.124.683/0001-63, CONTATO: THEODORO (62) 3218-6824</t>
  </si>
  <si>
    <t>CRUZ EM MADEIRA, COM LED, INSTALADO</t>
  </si>
  <si>
    <t>CRUZ EM MADEIRA, COM LED, IINSTALADO</t>
  </si>
  <si>
    <t>02/02/2022</t>
  </si>
  <si>
    <t>DECORENZE, CNPJ: 03.968.489/0001-88, CONTATO: GIULIANO (62) 99361-7113</t>
  </si>
  <si>
    <t>FOR HOUSE, CNPJ: 42.640.246/0001-78, CONTATO: EDNO (62) 98174-9785</t>
  </si>
  <si>
    <t>VISAGE, CNPJ: 17.945.053/0001-88, CONTATO: ROBSON (62) 99270-4570</t>
  </si>
  <si>
    <t>8.1.4</t>
  </si>
  <si>
    <t>PLANTIO DE PALMEIRA COM ALTURA DE MUDA MENOR OU IGUAL A 2,00 M</t>
  </si>
  <si>
    <t>38641</t>
  </si>
  <si>
    <t>91634</t>
  </si>
  <si>
    <t>91635</t>
  </si>
  <si>
    <t>MUDA DE PALMEIRA, ARECA, H= *1,50* CM</t>
  </si>
  <si>
    <t>GUINDAUTO HIDRÁULICO, CAPACIDADE MÁXIMA DE CARGA 6500 KG, MOMENTO MÁXIMO DE CARGA 5,8 TM, ALCANCE MÁXIMO HORIZONTAL 7,60 M, INCLUSIVE CAMINHÃO TOCO PBT 9.700 KG, POTÊNCIA DE 160 CV - CHP DIURNO. AF_08/2015</t>
  </si>
  <si>
    <t>GUINDAUTO HIDRÁULICO, CAPACIDADE MÁXIMA DE CARGA 6500 KG, MOMENTO MÁXIMO DE CARGA 5,8 TM, ALCANCE MÁXIMO HORIZONTAL 7,60 M, INCLUSIVE CAMINHÃO TOCO PBT 9.700 KG, POTÊNCIA DE 160 CV - CHI DIURNO. AF_08/2015</t>
  </si>
  <si>
    <t>Adequação da área destinada ao Espaço Ecumênico no Estádio Serra Dourada, localizado no município de Goiânia-GO</t>
  </si>
  <si>
    <t xml:space="preserve">GOINFRA - 01/2022
SINAPI - 02/2022 - Goiás
SBC - 03/2022 - Goiás
</t>
  </si>
  <si>
    <r>
      <t xml:space="preserve">PREGO </t>
    </r>
    <r>
      <rPr>
        <sz val="10"/>
        <rFont val="Arial"/>
        <family val="1"/>
      </rPr>
      <t>19x33</t>
    </r>
  </si>
  <si>
    <r>
      <t xml:space="preserve">PISO EM PEDRA </t>
    </r>
    <r>
      <rPr>
        <b/>
        <sz val="10"/>
        <rFont val="Arial"/>
        <family val="1"/>
      </rPr>
      <t xml:space="preserve"> SÃO TOMÉ</t>
    </r>
    <r>
      <rPr>
        <b/>
        <sz val="10"/>
        <color rgb="FF000000"/>
        <rFont val="Arial"/>
        <family val="1"/>
      </rPr>
      <t xml:space="preserve"> ASSENTADO SOBRE ARGAMASSA 1:3 (CIMENTO E AREIA)</t>
    </r>
  </si>
  <si>
    <r>
      <rPr>
        <b/>
        <sz val="10"/>
        <rFont val="Arial"/>
        <family val="1"/>
      </rPr>
      <t>SOLEIRA EM PEDRA  SÃO TOMÉ</t>
    </r>
    <r>
      <rPr>
        <b/>
        <sz val="10"/>
        <color rgb="FF000000"/>
        <rFont val="Arial"/>
        <family val="1"/>
      </rPr>
      <t xml:space="preserve"> ASSENTADO SOBRE ARGAMASSA 1:3 (CIMENTO E AREIA)</t>
    </r>
  </si>
  <si>
    <r>
      <t xml:space="preserve">PLACA DE INAUGURACAO ACO ESCOVADO </t>
    </r>
    <r>
      <rPr>
        <b/>
        <sz val="10"/>
        <rFont val="Arial"/>
        <family val="1"/>
      </rPr>
      <t>40X60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</si>
</sst>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#,##0.0000"/>
    <numFmt numFmtId="166" formatCode="0.0000"/>
    <numFmt numFmtId="167" formatCode="0.000"/>
    <numFmt numFmtId="168" formatCode="_-* #,##0.000_-;\-* #,##0.000_-;_-* &quot;-&quot;??_-;_-@_-"/>
    <numFmt numFmtId="169" formatCode="#,##0.00000"/>
    <numFmt numFmtId="170" formatCode="#,##0.000"/>
    <numFmt numFmtId="171" formatCode="#,##0.0"/>
    <numFmt numFmtId="172" formatCode="_-* #,##0.0000_-;\-* #,##0.0000_-;_-* &quot;-&quot;??_-;_-@_-"/>
    <numFmt numFmtId="173" formatCode="000"/>
  </numFmts>
  <fonts count="25">
    <font>
      <sz val="11"/>
      <name val="Arial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color theme="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rgb="FF000000"/>
      <name val="Arial"/>
      <family val="1"/>
    </font>
    <font>
      <b/>
      <sz val="8"/>
      <color theme="1"/>
      <name val="Times New Roman"/>
      <family val="1"/>
    </font>
    <font>
      <b/>
      <sz val="8"/>
      <color rgb="FFFF0000"/>
      <name val="Arial"/>
      <family val="2"/>
    </font>
    <font>
      <sz val="8"/>
      <color rgb="FF1E1E1E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 style="thin">
        <color rgb="FFCCCCCC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/>
      <right/>
      <top style="thin">
        <color rgb="FFCCCCCC"/>
      </top>
      <bottom style="thin">
        <color rgb="FFCCCCCC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/>
      <top style="thin">
        <color rgb="FFCCCCCC"/>
      </top>
      <bottom style="double"/>
    </border>
    <border>
      <left/>
      <right/>
      <top style="thin">
        <color rgb="FFCCCCCC"/>
      </top>
      <bottom style="double"/>
    </border>
    <border>
      <left/>
      <right style="thin">
        <color rgb="FFCCCCCC"/>
      </right>
      <top style="thin">
        <color rgb="FFCCCCCC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81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10" fontId="5" fillId="2" borderId="0" xfId="20" applyNumberFormat="1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3" fontId="3" fillId="2" borderId="1" xfId="24" applyFont="1" applyFill="1" applyBorder="1" applyAlignment="1">
      <alignment horizontal="center" vertical="center" wrapText="1"/>
    </xf>
    <xf numFmtId="43" fontId="3" fillId="2" borderId="1" xfId="2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10" fontId="5" fillId="0" borderId="0" xfId="0" applyNumberFormat="1" applyFont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0" fillId="3" borderId="3" xfId="26" applyFont="1" applyFill="1" applyBorder="1" applyAlignment="1">
      <alignment vertical="center"/>
      <protection/>
    </xf>
    <xf numFmtId="0" fontId="11" fillId="0" borderId="0" xfId="26" applyFont="1">
      <alignment/>
      <protection/>
    </xf>
    <xf numFmtId="0" fontId="7" fillId="0" borderId="0" xfId="26" applyAlignment="1">
      <alignment horizontal="left" vertical="top"/>
      <protection/>
    </xf>
    <xf numFmtId="0" fontId="10" fillId="3" borderId="4" xfId="26" applyFont="1" applyFill="1" applyBorder="1" applyAlignment="1">
      <alignment vertical="center"/>
      <protection/>
    </xf>
    <xf numFmtId="0" fontId="10" fillId="3" borderId="5" xfId="26" applyFont="1" applyFill="1" applyBorder="1" applyAlignment="1">
      <alignment vertical="center"/>
      <protection/>
    </xf>
    <xf numFmtId="0" fontId="10" fillId="0" borderId="6" xfId="26" applyFont="1" applyBorder="1" applyAlignment="1">
      <alignment horizontal="right" vertical="center"/>
      <protection/>
    </xf>
    <xf numFmtId="0" fontId="11" fillId="0" borderId="0" xfId="26" applyFont="1" applyAlignment="1">
      <alignment vertical="center" wrapText="1"/>
      <protection/>
    </xf>
    <xf numFmtId="0" fontId="11" fillId="0" borderId="0" xfId="27" applyFont="1">
      <alignment/>
      <protection/>
    </xf>
    <xf numFmtId="0" fontId="14" fillId="4" borderId="6" xfId="26" applyFont="1" applyFill="1" applyBorder="1" applyAlignment="1">
      <alignment horizontal="center"/>
      <protection/>
    </xf>
    <xf numFmtId="0" fontId="11" fillId="0" borderId="0" xfId="26" applyFont="1" applyAlignment="1">
      <alignment horizontal="left" vertical="center"/>
      <protection/>
    </xf>
    <xf numFmtId="0" fontId="15" fillId="0" borderId="6" xfId="26" applyFont="1" applyBorder="1" applyAlignment="1">
      <alignment vertical="center"/>
      <protection/>
    </xf>
    <xf numFmtId="10" fontId="15" fillId="0" borderId="6" xfId="26" applyNumberFormat="1" applyFont="1" applyBorder="1" applyAlignment="1">
      <alignment horizontal="center" vertical="center"/>
      <protection/>
    </xf>
    <xf numFmtId="10" fontId="15" fillId="0" borderId="6" xfId="28" applyNumberFormat="1" applyFont="1" applyBorder="1" applyAlignment="1">
      <alignment horizontal="right" vertical="center"/>
    </xf>
    <xf numFmtId="10" fontId="15" fillId="0" borderId="6" xfId="26" applyNumberFormat="1" applyFont="1" applyBorder="1" applyAlignment="1">
      <alignment horizontal="right" vertical="center"/>
      <protection/>
    </xf>
    <xf numFmtId="0" fontId="15" fillId="3" borderId="6" xfId="26" applyFont="1" applyFill="1" applyBorder="1" applyAlignment="1">
      <alignment vertical="center"/>
      <protection/>
    </xf>
    <xf numFmtId="10" fontId="15" fillId="3" borderId="6" xfId="26" applyNumberFormat="1" applyFont="1" applyFill="1" applyBorder="1" applyAlignment="1">
      <alignment horizontal="center" vertical="center"/>
      <protection/>
    </xf>
    <xf numFmtId="10" fontId="15" fillId="3" borderId="6" xfId="28" applyNumberFormat="1" applyFont="1" applyFill="1" applyBorder="1" applyAlignment="1">
      <alignment horizontal="right" vertical="center"/>
    </xf>
    <xf numFmtId="0" fontId="11" fillId="0" borderId="0" xfId="26" applyFont="1" applyAlignment="1">
      <alignment vertical="center"/>
      <protection/>
    </xf>
    <xf numFmtId="0" fontId="11" fillId="0" borderId="0" xfId="26" applyFont="1" applyAlignment="1">
      <alignment horizontal="right"/>
      <protection/>
    </xf>
    <xf numFmtId="0" fontId="15" fillId="0" borderId="0" xfId="26" applyFont="1" applyAlignment="1">
      <alignment horizontal="left" vertical="center" wrapText="1"/>
      <protection/>
    </xf>
    <xf numFmtId="0" fontId="16" fillId="0" borderId="0" xfId="26" applyFont="1" applyProtection="1">
      <alignment/>
      <protection locked="0"/>
    </xf>
    <xf numFmtId="0" fontId="11" fillId="3" borderId="0" xfId="26" applyFont="1" applyFill="1">
      <alignment/>
      <protection/>
    </xf>
    <xf numFmtId="0" fontId="11" fillId="3" borderId="0" xfId="26" applyFont="1" applyFill="1" applyAlignment="1">
      <alignment horizontal="right"/>
      <protection/>
    </xf>
    <xf numFmtId="9" fontId="6" fillId="2" borderId="1" xfId="2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43" fontId="4" fillId="5" borderId="1" xfId="24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43" fontId="4" fillId="6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right" vertical="center" wrapText="1"/>
    </xf>
    <xf numFmtId="43" fontId="4" fillId="5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43" fontId="1" fillId="0" borderId="1" xfId="24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3" fontId="1" fillId="0" borderId="0" xfId="24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3" fontId="6" fillId="0" borderId="1" xfId="24" applyFont="1" applyFill="1" applyBorder="1" applyAlignment="1">
      <alignment horizontal="right" vertical="center" wrapText="1"/>
    </xf>
    <xf numFmtId="43" fontId="4" fillId="5" borderId="1" xfId="24" applyFont="1" applyFill="1" applyBorder="1" applyAlignment="1">
      <alignment horizontal="left" vertical="center" wrapText="1"/>
    </xf>
    <xf numFmtId="43" fontId="6" fillId="5" borderId="1" xfId="24" applyFont="1" applyFill="1" applyBorder="1" applyAlignment="1">
      <alignment horizontal="right" vertical="center" wrapText="1"/>
    </xf>
    <xf numFmtId="43" fontId="4" fillId="5" borderId="1" xfId="24" applyFont="1" applyFill="1" applyBorder="1" applyAlignment="1">
      <alignment horizontal="center" vertical="center" wrapText="1"/>
    </xf>
    <xf numFmtId="10" fontId="4" fillId="5" borderId="1" xfId="2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3" fontId="5" fillId="2" borderId="0" xfId="24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43" fontId="1" fillId="0" borderId="0" xfId="24" applyFont="1" applyFill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7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4" fillId="4" borderId="6" xfId="26" applyNumberFormat="1" applyFont="1" applyFill="1" applyBorder="1" applyAlignment="1">
      <alignment horizontal="center" vertical="center" wrapText="1"/>
      <protection/>
    </xf>
    <xf numFmtId="0" fontId="14" fillId="4" borderId="6" xfId="26" applyFont="1" applyFill="1" applyBorder="1" applyAlignment="1">
      <alignment horizontal="center" vertical="center" wrapText="1"/>
      <protection/>
    </xf>
    <xf numFmtId="49" fontId="14" fillId="4" borderId="6" xfId="26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26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top" wrapText="1"/>
    </xf>
    <xf numFmtId="10" fontId="14" fillId="9" borderId="6" xfId="26" applyNumberFormat="1" applyFont="1" applyFill="1" applyBorder="1" applyAlignment="1">
      <alignment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 quotePrefix="1">
      <alignment horizontal="left" vertical="center" wrapText="1"/>
    </xf>
    <xf numFmtId="43" fontId="4" fillId="0" borderId="1" xfId="2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8" fontId="1" fillId="0" borderId="1" xfId="24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171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43" fontId="6" fillId="0" borderId="1" xfId="24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43" fontId="1" fillId="0" borderId="1" xfId="24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70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169" fontId="1" fillId="0" borderId="1" xfId="0" applyNumberFormat="1" applyFont="1" applyBorder="1" applyAlignment="1">
      <alignment horizontal="right" vertical="center" wrapText="1"/>
    </xf>
    <xf numFmtId="172" fontId="1" fillId="0" borderId="1" xfId="24" applyNumberFormat="1" applyFont="1" applyFill="1" applyBorder="1" applyAlignment="1">
      <alignment horizontal="right" vertical="center" wrapText="1"/>
    </xf>
    <xf numFmtId="43" fontId="4" fillId="0" borderId="1" xfId="24" applyFont="1" applyFill="1" applyBorder="1" applyAlignment="1">
      <alignment horizontal="right" vertical="center" wrapText="1"/>
    </xf>
    <xf numFmtId="172" fontId="6" fillId="0" borderId="1" xfId="24" applyNumberFormat="1" applyFont="1" applyFill="1" applyBorder="1" applyAlignment="1">
      <alignment horizontal="right" vertical="center" wrapText="1"/>
    </xf>
    <xf numFmtId="0" fontId="11" fillId="0" borderId="0" xfId="26" applyFont="1" applyBorder="1" applyAlignment="1">
      <alignment horizontal="center" vertical="center"/>
      <protection/>
    </xf>
    <xf numFmtId="0" fontId="11" fillId="0" borderId="0" xfId="26" applyFont="1" applyBorder="1" applyAlignment="1">
      <alignment horizontal="center"/>
      <protection/>
    </xf>
    <xf numFmtId="10" fontId="11" fillId="0" borderId="0" xfId="28" applyNumberFormat="1" applyFont="1" applyBorder="1" applyAlignment="1">
      <alignment horizontal="center" vertical="center"/>
    </xf>
    <xf numFmtId="0" fontId="11" fillId="10" borderId="0" xfId="26" applyFont="1" applyFill="1" applyBorder="1" applyAlignment="1">
      <alignment horizontal="center"/>
      <protection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/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vertical="center" wrapText="1"/>
    </xf>
    <xf numFmtId="43" fontId="3" fillId="2" borderId="9" xfId="24" applyFont="1" applyFill="1" applyBorder="1" applyAlignment="1">
      <alignment horizontal="center" vertical="center" wrapText="1"/>
    </xf>
    <xf numFmtId="43" fontId="3" fillId="2" borderId="10" xfId="24" applyFont="1" applyFill="1" applyBorder="1" applyAlignment="1">
      <alignment horizontal="center" vertical="center" wrapText="1"/>
    </xf>
    <xf numFmtId="43" fontId="3" fillId="2" borderId="11" xfId="24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9" fillId="3" borderId="15" xfId="26" applyFont="1" applyFill="1" applyBorder="1" applyAlignment="1">
      <alignment horizontal="center" vertical="center" wrapText="1"/>
      <protection/>
    </xf>
    <xf numFmtId="0" fontId="9" fillId="3" borderId="16" xfId="26" applyFont="1" applyFill="1" applyBorder="1" applyAlignment="1">
      <alignment horizontal="center" vertical="center" wrapText="1"/>
      <protection/>
    </xf>
    <xf numFmtId="0" fontId="9" fillId="3" borderId="3" xfId="26" applyFont="1" applyFill="1" applyBorder="1" applyAlignment="1">
      <alignment horizontal="center" vertical="center" wrapText="1"/>
      <protection/>
    </xf>
    <xf numFmtId="0" fontId="9" fillId="3" borderId="17" xfId="26" applyFont="1" applyFill="1" applyBorder="1" applyAlignment="1">
      <alignment horizontal="center" vertical="center" wrapText="1"/>
      <protection/>
    </xf>
    <xf numFmtId="0" fontId="9" fillId="3" borderId="0" xfId="26" applyFont="1" applyFill="1" applyAlignment="1">
      <alignment horizontal="center" vertical="center" wrapText="1"/>
      <protection/>
    </xf>
    <xf numFmtId="0" fontId="9" fillId="3" borderId="4" xfId="26" applyFont="1" applyFill="1" applyBorder="1" applyAlignment="1">
      <alignment horizontal="center" vertical="center" wrapText="1"/>
      <protection/>
    </xf>
    <xf numFmtId="0" fontId="9" fillId="3" borderId="18" xfId="26" applyFont="1" applyFill="1" applyBorder="1" applyAlignment="1">
      <alignment horizontal="center" vertical="center" wrapText="1"/>
      <protection/>
    </xf>
    <xf numFmtId="0" fontId="9" fillId="3" borderId="19" xfId="26" applyFont="1" applyFill="1" applyBorder="1" applyAlignment="1">
      <alignment horizontal="center" vertical="center" wrapText="1"/>
      <protection/>
    </xf>
    <xf numFmtId="0" fontId="9" fillId="3" borderId="5" xfId="26" applyFont="1" applyFill="1" applyBorder="1" applyAlignment="1">
      <alignment horizontal="center" vertical="center" wrapText="1"/>
      <protection/>
    </xf>
    <xf numFmtId="0" fontId="9" fillId="0" borderId="15" xfId="26" applyFont="1" applyBorder="1" applyAlignment="1">
      <alignment horizontal="center" vertical="center" wrapText="1"/>
      <protection/>
    </xf>
    <xf numFmtId="0" fontId="9" fillId="0" borderId="16" xfId="26" applyFont="1" applyBorder="1" applyAlignment="1">
      <alignment horizontal="center" vertical="center" wrapText="1"/>
      <protection/>
    </xf>
    <xf numFmtId="0" fontId="9" fillId="0" borderId="3" xfId="26" applyFont="1" applyBorder="1" applyAlignment="1">
      <alignment horizontal="center" vertical="center" wrapText="1"/>
      <protection/>
    </xf>
    <xf numFmtId="0" fontId="9" fillId="0" borderId="17" xfId="26" applyFont="1" applyBorder="1" applyAlignment="1">
      <alignment horizontal="center" vertical="center" wrapText="1"/>
      <protection/>
    </xf>
    <xf numFmtId="0" fontId="9" fillId="0" borderId="0" xfId="26" applyFont="1" applyAlignment="1">
      <alignment horizontal="center" vertical="center" wrapText="1"/>
      <protection/>
    </xf>
    <xf numFmtId="0" fontId="9" fillId="0" borderId="4" xfId="26" applyFont="1" applyBorder="1" applyAlignment="1">
      <alignment horizontal="center" vertical="center" wrapText="1"/>
      <protection/>
    </xf>
    <xf numFmtId="0" fontId="9" fillId="0" borderId="18" xfId="26" applyFont="1" applyBorder="1" applyAlignment="1">
      <alignment horizontal="center" vertical="center" wrapText="1"/>
      <protection/>
    </xf>
    <xf numFmtId="0" fontId="9" fillId="0" borderId="19" xfId="26" applyFont="1" applyBorder="1" applyAlignment="1">
      <alignment horizontal="center" vertical="center" wrapText="1"/>
      <protection/>
    </xf>
    <xf numFmtId="0" fontId="9" fillId="0" borderId="5" xfId="26" applyFont="1" applyBorder="1" applyAlignment="1">
      <alignment horizontal="center" vertical="center" wrapText="1"/>
      <protection/>
    </xf>
    <xf numFmtId="0" fontId="5" fillId="0" borderId="15" xfId="26" applyFont="1" applyBorder="1" applyAlignment="1">
      <alignment horizontal="right" vertical="center" wrapText="1"/>
      <protection/>
    </xf>
    <xf numFmtId="0" fontId="5" fillId="0" borderId="16" xfId="26" applyFont="1" applyBorder="1" applyAlignment="1">
      <alignment horizontal="right" vertical="center" wrapText="1"/>
      <protection/>
    </xf>
    <xf numFmtId="0" fontId="5" fillId="0" borderId="20" xfId="26" applyFont="1" applyBorder="1" applyAlignment="1">
      <alignment horizontal="right" vertical="center" wrapText="1"/>
      <protection/>
    </xf>
    <xf numFmtId="0" fontId="1" fillId="0" borderId="21" xfId="26" applyFont="1" applyBorder="1" applyAlignment="1">
      <alignment horizontal="left" vertical="center" wrapText="1"/>
      <protection/>
    </xf>
    <xf numFmtId="0" fontId="1" fillId="0" borderId="16" xfId="26" applyFont="1" applyBorder="1" applyAlignment="1">
      <alignment horizontal="left" vertical="center" wrapText="1"/>
      <protection/>
    </xf>
    <xf numFmtId="0" fontId="1" fillId="0" borderId="3" xfId="26" applyFont="1" applyBorder="1" applyAlignment="1">
      <alignment horizontal="left" vertical="center" wrapText="1"/>
      <protection/>
    </xf>
    <xf numFmtId="0" fontId="7" fillId="0" borderId="0" xfId="26" applyAlignment="1">
      <alignment horizontal="center" vertical="top"/>
      <protection/>
    </xf>
    <xf numFmtId="173" fontId="20" fillId="8" borderId="6" xfId="26" applyNumberFormat="1" applyFont="1" applyFill="1" applyBorder="1" applyAlignment="1">
      <alignment horizontal="center" vertical="center"/>
      <protection/>
    </xf>
    <xf numFmtId="0" fontId="13" fillId="11" borderId="6" xfId="27" applyFont="1" applyFill="1" applyBorder="1" applyAlignment="1">
      <alignment horizontal="center" vertical="center"/>
      <protection/>
    </xf>
    <xf numFmtId="49" fontId="13" fillId="11" borderId="6" xfId="27" applyNumberFormat="1" applyFont="1" applyFill="1" applyBorder="1" applyAlignment="1">
      <alignment horizontal="center" vertical="center"/>
      <protection/>
    </xf>
    <xf numFmtId="0" fontId="22" fillId="0" borderId="6" xfId="26" applyFont="1" applyBorder="1" applyAlignment="1">
      <alignment horizontal="center" vertical="center"/>
      <protection/>
    </xf>
    <xf numFmtId="49" fontId="14" fillId="4" borderId="6" xfId="26" applyNumberFormat="1" applyFont="1" applyFill="1" applyBorder="1" applyAlignment="1" applyProtection="1">
      <alignment horizontal="center" vertical="center" wrapText="1"/>
      <protection locked="0"/>
    </xf>
    <xf numFmtId="44" fontId="10" fillId="4" borderId="6" xfId="26" applyNumberFormat="1" applyFont="1" applyFill="1" applyBorder="1" applyAlignment="1">
      <alignment horizontal="center" vertical="center"/>
      <protection/>
    </xf>
    <xf numFmtId="4" fontId="21" fillId="4" borderId="6" xfId="26" applyNumberFormat="1" applyFont="1" applyFill="1" applyBorder="1" applyAlignment="1">
      <alignment horizontal="center" vertical="center"/>
      <protection/>
    </xf>
    <xf numFmtId="166" fontId="8" fillId="3" borderId="6" xfId="26" applyNumberFormat="1" applyFont="1" applyFill="1" applyBorder="1" applyAlignment="1" applyProtection="1">
      <alignment horizontal="center" vertical="center" wrapText="1"/>
      <protection locked="0"/>
    </xf>
    <xf numFmtId="4" fontId="8" fillId="3" borderId="6" xfId="26" applyNumberFormat="1" applyFont="1" applyFill="1" applyBorder="1" applyAlignment="1">
      <alignment horizontal="center" vertical="center" wrapText="1"/>
      <protection/>
    </xf>
    <xf numFmtId="0" fontId="22" fillId="0" borderId="6" xfId="26" applyFont="1" applyBorder="1" applyAlignment="1">
      <alignment horizontal="center" vertical="center" wrapText="1"/>
      <protection/>
    </xf>
    <xf numFmtId="44" fontId="8" fillId="0" borderId="6" xfId="29" applyFont="1" applyFill="1" applyBorder="1" applyAlignment="1" applyProtection="1">
      <alignment horizontal="center" vertical="center" wrapText="1"/>
      <protection locked="0"/>
    </xf>
    <xf numFmtId="49" fontId="8" fillId="0" borderId="6" xfId="26" applyNumberFormat="1" applyFont="1" applyBorder="1" applyAlignment="1">
      <alignment horizontal="center" vertical="center" wrapText="1"/>
      <protection/>
    </xf>
    <xf numFmtId="0" fontId="23" fillId="0" borderId="6" xfId="26" applyFont="1" applyBorder="1" applyAlignment="1">
      <alignment horizontal="left" vertical="center"/>
      <protection/>
    </xf>
    <xf numFmtId="0" fontId="10" fillId="4" borderId="6" xfId="26" applyFont="1" applyFill="1" applyBorder="1" applyAlignment="1">
      <alignment horizontal="center" vertical="center"/>
      <protection/>
    </xf>
    <xf numFmtId="0" fontId="12" fillId="12" borderId="18" xfId="27" applyFont="1" applyFill="1" applyBorder="1" applyAlignment="1">
      <alignment horizontal="center" vertical="center"/>
      <protection/>
    </xf>
    <xf numFmtId="0" fontId="12" fillId="12" borderId="19" xfId="27" applyFont="1" applyFill="1" applyBorder="1" applyAlignment="1">
      <alignment horizontal="center" vertical="center"/>
      <protection/>
    </xf>
    <xf numFmtId="0" fontId="12" fillId="12" borderId="5" xfId="27" applyFont="1" applyFill="1" applyBorder="1" applyAlignment="1">
      <alignment horizontal="center" vertical="center"/>
      <protection/>
    </xf>
    <xf numFmtId="0" fontId="13" fillId="11" borderId="22" xfId="27" applyFont="1" applyFill="1" applyBorder="1" applyAlignment="1">
      <alignment horizontal="center" vertical="center"/>
      <protection/>
    </xf>
    <xf numFmtId="0" fontId="13" fillId="11" borderId="23" xfId="27" applyFont="1" applyFill="1" applyBorder="1" applyAlignment="1">
      <alignment horizontal="center" vertical="center"/>
      <protection/>
    </xf>
    <xf numFmtId="0" fontId="13" fillId="11" borderId="24" xfId="27" applyFont="1" applyFill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8" fillId="0" borderId="22" xfId="26" applyFont="1" applyBorder="1" applyAlignment="1">
      <alignment horizontal="left" vertical="center" wrapText="1"/>
      <protection/>
    </xf>
    <xf numFmtId="0" fontId="8" fillId="0" borderId="23" xfId="26" applyFont="1" applyBorder="1" applyAlignment="1">
      <alignment horizontal="left" vertical="center" wrapText="1"/>
      <protection/>
    </xf>
    <xf numFmtId="0" fontId="8" fillId="0" borderId="24" xfId="26" applyFont="1" applyBorder="1" applyAlignment="1">
      <alignment horizontal="left" vertical="center" wrapText="1"/>
      <protection/>
    </xf>
    <xf numFmtId="0" fontId="8" fillId="0" borderId="22" xfId="26" applyFont="1" applyBorder="1" applyAlignment="1">
      <alignment horizontal="left" vertical="center"/>
      <protection/>
    </xf>
    <xf numFmtId="0" fontId="8" fillId="0" borderId="23" xfId="26" applyFont="1" applyBorder="1" applyAlignment="1">
      <alignment horizontal="left" vertical="center"/>
      <protection/>
    </xf>
    <xf numFmtId="0" fontId="8" fillId="0" borderId="24" xfId="26" applyFont="1" applyBorder="1" applyAlignment="1">
      <alignment horizontal="left" vertical="center"/>
      <protection/>
    </xf>
    <xf numFmtId="17" fontId="8" fillId="0" borderId="22" xfId="26" applyNumberFormat="1" applyFont="1" applyBorder="1" applyAlignment="1">
      <alignment horizontal="left" vertical="center"/>
      <protection/>
    </xf>
    <xf numFmtId="0" fontId="11" fillId="0" borderId="17" xfId="26" applyFont="1" applyBorder="1" applyAlignment="1">
      <alignment horizontal="center"/>
      <protection/>
    </xf>
    <xf numFmtId="0" fontId="11" fillId="0" borderId="0" xfId="26" applyFont="1" applyAlignment="1">
      <alignment horizontal="center"/>
      <protection/>
    </xf>
    <xf numFmtId="0" fontId="11" fillId="0" borderId="4" xfId="26" applyFont="1" applyBorder="1" applyAlignment="1">
      <alignment horizontal="center"/>
      <protection/>
    </xf>
    <xf numFmtId="0" fontId="11" fillId="0" borderId="0" xfId="26" applyFont="1" applyBorder="1" applyAlignment="1">
      <alignment horizontal="center" vertical="center" wrapText="1"/>
      <protection/>
    </xf>
    <xf numFmtId="0" fontId="14" fillId="0" borderId="6" xfId="26" applyFont="1" applyBorder="1" applyAlignment="1">
      <alignment horizontal="left" vertical="center"/>
      <protection/>
    </xf>
    <xf numFmtId="0" fontId="15" fillId="0" borderId="0" xfId="26" applyFont="1" applyAlignment="1">
      <alignment horizontal="left" vertical="center" wrapText="1"/>
      <protection/>
    </xf>
    <xf numFmtId="0" fontId="15" fillId="0" borderId="0" xfId="26" applyFont="1" applyAlignment="1">
      <alignment horizontal="left" wrapText="1"/>
      <protection/>
    </xf>
    <xf numFmtId="0" fontId="11" fillId="3" borderId="0" xfId="26" applyFont="1" applyFill="1" applyAlignment="1">
      <alignment horizontal="center"/>
      <protection/>
    </xf>
    <xf numFmtId="0" fontId="14" fillId="0" borderId="0" xfId="26" applyFont="1" applyAlignment="1">
      <alignment horizontal="left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 2" xfId="21"/>
    <cellStyle name="Normal 17" xfId="22"/>
    <cellStyle name="Normal 3" xfId="23"/>
    <cellStyle name="Vírgula" xfId="24"/>
    <cellStyle name="Normal 2 2" xfId="25"/>
    <cellStyle name="Normal 9" xfId="26"/>
    <cellStyle name="Normal 2 2 2" xfId="27"/>
    <cellStyle name="Porcentagem 2" xfId="28"/>
    <cellStyle name="Moeda 2" xfId="29"/>
    <cellStyle name="Vírgula 2" xfId="30"/>
  </cellStyles>
  <dxfs count="18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762000</xdr:colOff>
      <xdr:row>1</xdr:row>
      <xdr:rowOff>0</xdr:rowOff>
    </xdr:from>
    <xdr:ext cx="2076450" cy="866775"/>
    <xdr:pic>
      <xdr:nvPicPr>
        <xdr:cNvPr id="3" name="Imagem 2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03" r="4705"/>
        <a:stretch>
          <a:fillRect/>
        </a:stretch>
      </xdr:blipFill>
      <xdr:spPr bwMode="auto">
        <a:xfrm>
          <a:off x="14144625" y="190500"/>
          <a:ext cx="2076450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0</xdr:row>
      <xdr:rowOff>76200</xdr:rowOff>
    </xdr:from>
    <xdr:ext cx="2076450" cy="866775"/>
    <xdr:pic>
      <xdr:nvPicPr>
        <xdr:cNvPr id="2" name="Imagem 1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03" r="4705"/>
        <a:stretch>
          <a:fillRect/>
        </a:stretch>
      </xdr:blipFill>
      <xdr:spPr bwMode="auto">
        <a:xfrm>
          <a:off x="209550" y="76200"/>
          <a:ext cx="2076450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</xdr:row>
      <xdr:rowOff>38100</xdr:rowOff>
    </xdr:from>
    <xdr:ext cx="2428875" cy="866775"/>
    <xdr:pic>
      <xdr:nvPicPr>
        <xdr:cNvPr id="2" name="Imagem 1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00025"/>
          <a:ext cx="2428875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28575</xdr:rowOff>
    </xdr:from>
    <xdr:to>
      <xdr:col>4</xdr:col>
      <xdr:colOff>2419350</xdr:colOff>
      <xdr:row>6</xdr:row>
      <xdr:rowOff>123825</xdr:rowOff>
    </xdr:to>
    <xdr:pic>
      <xdr:nvPicPr>
        <xdr:cNvPr id="4" name="Imagem 3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28975" y="190500"/>
          <a:ext cx="24003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_1\tec1\ARQ\SOLOTEC\BR-476\VIGA\ANALI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LAGHI%20ENGENHARIA\Clientes\100%20DNIT\3-Acesso-PresidenteFigueiredo-BR174\Entrega%209-12-2005\Or&#231;amento\Documents%20and%20Settings\C%20arlos%20%20Machado\My%20Documents\Disco%201\BR-262-MS(3)\Anexos%20PG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ANALISES"/>
      <sheetName val="Custo do CM-30"/>
      <sheetName val="Cálculo"/>
      <sheetName val="Quadro + Gráfico"/>
      <sheetName val="memória de calculo_liquida"/>
      <sheetName val="Preços"/>
      <sheetName val="Desp. Apoio"/>
      <sheetName val="Proposta"/>
      <sheetName val="Fresagem de Pista Ago-98"/>
      <sheetName val="Carimbo de Nota"/>
      <sheetName val="Viga_Benkellman"/>
      <sheetName val="Estudo_Estatístico"/>
      <sheetName val="Pro_-_10_norma_A"/>
      <sheetName val="Pró_-_11_norma_B"/>
      <sheetName val="Resumo_subtrechos_homgêneos"/>
      <sheetName val="Demonstrativo_Dimensionamento"/>
      <sheetName val="Camadas_Mat__Distintos"/>
      <sheetName val="Custo_do_CM-30"/>
      <sheetName val="memória_de_calculo_liquida"/>
      <sheetName val="Quadro_+_Gráfico"/>
      <sheetName val="Desp__Apoio"/>
      <sheetName val="RELATA"/>
      <sheetName val="COMPOS1"/>
      <sheetName val="P3"/>
      <sheetName val="PLANILHA ATUALIZADA"/>
      <sheetName val="Auxiliar"/>
      <sheetName val="Tela"/>
      <sheetName val="Atualizacao"/>
      <sheetName val="Chuvas"/>
      <sheetName val="Medição"/>
      <sheetName val="Conc 20"/>
      <sheetName val="CRON.NOVO.ARIPUANA"/>
      <sheetName val="PRO_08"/>
      <sheetName val="Custo da Imprimação"/>
      <sheetName val="Custo da Pintura de Ligação"/>
      <sheetName val="CAPA"/>
      <sheetName val="SUMÁRIO GERAL"/>
      <sheetName val="DIVISÓRIAS"/>
      <sheetName val="CAPA CD"/>
      <sheetName val="CABEÇALHO-RODAPÉ"/>
      <sheetName val="ABC"/>
      <sheetName val="ORÇAMENTO"/>
      <sheetName val="MEMÓRIA"/>
      <sheetName val="CRONOGRAMA"/>
      <sheetName val="BDI"/>
      <sheetName val="Encargos Sociais"/>
      <sheetName val="CPU"/>
      <sheetName val="Quadro Bueiros"/>
      <sheetName val="MP CUB"/>
      <sheetName val="Plan1"/>
      <sheetName val="CBR Jazida"/>
      <sheetName val="JAZIDAS"/>
      <sheetName val="plan"/>
      <sheetName val="Plan2"/>
      <sheetName val="RESUMO_AUT1"/>
      <sheetName val="RP-1 SB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uipamentos"/>
      <sheetName val="Teor"/>
      <sheetName val="Anexos PGQ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4"/>
  <sheetViews>
    <sheetView showOutlineSymbols="0" view="pageBreakPreview" zoomScaleSheetLayoutView="100" workbookViewId="0" topLeftCell="B1">
      <selection activeCell="H97" sqref="H97"/>
    </sheetView>
  </sheetViews>
  <sheetFormatPr defaultColWidth="9.00390625" defaultRowHeight="14.25"/>
  <cols>
    <col min="1" max="1" width="5.875" style="0" bestFit="1" customWidth="1"/>
    <col min="2" max="2" width="9.50390625" style="0" customWidth="1"/>
    <col min="3" max="3" width="14.25390625" style="0" customWidth="1"/>
    <col min="4" max="4" width="60.00390625" style="0" bestFit="1" customWidth="1"/>
    <col min="5" max="5" width="8.00390625" style="0" bestFit="1" customWidth="1"/>
    <col min="6" max="7" width="13.00390625" style="0" bestFit="1" customWidth="1"/>
    <col min="8" max="9" width="13.00390625" style="0" customWidth="1"/>
    <col min="10" max="13" width="13.00390625" style="0" bestFit="1" customWidth="1"/>
    <col min="14" max="14" width="13.00390625" style="0" customWidth="1"/>
    <col min="15" max="15" width="10.125" style="0" bestFit="1" customWidth="1"/>
    <col min="16" max="16" width="13.00390625" style="0" bestFit="1" customWidth="1"/>
  </cols>
  <sheetData>
    <row r="1" spans="1:15" ht="15" customHeight="1">
      <c r="A1" s="1"/>
      <c r="B1" s="1"/>
      <c r="C1" s="1"/>
      <c r="D1" s="1" t="s">
        <v>0</v>
      </c>
      <c r="E1" s="195" t="s">
        <v>1</v>
      </c>
      <c r="F1" s="195"/>
      <c r="G1" s="5" t="s">
        <v>2</v>
      </c>
      <c r="H1" s="5"/>
      <c r="I1" s="5"/>
      <c r="J1" s="5"/>
      <c r="K1" s="198" t="s">
        <v>3</v>
      </c>
      <c r="L1" s="198"/>
      <c r="M1" s="198"/>
      <c r="N1" s="198"/>
      <c r="O1" s="198"/>
    </row>
    <row r="2" spans="1:15" ht="73.5" customHeight="1">
      <c r="A2" s="2"/>
      <c r="B2" s="2"/>
      <c r="C2" s="2"/>
      <c r="D2" s="6" t="s">
        <v>500</v>
      </c>
      <c r="E2" s="196" t="s">
        <v>501</v>
      </c>
      <c r="F2" s="197"/>
      <c r="G2" s="4">
        <f>BDI!E24</f>
        <v>0.20911116563470844</v>
      </c>
      <c r="H2" s="4"/>
      <c r="I2" s="4"/>
      <c r="J2" s="4"/>
      <c r="K2" s="199" t="s">
        <v>156</v>
      </c>
      <c r="L2" s="199"/>
      <c r="M2" s="199"/>
      <c r="N2" s="199"/>
      <c r="O2" s="199"/>
    </row>
    <row r="3" spans="1:15" ht="15">
      <c r="A3" s="204" t="s">
        <v>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s="21" customFormat="1" ht="15">
      <c r="A4" s="209" t="s">
        <v>5</v>
      </c>
      <c r="B4" s="200" t="s">
        <v>6</v>
      </c>
      <c r="C4" s="209" t="s">
        <v>7</v>
      </c>
      <c r="D4" s="209" t="s">
        <v>8</v>
      </c>
      <c r="E4" s="211" t="s">
        <v>9</v>
      </c>
      <c r="F4" s="200" t="s">
        <v>10</v>
      </c>
      <c r="G4" s="206" t="s">
        <v>110</v>
      </c>
      <c r="H4" s="207"/>
      <c r="I4" s="207"/>
      <c r="J4" s="208"/>
      <c r="K4" s="206" t="s">
        <v>113</v>
      </c>
      <c r="L4" s="207"/>
      <c r="M4" s="207"/>
      <c r="N4" s="207"/>
      <c r="O4" s="200" t="s">
        <v>107</v>
      </c>
    </row>
    <row r="5" spans="1:15" s="21" customFormat="1" ht="30">
      <c r="A5" s="210"/>
      <c r="B5" s="201"/>
      <c r="C5" s="210"/>
      <c r="D5" s="210"/>
      <c r="E5" s="212"/>
      <c r="F5" s="201"/>
      <c r="G5" s="22" t="s">
        <v>111</v>
      </c>
      <c r="H5" s="23" t="s">
        <v>112</v>
      </c>
      <c r="I5" s="23" t="s">
        <v>11</v>
      </c>
      <c r="J5" s="22" t="s">
        <v>12</v>
      </c>
      <c r="K5" s="22" t="s">
        <v>111</v>
      </c>
      <c r="L5" s="23" t="s">
        <v>112</v>
      </c>
      <c r="M5" s="22" t="s">
        <v>11</v>
      </c>
      <c r="N5" s="23" t="s">
        <v>12</v>
      </c>
      <c r="O5" s="201"/>
    </row>
    <row r="6" spans="1:15" s="21" customFormat="1" ht="14.25">
      <c r="A6" s="59">
        <f>'Orçamento Analítico'!A5</f>
        <v>1</v>
      </c>
      <c r="B6" s="59"/>
      <c r="C6" s="59"/>
      <c r="D6" s="60" t="str">
        <f>'Orçamento Analítico'!D5</f>
        <v>SERVIÇOS PRELIMINARES</v>
      </c>
      <c r="E6" s="60"/>
      <c r="F6" s="61"/>
      <c r="G6" s="60"/>
      <c r="H6" s="62"/>
      <c r="I6" s="63"/>
      <c r="J6" s="63">
        <f>SUM(J7:J18)</f>
        <v>4490.69769316</v>
      </c>
      <c r="K6" s="114"/>
      <c r="L6" s="114"/>
      <c r="M6" s="114"/>
      <c r="N6" s="63">
        <f>SUM(N7:N18)</f>
        <v>5429.752722289784</v>
      </c>
      <c r="O6" s="117">
        <f>N6/$N$102</f>
        <v>0.010195473499757982</v>
      </c>
    </row>
    <row r="7" spans="1:15" s="21" customFormat="1" ht="14.25">
      <c r="A7" s="64" t="str">
        <f>'Orçamento Analítico'!A6</f>
        <v>1.1</v>
      </c>
      <c r="B7" s="64"/>
      <c r="C7" s="64"/>
      <c r="D7" s="65" t="str">
        <f>'Orçamento Analítico'!D6</f>
        <v>SERVIÇOS INICIAIS</v>
      </c>
      <c r="E7" s="65"/>
      <c r="F7" s="66"/>
      <c r="G7" s="65"/>
      <c r="H7" s="67"/>
      <c r="I7" s="67"/>
      <c r="J7" s="65"/>
      <c r="K7" s="65"/>
      <c r="L7" s="65"/>
      <c r="M7" s="65"/>
      <c r="N7" s="67"/>
      <c r="O7" s="68"/>
    </row>
    <row r="8" spans="1:15" s="21" customFormat="1" ht="14.25">
      <c r="A8" s="24" t="str">
        <f>'Orçamento Analítico'!A7</f>
        <v>1.1.1</v>
      </c>
      <c r="B8" s="151" t="str">
        <f>'Orçamento Analítico'!B8</f>
        <v xml:space="preserve"> COD.001 </v>
      </c>
      <c r="C8" s="8" t="str">
        <f>'Orçamento Analítico'!C8</f>
        <v>CREA GO</v>
      </c>
      <c r="D8" s="9" t="str">
        <f>'Orçamento Analítico'!D8</f>
        <v>EMISSÃO DE ANOTAÇÃO DE RESPONSABILIDADE TÉCNICA - ART</v>
      </c>
      <c r="E8" s="10" t="str">
        <f>'Orçamento Analítico'!E8</f>
        <v>un</v>
      </c>
      <c r="F8" s="11">
        <v>1</v>
      </c>
      <c r="G8" s="12">
        <f>'Orçamento Analítico'!H8</f>
        <v>233.94</v>
      </c>
      <c r="H8" s="19"/>
      <c r="I8" s="19">
        <f>G8+H8</f>
        <v>233.94</v>
      </c>
      <c r="J8" s="12">
        <f>F8*I8</f>
        <v>233.94</v>
      </c>
      <c r="K8" s="12">
        <f>G8*(1+$G$2)</f>
        <v>282.8594660885837</v>
      </c>
      <c r="L8" s="12">
        <f>H8*(1+$G$2)</f>
        <v>0</v>
      </c>
      <c r="M8" s="12">
        <f>K8+L8</f>
        <v>282.8594660885837</v>
      </c>
      <c r="N8" s="19">
        <f>F8*M8</f>
        <v>282.8594660885837</v>
      </c>
      <c r="O8" s="58">
        <f>N8/$N$102</f>
        <v>0.0005311266162864377</v>
      </c>
    </row>
    <row r="9" spans="1:15" s="21" customFormat="1" ht="25.5">
      <c r="A9" s="14" t="str">
        <f>'Orçamento Analítico'!A10</f>
        <v xml:space="preserve"> 1.1.2 </v>
      </c>
      <c r="B9" s="13">
        <f>'Orçamento Analítico'!B11</f>
        <v>21301</v>
      </c>
      <c r="C9" s="13" t="str">
        <f>'Orçamento Analítico'!C11</f>
        <v>GOINFRA.MOD</v>
      </c>
      <c r="D9" s="106" t="str">
        <f>'Orçamento Analítico'!D11</f>
        <v>PLACA DE OBRA PLOTADA EM CHAPA METÁLICA 22 , AFIXADA EM CAVALETES DE MADEIRA DE LEI (VIGOTAS 6X12CM) - PADRÃO GOINFRA</v>
      </c>
      <c r="E9" s="13" t="str">
        <f>'Orçamento Analítico'!E11</f>
        <v>m²</v>
      </c>
      <c r="F9" s="17">
        <f>1*1.5</f>
        <v>1.5</v>
      </c>
      <c r="G9" s="18">
        <f>SUM('Orçamento Analítico'!H12:H19)</f>
        <v>395.816375</v>
      </c>
      <c r="H9" s="20">
        <f>SUM('Orçamento Analítico'!H20:H21)</f>
        <v>3.535571</v>
      </c>
      <c r="I9" s="19">
        <f>G9+H9</f>
        <v>399.351946</v>
      </c>
      <c r="J9" s="12">
        <f>F9*I9</f>
        <v>599.027919</v>
      </c>
      <c r="K9" s="12">
        <f>G9*(1+$G$2)</f>
        <v>478.5859985535549</v>
      </c>
      <c r="L9" s="12">
        <f>H9*(1+$G$2)</f>
        <v>4.274898372994272</v>
      </c>
      <c r="M9" s="12">
        <f>K9+L9</f>
        <v>482.8608969265491</v>
      </c>
      <c r="N9" s="19">
        <f>F9*M9</f>
        <v>724.2913453898236</v>
      </c>
      <c r="O9" s="58">
        <f>N9/$N$102</f>
        <v>0.0013600054359219297</v>
      </c>
    </row>
    <row r="10" spans="1:15" s="21" customFormat="1" ht="14.25">
      <c r="A10" s="64" t="str">
        <f>'Orçamento Analítico'!A23</f>
        <v>1.2</v>
      </c>
      <c r="B10" s="64"/>
      <c r="C10" s="64"/>
      <c r="D10" s="65" t="str">
        <f>'Orçamento Analítico'!D23</f>
        <v>DEMOLIÇÕES E RETIRADAS</v>
      </c>
      <c r="E10" s="65"/>
      <c r="F10" s="66"/>
      <c r="G10" s="65"/>
      <c r="H10" s="67"/>
      <c r="I10" s="67"/>
      <c r="J10" s="65"/>
      <c r="K10" s="69"/>
      <c r="L10" s="65"/>
      <c r="M10" s="69"/>
      <c r="N10" s="70"/>
      <c r="O10" s="68"/>
    </row>
    <row r="11" spans="1:15" s="21" customFormat="1" ht="24" customHeight="1">
      <c r="A11" s="14" t="str">
        <f>'Orçamento Analítico'!A24</f>
        <v xml:space="preserve"> 1.2.1</v>
      </c>
      <c r="B11" s="13">
        <f>'Orçamento Analítico'!B25</f>
        <v>97665</v>
      </c>
      <c r="C11" s="14" t="str">
        <f>'Orçamento Analítico'!C25</f>
        <v>SINAPI</v>
      </c>
      <c r="D11" s="15" t="str">
        <f>'Orçamento Analítico'!D25</f>
        <v>REMOÇÃO DE LUMINÁRIAS, DE FORMA MANUAL</v>
      </c>
      <c r="E11" s="16" t="str">
        <f>'Orçamento Analítico'!E25</f>
        <v>un</v>
      </c>
      <c r="F11" s="17">
        <v>12</v>
      </c>
      <c r="G11" s="18"/>
      <c r="H11" s="20">
        <f>'Orçamento Analítico'!H25</f>
        <v>1.073306</v>
      </c>
      <c r="I11" s="19">
        <f>G11+H11</f>
        <v>1.073306</v>
      </c>
      <c r="J11" s="12">
        <f aca="true" t="shared" si="0" ref="J11:J16">F11*I11</f>
        <v>12.879672000000001</v>
      </c>
      <c r="K11" s="12">
        <f aca="true" t="shared" si="1" ref="K11:K16">G11*(1+$G$2)</f>
        <v>0</v>
      </c>
      <c r="L11" s="12">
        <f aca="true" t="shared" si="2" ref="L11:L16">H11*(1+$G$2)</f>
        <v>1.2977462687427266</v>
      </c>
      <c r="M11" s="12">
        <f aca="true" t="shared" si="3" ref="M11:M16">K11+L11</f>
        <v>1.2977462687427266</v>
      </c>
      <c r="N11" s="19">
        <f aca="true" t="shared" si="4" ref="N11:N16">F11*M11</f>
        <v>15.572955224912718</v>
      </c>
      <c r="O11" s="58">
        <f aca="true" t="shared" si="5" ref="O11:O16">N11/$N$102</f>
        <v>2.9241414927926714E-05</v>
      </c>
    </row>
    <row r="12" spans="1:15" s="21" customFormat="1" ht="24" customHeight="1">
      <c r="A12" s="14" t="str">
        <f>'Orçamento Analítico'!A29</f>
        <v xml:space="preserve"> 1.2.2</v>
      </c>
      <c r="B12" s="13">
        <f>'Orçamento Analítico'!B30</f>
        <v>20109</v>
      </c>
      <c r="C12" s="14" t="str">
        <f>'Orçamento Analítico'!C30</f>
        <v>GOINFRA.MOD</v>
      </c>
      <c r="D12" s="15" t="str">
        <f>'Orçamento Analítico'!D30</f>
        <v>DEMOLIÇÃO MANUAL DE PISO CIMENT.SOBRE LASTRO CONC.C/TR.ATE CB. E CARGA</v>
      </c>
      <c r="E12" s="16" t="str">
        <f>'Orçamento Analítico'!E30</f>
        <v>m²</v>
      </c>
      <c r="F12" s="17">
        <v>71.5</v>
      </c>
      <c r="G12" s="18"/>
      <c r="H12" s="20">
        <f>'Orçamento Analítico'!H30</f>
        <v>18.115370000000002</v>
      </c>
      <c r="I12" s="19">
        <f aca="true" t="shared" si="6" ref="I12:I16">G12+H12</f>
        <v>18.115370000000002</v>
      </c>
      <c r="J12" s="12">
        <f t="shared" si="0"/>
        <v>1295.2489550000003</v>
      </c>
      <c r="K12" s="12">
        <f t="shared" si="1"/>
        <v>0</v>
      </c>
      <c r="L12" s="12">
        <f t="shared" si="2"/>
        <v>21.90349613660403</v>
      </c>
      <c r="M12" s="12">
        <f t="shared" si="3"/>
        <v>21.90349613660403</v>
      </c>
      <c r="N12" s="19">
        <f t="shared" si="4"/>
        <v>1566.0999737671882</v>
      </c>
      <c r="O12" s="58">
        <f t="shared" si="5"/>
        <v>0.0029406736544314543</v>
      </c>
    </row>
    <row r="13" spans="1:15" s="21" customFormat="1" ht="24" customHeight="1">
      <c r="A13" s="14" t="str">
        <f>'Orçamento Analítico'!A34</f>
        <v xml:space="preserve"> 1.2.3</v>
      </c>
      <c r="B13" s="13">
        <f>'Orçamento Analítico'!B35</f>
        <v>20121</v>
      </c>
      <c r="C13" s="14" t="str">
        <f>'Orçamento Analítico'!C35</f>
        <v>GOINFRA.MOD</v>
      </c>
      <c r="D13" s="15" t="str">
        <f>'Orçamento Analítico'!D35</f>
        <v>DEMOLIÇÃO MANUAL EM CONCRETO SIMPLES C/TR.ATE CB.E CARGA (O.C.)</v>
      </c>
      <c r="E13" s="16" t="str">
        <f>'Orçamento Analítico'!E35</f>
        <v>m³</v>
      </c>
      <c r="F13" s="17">
        <v>0.75</v>
      </c>
      <c r="G13" s="18"/>
      <c r="H13" s="20">
        <f>'Orçamento Analítico'!H35</f>
        <v>207.0328</v>
      </c>
      <c r="I13" s="19">
        <f t="shared" si="6"/>
        <v>207.0328</v>
      </c>
      <c r="J13" s="12">
        <f t="shared" si="0"/>
        <v>155.27460000000002</v>
      </c>
      <c r="K13" s="12">
        <f t="shared" si="1"/>
        <v>0</v>
      </c>
      <c r="L13" s="12">
        <f t="shared" si="2"/>
        <v>250.3256701326175</v>
      </c>
      <c r="M13" s="12">
        <f t="shared" si="3"/>
        <v>250.3256701326175</v>
      </c>
      <c r="N13" s="19">
        <f t="shared" si="4"/>
        <v>187.74425259946312</v>
      </c>
      <c r="O13" s="58">
        <f t="shared" si="5"/>
        <v>0.000352528310221553</v>
      </c>
    </row>
    <row r="14" spans="1:15" s="21" customFormat="1" ht="24" customHeight="1">
      <c r="A14" s="14" t="str">
        <f>'Orçamento Analítico'!A39</f>
        <v>1.2.4</v>
      </c>
      <c r="B14" s="13">
        <f>'Orçamento Analítico'!B40</f>
        <v>97661</v>
      </c>
      <c r="C14" s="14" t="str">
        <f>'Orçamento Analítico'!C40</f>
        <v>SINAPI</v>
      </c>
      <c r="D14" s="15" t="str">
        <f>'Orçamento Analítico'!D40</f>
        <v>REMOÇÃO DE CABOS ELÉTRICOS, DE FORMA MANUAL, SEM REAPROVEITAMENTO</v>
      </c>
      <c r="E14" s="16" t="str">
        <f>'Orçamento Analítico'!E40</f>
        <v>m</v>
      </c>
      <c r="F14" s="17">
        <v>112.68</v>
      </c>
      <c r="G14" s="18"/>
      <c r="H14" s="20">
        <f>'Orçamento Analítico'!H40</f>
        <v>0.562472</v>
      </c>
      <c r="I14" s="19">
        <f t="shared" si="6"/>
        <v>0.562472</v>
      </c>
      <c r="J14" s="12">
        <f t="shared" si="0"/>
        <v>63.37934496</v>
      </c>
      <c r="K14" s="12">
        <f t="shared" si="1"/>
        <v>0</v>
      </c>
      <c r="L14" s="12">
        <f t="shared" si="2"/>
        <v>0.6800911755568857</v>
      </c>
      <c r="M14" s="12">
        <f t="shared" si="3"/>
        <v>0.6800911755568857</v>
      </c>
      <c r="N14" s="19">
        <f t="shared" si="4"/>
        <v>76.63267366174989</v>
      </c>
      <c r="O14" s="58">
        <f t="shared" si="5"/>
        <v>0.00014389354976086042</v>
      </c>
    </row>
    <row r="15" spans="1:15" s="21" customFormat="1" ht="24" customHeight="1">
      <c r="A15" s="14" t="str">
        <f>'Orçamento Analítico'!A44</f>
        <v>1.2.5</v>
      </c>
      <c r="B15" s="91">
        <f>'Orçamento Analítico'!B45</f>
        <v>97660</v>
      </c>
      <c r="C15" s="90" t="str">
        <f>'Orçamento Analítico'!C45</f>
        <v>SINAPI</v>
      </c>
      <c r="D15" s="92" t="str">
        <f>'Orçamento Analítico'!D45</f>
        <v>REMOÇÃO DE INTERRUPTORES/TOMADAS ELÉTRICAS, DE FORMA MANUAL, SEM REAPROVEITAMENTO. AF_12/2017</v>
      </c>
      <c r="E15" s="93" t="str">
        <f>'Orçamento Analítico'!E45</f>
        <v>un</v>
      </c>
      <c r="F15" s="104">
        <v>5</v>
      </c>
      <c r="G15" s="20"/>
      <c r="H15" s="20">
        <f>'Orçamento Analítico'!H45</f>
        <v>0.5582900000000001</v>
      </c>
      <c r="I15" s="19">
        <f aca="true" t="shared" si="7" ref="I15">G15+H15</f>
        <v>0.5582900000000001</v>
      </c>
      <c r="J15" s="12">
        <f t="shared" si="0"/>
        <v>2.79145</v>
      </c>
      <c r="K15" s="12">
        <f t="shared" si="1"/>
        <v>0</v>
      </c>
      <c r="L15" s="12">
        <f t="shared" si="2"/>
        <v>0.6750346726622014</v>
      </c>
      <c r="M15" s="12">
        <f t="shared" si="3"/>
        <v>0.6750346726622014</v>
      </c>
      <c r="N15" s="19">
        <f t="shared" si="4"/>
        <v>3.3751733633110073</v>
      </c>
      <c r="O15" s="58">
        <f t="shared" si="5"/>
        <v>6.337579691513963E-06</v>
      </c>
    </row>
    <row r="16" spans="1:15" s="21" customFormat="1" ht="36" customHeight="1">
      <c r="A16" s="14" t="str">
        <f>'Orçamento Analítico'!A49</f>
        <v xml:space="preserve"> 1.2.6</v>
      </c>
      <c r="B16" s="13">
        <f>'Orçamento Analítico'!B50</f>
        <v>97662</v>
      </c>
      <c r="C16" s="14" t="str">
        <f>'Orçamento Analítico'!C50</f>
        <v>SINAPI</v>
      </c>
      <c r="D16" s="15" t="str">
        <f>'Orçamento Analítico'!D50</f>
        <v>REMOÇÃO MANUAL DE TUBULAÇÃO (TUBO E CONEXÃO)  C/ TRANSP. ATÉ CB. E CARGA ( EXCLUSO RASGOS E ESCAVAÇÕES)</v>
      </c>
      <c r="E16" s="16" t="str">
        <f>'Orçamento Analítico'!E50</f>
        <v>m</v>
      </c>
      <c r="F16" s="17">
        <v>37.56</v>
      </c>
      <c r="G16" s="18"/>
      <c r="H16" s="20">
        <f>'Orçamento Analítico'!H50</f>
        <v>0.411495</v>
      </c>
      <c r="I16" s="19">
        <f t="shared" si="6"/>
        <v>0.411495</v>
      </c>
      <c r="J16" s="12">
        <f t="shared" si="0"/>
        <v>15.455752200000001</v>
      </c>
      <c r="K16" s="12">
        <f t="shared" si="1"/>
        <v>0</v>
      </c>
      <c r="L16" s="12">
        <f t="shared" si="2"/>
        <v>0.4975431991028543</v>
      </c>
      <c r="M16" s="12">
        <f t="shared" si="3"/>
        <v>0.4975431991028543</v>
      </c>
      <c r="N16" s="19">
        <f t="shared" si="4"/>
        <v>18.68772255830321</v>
      </c>
      <c r="O16" s="58">
        <f t="shared" si="5"/>
        <v>3.509002893112621E-05</v>
      </c>
    </row>
    <row r="17" spans="1:15" s="21" customFormat="1" ht="14.25">
      <c r="A17" s="64" t="str">
        <f>'Orçamento Analítico'!A54</f>
        <v xml:space="preserve"> 1.3 </v>
      </c>
      <c r="B17" s="64"/>
      <c r="C17" s="64"/>
      <c r="D17" s="65" t="str">
        <f>'Orçamento Analítico'!D54</f>
        <v>REMOÇÃO DE ENTULHOS</v>
      </c>
      <c r="E17" s="65"/>
      <c r="F17" s="66"/>
      <c r="G17" s="65"/>
      <c r="H17" s="67"/>
      <c r="I17" s="67"/>
      <c r="J17" s="65"/>
      <c r="K17" s="69"/>
      <c r="L17" s="65"/>
      <c r="M17" s="69"/>
      <c r="N17" s="70"/>
      <c r="O17" s="68"/>
    </row>
    <row r="18" spans="1:15" s="21" customFormat="1" ht="24" customHeight="1">
      <c r="A18" s="14" t="str">
        <f>'Orçamento Analítico'!A55</f>
        <v xml:space="preserve"> 1.3.1 </v>
      </c>
      <c r="B18" s="13">
        <f>'Orçamento Analítico'!B56</f>
        <v>30105</v>
      </c>
      <c r="C18" s="14" t="str">
        <f>'Orçamento Analítico'!C56</f>
        <v>GOINFRA.MOD</v>
      </c>
      <c r="D18" s="15" t="str">
        <f>'Orçamento Analítico'!D56</f>
        <v>TRANSPORTE DE ENTULHO EM CAÇAMBA ESTACIONÁRIA  INCLUSO A CARGA MANUAL</v>
      </c>
      <c r="E18" s="16" t="str">
        <f>'Orçamento Analítico'!E56</f>
        <v>m³</v>
      </c>
      <c r="F18" s="17">
        <v>29.6</v>
      </c>
      <c r="G18" s="18">
        <f>'Orçamento Analítico'!H57</f>
        <v>60</v>
      </c>
      <c r="H18" s="20">
        <f>'Orçamento Analítico'!H58</f>
        <v>11.375</v>
      </c>
      <c r="I18" s="19">
        <f>G18+H18</f>
        <v>71.375</v>
      </c>
      <c r="J18" s="12">
        <f>F18*I18</f>
        <v>2112.7000000000003</v>
      </c>
      <c r="K18" s="12">
        <f>G18*(1+$G$2)</f>
        <v>72.5466699380825</v>
      </c>
      <c r="L18" s="12">
        <f>H18*(1+$G$2)</f>
        <v>13.753639509094809</v>
      </c>
      <c r="M18" s="12">
        <f>K18+L18</f>
        <v>86.30030944717731</v>
      </c>
      <c r="N18" s="19">
        <f>F18*M18</f>
        <v>2554.4891596364487</v>
      </c>
      <c r="O18" s="58">
        <f>N18/$N$102</f>
        <v>0.004796576909585179</v>
      </c>
    </row>
    <row r="19" spans="1:15" s="21" customFormat="1" ht="14.25">
      <c r="A19" s="59">
        <f>'Orçamento Analítico'!A60</f>
        <v>2</v>
      </c>
      <c r="B19" s="59"/>
      <c r="C19" s="59"/>
      <c r="D19" s="60" t="str">
        <f>'Orçamento Analítico'!D60</f>
        <v>PAINÉIS E VEDAÇÕES</v>
      </c>
      <c r="E19" s="60"/>
      <c r="F19" s="72"/>
      <c r="G19" s="60"/>
      <c r="H19" s="62"/>
      <c r="I19" s="62"/>
      <c r="J19" s="63">
        <f>SUM(J20:J27)</f>
        <v>45552.41688558001</v>
      </c>
      <c r="K19" s="115" t="str">
        <f aca="true" t="shared" si="8" ref="K19:K44">IF(TRUNC(G19*(1+$G$2),2)=0,"",TRUNC(G19*(1+$G$2),2))</f>
        <v/>
      </c>
      <c r="L19" s="114"/>
      <c r="M19" s="115" t="str">
        <f aca="true" t="shared" si="9" ref="M19:M44">IF(TRUNC(L19*(1+$G$2),2)=0,"",TRUNC(L19*(1+$G$2),2))</f>
        <v/>
      </c>
      <c r="N19" s="63">
        <f>SUM(N20:N27)</f>
        <v>55077.935878001816</v>
      </c>
      <c r="O19" s="117">
        <f>N19/$N$102</f>
        <v>0.10342011218306957</v>
      </c>
    </row>
    <row r="20" spans="1:15" s="21" customFormat="1" ht="14.25">
      <c r="A20" s="64" t="str">
        <f>'Orçamento Analítico'!A61</f>
        <v>2.1</v>
      </c>
      <c r="B20" s="64"/>
      <c r="C20" s="64"/>
      <c r="D20" s="65" t="str">
        <f>'Orçamento Analítico'!D61</f>
        <v>ALVENARIA</v>
      </c>
      <c r="E20" s="65"/>
      <c r="F20" s="66"/>
      <c r="G20" s="65"/>
      <c r="H20" s="67"/>
      <c r="I20" s="67"/>
      <c r="J20" s="65"/>
      <c r="K20" s="69" t="str">
        <f t="shared" si="8"/>
        <v/>
      </c>
      <c r="L20" s="65"/>
      <c r="M20" s="69" t="str">
        <f t="shared" si="9"/>
        <v/>
      </c>
      <c r="N20" s="70"/>
      <c r="O20" s="68"/>
    </row>
    <row r="21" spans="1:15" s="21" customFormat="1" ht="24" customHeight="1">
      <c r="A21" s="14" t="str">
        <f>'Orçamento Analítico'!A62</f>
        <v>2.1.1</v>
      </c>
      <c r="B21" s="13">
        <f>'Orçamento Analítico'!B63</f>
        <v>101159</v>
      </c>
      <c r="C21" s="14" t="str">
        <f>'Orçamento Analítico'!C63</f>
        <v>SINAPI</v>
      </c>
      <c r="D21" s="15" t="str">
        <f>'Orçamento Analítico'!D63</f>
        <v>ALVENARIA DE VEDAÇÃO DE BLOCOS CERÂMICOS MACIÇOS DE 5X10X20CM (ESPESSURA 10CM) E ARGAMASSA DE ASSENTAMENTO COM PREPARO EM BETONEIRA</v>
      </c>
      <c r="E21" s="16" t="str">
        <f>'Orçamento Analítico'!E63</f>
        <v>m²</v>
      </c>
      <c r="F21" s="17">
        <v>13.88</v>
      </c>
      <c r="G21" s="18">
        <f>SUM('Orçamento Analítico'!H64:H65)</f>
        <v>69.96795999999999</v>
      </c>
      <c r="H21" s="20">
        <f>SUM('Orçamento Analítico'!H66:H67)</f>
        <v>63.646730000000005</v>
      </c>
      <c r="I21" s="19">
        <f aca="true" t="shared" si="10" ref="I21:I23">G21+H21</f>
        <v>133.61469</v>
      </c>
      <c r="J21" s="12">
        <f>F21*I21</f>
        <v>1854.5718972</v>
      </c>
      <c r="K21" s="12">
        <f aca="true" t="shared" si="11" ref="K21:L23">G21*(1+$G$2)</f>
        <v>84.59904167268265</v>
      </c>
      <c r="L21" s="12">
        <f t="shared" si="11"/>
        <v>76.95597189913757</v>
      </c>
      <c r="M21" s="12">
        <f>K21+L21</f>
        <v>161.5550135718202</v>
      </c>
      <c r="N21" s="19">
        <f>F21*M21</f>
        <v>2242.3835883768647</v>
      </c>
      <c r="O21" s="58">
        <f>N21/$N$102</f>
        <v>0.004210534737196525</v>
      </c>
    </row>
    <row r="22" spans="1:15" s="21" customFormat="1" ht="38.25">
      <c r="A22" s="14" t="str">
        <f>'Orçamento Analítico'!A69</f>
        <v>2.1.2</v>
      </c>
      <c r="B22" s="13">
        <f>'Orçamento Analítico'!B70</f>
        <v>87878</v>
      </c>
      <c r="C22" s="14" t="str">
        <f>'Orçamento Analítico'!C70</f>
        <v>SINAPI</v>
      </c>
      <c r="D22" s="15" t="str">
        <f>'Orçamento Analítico'!D70</f>
        <v>CHAPISCO APLICADO EM ALVENARIAS E ESTRUTURAS DE CONCRETO INTERNAS, COM COLHER DE PEDREIRO.  ARGAMASSA TRAÇO 1:3 COM PREPARO MANUAL. AF_06/2014</v>
      </c>
      <c r="E22" s="16" t="str">
        <f>'Orçamento Analítico'!E70</f>
        <v>m²</v>
      </c>
      <c r="F22" s="17">
        <v>13.88</v>
      </c>
      <c r="G22" s="18">
        <f>'Orçamento Analítico'!H71</f>
        <v>2.376948</v>
      </c>
      <c r="H22" s="20">
        <f>SUM('Orçamento Analítico'!H72:H73)</f>
        <v>1.8081000000000003</v>
      </c>
      <c r="I22" s="19">
        <f t="shared" si="10"/>
        <v>4.185048</v>
      </c>
      <c r="J22" s="12">
        <f>F22*I22</f>
        <v>58.08846624</v>
      </c>
      <c r="K22" s="12">
        <f t="shared" si="11"/>
        <v>2.873994366933089</v>
      </c>
      <c r="L22" s="12">
        <f t="shared" si="11"/>
        <v>2.1861938985841167</v>
      </c>
      <c r="M22" s="12">
        <f>K22+L22</f>
        <v>5.060188265517206</v>
      </c>
      <c r="N22" s="19">
        <f>F22*M22</f>
        <v>70.23541312537881</v>
      </c>
      <c r="O22" s="58">
        <f>N22/$N$102</f>
        <v>0.00013188138206087104</v>
      </c>
    </row>
    <row r="23" spans="1:15" s="21" customFormat="1" ht="51">
      <c r="A23" s="14" t="str">
        <f>'Orçamento Analítico'!A75</f>
        <v>2.1.3</v>
      </c>
      <c r="B23" s="13">
        <f>'Orçamento Analítico'!B76</f>
        <v>87529</v>
      </c>
      <c r="C23" s="14" t="str">
        <f>'Orçamento Analítico'!C76</f>
        <v>SINAPI</v>
      </c>
      <c r="D23" s="15" t="str">
        <f>'Orçamento Analítico'!D76</f>
        <v>MASSA ÚNICA, PARA RECEBIMENTO DE PINTURA, EM ARGAMASSA TRAÇO 1:2:8, PREPARO MECÂNICO COM BETONEIRA 400L, APLICADA MANUALMENTE EM FACES INTERNAS DE PAREDES, ESPESSURA DE 20MM, COM EXECUÇÃO DE TALISCAS. AF_06/2014</v>
      </c>
      <c r="E23" s="16" t="str">
        <f>'Orçamento Analítico'!E76</f>
        <v>m²</v>
      </c>
      <c r="F23" s="17">
        <v>13.88</v>
      </c>
      <c r="G23" s="18">
        <f>'Orçamento Analítico'!H77</f>
        <v>20.928912</v>
      </c>
      <c r="H23" s="20">
        <f>SUM('Orçamento Analítico'!H78:H79)</f>
        <v>14.305399999999999</v>
      </c>
      <c r="I23" s="19">
        <f t="shared" si="10"/>
        <v>35.234312</v>
      </c>
      <c r="J23" s="12">
        <f>F23*I23</f>
        <v>489.05225056000006</v>
      </c>
      <c r="K23" s="12">
        <f t="shared" si="11"/>
        <v>25.30538118378624</v>
      </c>
      <c r="L23" s="12">
        <f t="shared" si="11"/>
        <v>17.296818868870755</v>
      </c>
      <c r="M23" s="12">
        <f>K23+L23</f>
        <v>42.602200052657</v>
      </c>
      <c r="N23" s="19">
        <f>F23*M23</f>
        <v>591.3185367308791</v>
      </c>
      <c r="O23" s="58">
        <f>N23/$N$102</f>
        <v>0.0011103217364589206</v>
      </c>
    </row>
    <row r="24" spans="1:15" s="21" customFormat="1" ht="14.25">
      <c r="A24" s="64" t="str">
        <f>'Orçamento Analítico'!A81</f>
        <v>2.2</v>
      </c>
      <c r="B24" s="64"/>
      <c r="C24" s="64"/>
      <c r="D24" s="65" t="str">
        <f>'Orçamento Analítico'!D81</f>
        <v>PAINEL/FECHAMENTOS</v>
      </c>
      <c r="E24" s="65"/>
      <c r="F24" s="66"/>
      <c r="G24" s="65"/>
      <c r="H24" s="67"/>
      <c r="I24" s="67"/>
      <c r="J24" s="65"/>
      <c r="K24" s="69"/>
      <c r="L24" s="65"/>
      <c r="M24" s="69"/>
      <c r="N24" s="70"/>
      <c r="O24" s="68"/>
    </row>
    <row r="25" spans="1:15" s="21" customFormat="1" ht="24" customHeight="1">
      <c r="A25" s="14" t="str">
        <f>'Orçamento Analítico'!A82</f>
        <v>2.2.1</v>
      </c>
      <c r="B25" s="13">
        <f>'Orçamento Analítico'!B83</f>
        <v>96364</v>
      </c>
      <c r="C25" s="14" t="str">
        <f>'Orçamento Analítico'!C83</f>
        <v>SINAPI.MOD</v>
      </c>
      <c r="D25" s="15" t="str">
        <f>'Orçamento Analítico'!D83</f>
        <v>PAREDE COM PLACAS DE GESSO ACARTONADO (DRYWALL) E PLACA CIMENTICIA, PARA USO INTERNO  E ESTRUTURA METÁLICA COM GUIAS DUPLAS, SEM VÃOS</v>
      </c>
      <c r="E25" s="16" t="str">
        <f>'Orçamento Analítico'!E83</f>
        <v>m²</v>
      </c>
      <c r="F25" s="17">
        <v>38.37</v>
      </c>
      <c r="G25" s="18">
        <f>SUM('Orçamento Analítico'!H84:H94)</f>
        <v>159.209174</v>
      </c>
      <c r="H25" s="20">
        <f>SUM('Orçamento Analítico'!H95:H96)</f>
        <v>24.91227</v>
      </c>
      <c r="I25" s="19">
        <f aca="true" t="shared" si="12" ref="I25:I27">G25+H25</f>
        <v>184.121444</v>
      </c>
      <c r="J25" s="12">
        <f aca="true" t="shared" si="13" ref="J25:J27">F25*I25</f>
        <v>7064.739806279999</v>
      </c>
      <c r="K25" s="12">
        <f aca="true" t="shared" si="14" ref="K25:K27">G25*(1+$G$2)</f>
        <v>192.5015899548791</v>
      </c>
      <c r="L25" s="12">
        <f aca="true" t="shared" si="15" ref="L25:L27">H25*(1+$G$2)</f>
        <v>30.121703818306578</v>
      </c>
      <c r="M25" s="12">
        <f aca="true" t="shared" si="16" ref="M25:M27">K25+L25</f>
        <v>222.62329377318568</v>
      </c>
      <c r="N25" s="19">
        <f aca="true" t="shared" si="17" ref="N25:N27">F25*M25</f>
        <v>8542.055782077134</v>
      </c>
      <c r="O25" s="58">
        <f>N25/$N$102</f>
        <v>0.016039460324243818</v>
      </c>
    </row>
    <row r="26" spans="1:15" s="21" customFormat="1" ht="24" customHeight="1">
      <c r="A26" s="14" t="str">
        <f>'Orçamento Analítico'!A98</f>
        <v>2.2.2</v>
      </c>
      <c r="B26" s="91">
        <f>'Orçamento Analítico'!B99</f>
        <v>96360</v>
      </c>
      <c r="C26" s="90" t="str">
        <f>'Orçamento Analítico'!C99</f>
        <v>SINAPI</v>
      </c>
      <c r="D26" s="92" t="str">
        <f>'Orçamento Analítico'!D99</f>
        <v>PAREDE COM PLACAS DE GESSO ACARTONADO (DRYWALL), PARA USO INTERNO, COM DUAS FACES SIMPLES E ESTRUTURA METÁLICA COM GUIAS DUPLAS, SEM VÃOS. AF_06/2017_P</v>
      </c>
      <c r="E26" s="93" t="str">
        <f>'Orçamento Analítico'!E99</f>
        <v>m²</v>
      </c>
      <c r="F26" s="104">
        <v>17.2</v>
      </c>
      <c r="G26" s="20">
        <f>SUM('Orçamento Analítico'!H100:H108)</f>
        <v>113.51151</v>
      </c>
      <c r="H26" s="20">
        <f>SUM('Orçamento Analítico'!H109:H110)</f>
        <v>21.872282000000002</v>
      </c>
      <c r="I26" s="19">
        <f aca="true" t="shared" si="18" ref="I26">G26+H26</f>
        <v>135.383792</v>
      </c>
      <c r="J26" s="12">
        <f t="shared" si="13"/>
        <v>2328.6012224</v>
      </c>
      <c r="K26" s="12">
        <f t="shared" si="14"/>
        <v>137.24803416905587</v>
      </c>
      <c r="L26" s="12">
        <f t="shared" si="15"/>
        <v>26.446020384111055</v>
      </c>
      <c r="M26" s="12">
        <f t="shared" si="16"/>
        <v>163.69405455316692</v>
      </c>
      <c r="N26" s="19">
        <f t="shared" si="17"/>
        <v>2815.537738314471</v>
      </c>
      <c r="O26" s="58">
        <f>N26/$N$102</f>
        <v>0.005286749114874645</v>
      </c>
    </row>
    <row r="27" spans="1:15" s="21" customFormat="1" ht="24" customHeight="1">
      <c r="A27" s="14" t="str">
        <f>'Orçamento Analítico'!A112</f>
        <v>2.2.3</v>
      </c>
      <c r="B27" s="91">
        <f>'Orçamento Analítico'!B113</f>
        <v>121530</v>
      </c>
      <c r="C27" s="90" t="str">
        <f>'Orçamento Analítico'!C113</f>
        <v>SBC.MOD</v>
      </c>
      <c r="D27" s="92" t="str">
        <f>'Orçamento Analítico'!D113</f>
        <v>PAINEL RIPADO DE BAMBU OU CUMARU</v>
      </c>
      <c r="E27" s="93" t="str">
        <f>'Orçamento Analítico'!E113</f>
        <v>m²</v>
      </c>
      <c r="F27" s="105">
        <v>90.53</v>
      </c>
      <c r="G27" s="20">
        <f>SUM('Orçamento Analítico'!H114:H116)</f>
        <v>296.73285000000004</v>
      </c>
      <c r="H27" s="20">
        <f>SUM('Orçamento Analítico'!H117:H118)</f>
        <v>76.15308000000002</v>
      </c>
      <c r="I27" s="19">
        <f t="shared" si="12"/>
        <v>372.88593000000003</v>
      </c>
      <c r="J27" s="12">
        <f t="shared" si="13"/>
        <v>33757.363242900006</v>
      </c>
      <c r="K27" s="12">
        <f t="shared" si="14"/>
        <v>358.78300214560915</v>
      </c>
      <c r="L27" s="12">
        <f t="shared" si="15"/>
        <v>92.07753932547323</v>
      </c>
      <c r="M27" s="12">
        <f t="shared" si="16"/>
        <v>450.86054147108234</v>
      </c>
      <c r="N27" s="19">
        <f t="shared" si="17"/>
        <v>40816.40481937709</v>
      </c>
      <c r="O27" s="58">
        <f>N27/$N$102</f>
        <v>0.07664116488823479</v>
      </c>
    </row>
    <row r="28" spans="1:15" s="21" customFormat="1" ht="14.25">
      <c r="A28" s="59">
        <f>'Orçamento Analítico'!A120</f>
        <v>3</v>
      </c>
      <c r="B28" s="59"/>
      <c r="C28" s="59"/>
      <c r="D28" s="60" t="str">
        <f>'Orçamento Analítico'!D120</f>
        <v>PAVIMENTAÇÕES</v>
      </c>
      <c r="E28" s="60"/>
      <c r="F28" s="72"/>
      <c r="G28" s="60"/>
      <c r="H28" s="62"/>
      <c r="I28" s="62"/>
      <c r="J28" s="63">
        <f>SUM(J29:J39)</f>
        <v>99712.28732088</v>
      </c>
      <c r="K28" s="115" t="str">
        <f t="shared" si="8"/>
        <v/>
      </c>
      <c r="L28" s="114"/>
      <c r="M28" s="115" t="str">
        <f t="shared" si="9"/>
        <v/>
      </c>
      <c r="N28" s="63">
        <f>SUM(N29:N39)</f>
        <v>120563.23995065215</v>
      </c>
      <c r="O28" s="117">
        <f>N28/$N$102</f>
        <v>0.22638219101872292</v>
      </c>
    </row>
    <row r="29" spans="1:15" s="21" customFormat="1" ht="14.25">
      <c r="A29" s="64" t="str">
        <f>'Orçamento Analítico'!A121</f>
        <v>3.1</v>
      </c>
      <c r="B29" s="64"/>
      <c r="C29" s="64"/>
      <c r="D29" s="65" t="str">
        <f>'Orçamento Analítico'!D121</f>
        <v>REGULARIZAÇÃO E COMPACTAÇÃO</v>
      </c>
      <c r="E29" s="65"/>
      <c r="F29" s="66"/>
      <c r="G29" s="65"/>
      <c r="H29" s="67"/>
      <c r="I29" s="67"/>
      <c r="J29" s="65"/>
      <c r="K29" s="69" t="str">
        <f t="shared" si="8"/>
        <v/>
      </c>
      <c r="L29" s="65"/>
      <c r="M29" s="69" t="str">
        <f t="shared" si="9"/>
        <v/>
      </c>
      <c r="N29" s="70"/>
      <c r="O29" s="68"/>
    </row>
    <row r="30" spans="1:15" s="21" customFormat="1" ht="24" customHeight="1">
      <c r="A30" s="14" t="str">
        <f>'Orçamento Analítico'!A122</f>
        <v>3.1.1</v>
      </c>
      <c r="B30" s="13">
        <f>'Orçamento Analítico'!B123</f>
        <v>94342</v>
      </c>
      <c r="C30" s="14" t="str">
        <f>'Orçamento Analítico'!C123</f>
        <v>SINAPI</v>
      </c>
      <c r="D30" s="15" t="str">
        <f>'Orçamento Analítico'!D123</f>
        <v>ATERRO MANUAL DE VALAS COM AREIA PARA ATERRO E COMPACTAÇÃO MECANIZADA. AF_05/2016</v>
      </c>
      <c r="E30" s="16" t="str">
        <f>'Orçamento Analítico'!E123</f>
        <v>m³</v>
      </c>
      <c r="F30" s="17">
        <v>16.46</v>
      </c>
      <c r="G30" s="18">
        <f>SUM('Orçamento Analítico'!H124:H126)</f>
        <v>83.06086</v>
      </c>
      <c r="H30" s="20">
        <f>SUM('Orçamento Analítico'!H127:H129)</f>
        <v>28.288680000000003</v>
      </c>
      <c r="I30" s="19">
        <f aca="true" t="shared" si="19" ref="I30:I31">G30+H30</f>
        <v>111.34954</v>
      </c>
      <c r="J30" s="12">
        <f aca="true" t="shared" si="20" ref="J30:J31">F30*I30</f>
        <v>1832.8134284000002</v>
      </c>
      <c r="K30" s="12">
        <f aca="true" t="shared" si="21" ref="K30:K31">G30*(1+$G$2)</f>
        <v>100.42981325322134</v>
      </c>
      <c r="L30" s="12">
        <f aca="true" t="shared" si="22" ref="L30:L31">H30*(1+$G$2)</f>
        <v>34.20415884906727</v>
      </c>
      <c r="M30" s="12">
        <f aca="true" t="shared" si="23" ref="M30:M31">K30+L30</f>
        <v>134.63397210228862</v>
      </c>
      <c r="N30" s="19">
        <f aca="true" t="shared" si="24" ref="N30:N31">F30*M30</f>
        <v>2216.0751808036707</v>
      </c>
      <c r="O30" s="58">
        <f>N30/$N$102</f>
        <v>0.004161135310380599</v>
      </c>
    </row>
    <row r="31" spans="1:15" s="21" customFormat="1" ht="24" customHeight="1">
      <c r="A31" s="14" t="str">
        <f>'Orçamento Analítico'!A131</f>
        <v>3.1.2</v>
      </c>
      <c r="B31" s="13">
        <f>'Orçamento Analítico'!B132</f>
        <v>96622</v>
      </c>
      <c r="C31" s="14" t="str">
        <f>'Orçamento Analítico'!C132</f>
        <v>SINAPI</v>
      </c>
      <c r="D31" s="15" t="str">
        <f>'Orçamento Analítico'!D132</f>
        <v>LASTRO COM MATERIAL GRANULAR, APLICADO EM PISOS OU LAJES SOBRE SOLO, ESPESSURA DE *5 CM*. AF_08/2017</v>
      </c>
      <c r="E31" s="16" t="str">
        <f>'Orçamento Analítico'!E132</f>
        <v>m³</v>
      </c>
      <c r="F31" s="17">
        <v>4.01</v>
      </c>
      <c r="G31" s="18">
        <f>SUM('Orçamento Analítico'!H133)</f>
        <v>91.417</v>
      </c>
      <c r="H31" s="20">
        <f>SUM('Orçamento Analítico'!H134:H137)</f>
        <v>36.55635000000001</v>
      </c>
      <c r="I31" s="19">
        <f t="shared" si="19"/>
        <v>127.97335000000001</v>
      </c>
      <c r="J31" s="12">
        <f t="shared" si="20"/>
        <v>513.1731335000001</v>
      </c>
      <c r="K31" s="12">
        <f t="shared" si="21"/>
        <v>110.53331542882815</v>
      </c>
      <c r="L31" s="12">
        <f t="shared" si="22"/>
        <v>44.200690959850384</v>
      </c>
      <c r="M31" s="12">
        <f t="shared" si="23"/>
        <v>154.73400638867852</v>
      </c>
      <c r="N31" s="19">
        <f t="shared" si="24"/>
        <v>620.4833656186008</v>
      </c>
      <c r="O31" s="58">
        <f>N31/$N$102</f>
        <v>0.0011650846796826678</v>
      </c>
    </row>
    <row r="32" spans="1:15" s="21" customFormat="1" ht="14.25">
      <c r="A32" s="64" t="str">
        <f>'Orçamento Analítico'!A139</f>
        <v>3.2</v>
      </c>
      <c r="B32" s="64"/>
      <c r="C32" s="64"/>
      <c r="D32" s="65" t="str">
        <f>'Orçamento Analítico'!D139</f>
        <v>PISOS</v>
      </c>
      <c r="E32" s="65"/>
      <c r="F32" s="66"/>
      <c r="G32" s="65"/>
      <c r="H32" s="67"/>
      <c r="I32" s="67"/>
      <c r="J32" s="65"/>
      <c r="K32" s="69"/>
      <c r="L32" s="65"/>
      <c r="M32" s="69"/>
      <c r="N32" s="70"/>
      <c r="O32" s="68"/>
    </row>
    <row r="33" spans="1:15" s="21" customFormat="1" ht="24" customHeight="1">
      <c r="A33" s="14" t="str">
        <f>'Orçamento Analítico'!A140</f>
        <v>3.2.1</v>
      </c>
      <c r="B33" s="13">
        <f>'Orçamento Analítico'!B141</f>
        <v>101731</v>
      </c>
      <c r="C33" s="14" t="str">
        <f>'Orçamento Analítico'!C141</f>
        <v>SINAPI</v>
      </c>
      <c r="D33" s="15" t="str">
        <f>'Orçamento Analítico'!D141</f>
        <v>PISO EM PEDRA  SÃO TOMÉ ASSENTADO SOBRE ARGAMASSA 1:3 (CIMENTO E AREIA)</v>
      </c>
      <c r="E33" s="16" t="str">
        <f>'Orçamento Analítico'!E141</f>
        <v>m²</v>
      </c>
      <c r="F33" s="17">
        <v>271.15</v>
      </c>
      <c r="G33" s="18">
        <f>SUM('Orçamento Analítico'!H142:H143)</f>
        <v>278.68062699999996</v>
      </c>
      <c r="H33" s="20">
        <f>SUM('Orçamento Analítico'!H144:H145)</f>
        <v>41.57</v>
      </c>
      <c r="I33" s="19">
        <f aca="true" t="shared" si="25" ref="I33:I34">G33+H33</f>
        <v>320.25062699999995</v>
      </c>
      <c r="J33" s="12">
        <f aca="true" t="shared" si="26" ref="J33:J34">F33*I33</f>
        <v>86835.95751104999</v>
      </c>
      <c r="K33" s="12">
        <f aca="true" t="shared" si="27" ref="K33:K34">G33*(1+$G$2)</f>
        <v>336.95585775178137</v>
      </c>
      <c r="L33" s="12">
        <f aca="true" t="shared" si="28" ref="L33:L34">H33*(1+$G$2)</f>
        <v>50.26275115543483</v>
      </c>
      <c r="M33" s="12">
        <f aca="true" t="shared" si="29" ref="M33:M34">K33+L33</f>
        <v>387.2186089072162</v>
      </c>
      <c r="N33" s="19">
        <f aca="true" t="shared" si="30" ref="N33:N34">F33*M33</f>
        <v>104994.32580519166</v>
      </c>
      <c r="O33" s="58">
        <f>N33/$N$102</f>
        <v>0.19714836404563926</v>
      </c>
    </row>
    <row r="34" spans="1:15" s="21" customFormat="1" ht="24" customHeight="1">
      <c r="A34" s="14" t="str">
        <f>'Orçamento Analítico'!A147</f>
        <v>3.2.2</v>
      </c>
      <c r="B34" s="13">
        <f>'Orçamento Analítico'!B148</f>
        <v>87263</v>
      </c>
      <c r="C34" s="14" t="str">
        <f>'Orçamento Analítico'!C148</f>
        <v>SINAPI.MOD</v>
      </c>
      <c r="D34" s="15" t="str">
        <f>'Orçamento Analítico'!D148</f>
        <v>PORCELANATO POLIDO BEGE 80X80CM</v>
      </c>
      <c r="E34" s="16" t="str">
        <f>'Orçamento Analítico'!E148</f>
        <v>m²</v>
      </c>
      <c r="F34" s="17">
        <v>38.1</v>
      </c>
      <c r="G34" s="18">
        <f>SUM('Orçamento Analítico'!H149:H151)</f>
        <v>85.7932</v>
      </c>
      <c r="H34" s="20">
        <f>SUM('Orçamento Analítico'!H152:H153)</f>
        <v>14.275599999999999</v>
      </c>
      <c r="I34" s="19">
        <f t="shared" si="25"/>
        <v>100.0688</v>
      </c>
      <c r="J34" s="12">
        <f t="shared" si="26"/>
        <v>3812.62128</v>
      </c>
      <c r="K34" s="12">
        <f t="shared" si="27"/>
        <v>103.73351605553167</v>
      </c>
      <c r="L34" s="12">
        <f t="shared" si="28"/>
        <v>17.26078735613484</v>
      </c>
      <c r="M34" s="12">
        <f t="shared" si="29"/>
        <v>120.99430341166651</v>
      </c>
      <c r="N34" s="19">
        <f t="shared" si="30"/>
        <v>4609.882959984494</v>
      </c>
      <c r="O34" s="58">
        <f>N34/$N$102</f>
        <v>0.008655999998410133</v>
      </c>
    </row>
    <row r="35" spans="1:15" s="21" customFormat="1" ht="14.25">
      <c r="A35" s="64" t="str">
        <f>'Orçamento Analítico'!A155</f>
        <v>3.3</v>
      </c>
      <c r="B35" s="64"/>
      <c r="C35" s="64"/>
      <c r="D35" s="65" t="str">
        <f>'Orçamento Analítico'!D155</f>
        <v>SOLEIRAS</v>
      </c>
      <c r="E35" s="65"/>
      <c r="F35" s="66"/>
      <c r="G35" s="65"/>
      <c r="H35" s="67"/>
      <c r="I35" s="67"/>
      <c r="J35" s="65"/>
      <c r="K35" s="69"/>
      <c r="L35" s="65"/>
      <c r="M35" s="69"/>
      <c r="N35" s="70"/>
      <c r="O35" s="68"/>
    </row>
    <row r="36" spans="1:15" s="21" customFormat="1" ht="24" customHeight="1">
      <c r="A36" s="14" t="str">
        <f>'Orçamento Analítico'!A156</f>
        <v>3.3.1</v>
      </c>
      <c r="B36" s="13">
        <f>'Orçamento Analítico'!B157</f>
        <v>101731</v>
      </c>
      <c r="C36" s="14" t="str">
        <f>'Orçamento Analítico'!C157</f>
        <v>SINAPI</v>
      </c>
      <c r="D36" s="15" t="str">
        <f>'Orçamento Analítico'!D157</f>
        <v>SOLEIRA EM PEDRA  SÃO TOMÉ ASSENTADO SOBRE ARGAMASSA 1:3 (CIMENTO E AREIA)</v>
      </c>
      <c r="E36" s="16" t="str">
        <f>'Orçamento Analítico'!E157</f>
        <v>m²</v>
      </c>
      <c r="F36" s="17">
        <v>7.69</v>
      </c>
      <c r="G36" s="18">
        <f>SUM('Orçamento Analítico'!H158:H159)</f>
        <v>278.68062699999996</v>
      </c>
      <c r="H36" s="20">
        <f>SUM('Orçamento Analítico'!H160:H161)</f>
        <v>41.57</v>
      </c>
      <c r="I36" s="19">
        <f>G36+H36</f>
        <v>320.25062699999995</v>
      </c>
      <c r="J36" s="12">
        <f>F36*I36</f>
        <v>2462.7273216299996</v>
      </c>
      <c r="K36" s="12">
        <f>G36*(1+$G$2)</f>
        <v>336.95585775178137</v>
      </c>
      <c r="L36" s="12">
        <f>H36*(1+$G$2)</f>
        <v>50.26275115543483</v>
      </c>
      <c r="M36" s="12">
        <f>K36+L36</f>
        <v>387.2186089072162</v>
      </c>
      <c r="N36" s="19">
        <f>F36*M36</f>
        <v>2977.711102496493</v>
      </c>
      <c r="O36" s="58">
        <f>N36/$N$102</f>
        <v>0.005591262841641033</v>
      </c>
    </row>
    <row r="37" spans="1:15" s="21" customFormat="1" ht="14.25">
      <c r="A37" s="64" t="str">
        <f>'Orçamento Analítico'!A163</f>
        <v>3.4</v>
      </c>
      <c r="B37" s="64"/>
      <c r="C37" s="64"/>
      <c r="D37" s="65" t="str">
        <f>'Orçamento Analítico'!D163</f>
        <v>CALÇADAS E CONTRAPISOS</v>
      </c>
      <c r="E37" s="65"/>
      <c r="F37" s="66"/>
      <c r="G37" s="65"/>
      <c r="H37" s="67"/>
      <c r="I37" s="67"/>
      <c r="J37" s="65"/>
      <c r="K37" s="69"/>
      <c r="L37" s="65"/>
      <c r="M37" s="69"/>
      <c r="N37" s="70"/>
      <c r="O37" s="68"/>
    </row>
    <row r="38" spans="1:15" s="21" customFormat="1" ht="24" customHeight="1">
      <c r="A38" s="14" t="str">
        <f>'Orçamento Analítico'!A164</f>
        <v>3.4.1</v>
      </c>
      <c r="B38" s="13">
        <f>'Orçamento Analítico'!B165</f>
        <v>94990</v>
      </c>
      <c r="C38" s="14" t="str">
        <f>'Orçamento Analítico'!C165</f>
        <v>SINAPI</v>
      </c>
      <c r="D38" s="15" t="str">
        <f>'Orçamento Analítico'!D165</f>
        <v>EXECUÇÃO DE PASSEIO (CALÇADA) OU PISO DE CONCRETO COM CONCRETO MOLDADO IN LOCO, FEITO EM OBRA, ACABAMENTO CONVENCIONAL, NÃO ARMADO</v>
      </c>
      <c r="E38" s="16" t="str">
        <f>'Orçamento Analítico'!E165</f>
        <v>m³</v>
      </c>
      <c r="F38" s="17">
        <v>3.85</v>
      </c>
      <c r="G38" s="18">
        <f>SUM('Orçamento Analítico'!H166:H168)</f>
        <v>543.4045400000001</v>
      </c>
      <c r="H38" s="20">
        <f>SUM('Orçamento Analítico'!H169:H171)</f>
        <v>175.62867</v>
      </c>
      <c r="I38" s="19">
        <f aca="true" t="shared" si="31" ref="I38:I39">G38+H38</f>
        <v>719.03321</v>
      </c>
      <c r="J38" s="12">
        <f aca="true" t="shared" si="32" ref="J38:J39">F38*I38</f>
        <v>2768.2778585</v>
      </c>
      <c r="K38" s="12">
        <f aca="true" t="shared" si="33" ref="K38:K39">G38*(1+$G$2)</f>
        <v>657.0364967705926</v>
      </c>
      <c r="L38" s="12">
        <f aca="true" t="shared" si="34" ref="L38:L39">H38*(1+$G$2)</f>
        <v>212.35458590257355</v>
      </c>
      <c r="M38" s="12">
        <f aca="true" t="shared" si="35" ref="M38:M39">K38+L38</f>
        <v>869.3910826731662</v>
      </c>
      <c r="N38" s="19">
        <f aca="true" t="shared" si="36" ref="N38:N39">F38*M38</f>
        <v>3347.1556682916903</v>
      </c>
      <c r="O38" s="58">
        <f>N38/$N$102</f>
        <v>0.006284970727219677</v>
      </c>
    </row>
    <row r="39" spans="1:15" s="21" customFormat="1" ht="24" customHeight="1">
      <c r="A39" s="14" t="str">
        <f>'Orçamento Analítico'!A173</f>
        <v>3.4.2</v>
      </c>
      <c r="B39" s="13">
        <f>'Orçamento Analítico'!B174</f>
        <v>87632</v>
      </c>
      <c r="C39" s="14" t="str">
        <f>'Orçamento Analítico'!C174</f>
        <v>SINAPI</v>
      </c>
      <c r="D39" s="15" t="str">
        <f>'Orçamento Analítico'!D174</f>
        <v>CONTRAPISO EM ARGAMASSA TRAÇO 1:4 (CIMENTO E AREIA), PREPARO MANUAL, ESP. 3CM</v>
      </c>
      <c r="E39" s="16" t="str">
        <f>'Orçamento Analítico'!E174</f>
        <v>m²</v>
      </c>
      <c r="F39" s="17">
        <v>38.1</v>
      </c>
      <c r="G39" s="18">
        <f>SUM('Orçamento Analítico'!H175:H177)</f>
        <v>30.971788</v>
      </c>
      <c r="H39" s="20">
        <f>SUM('Orçamento Analítico'!H178:H179)</f>
        <v>8.04965</v>
      </c>
      <c r="I39" s="19">
        <f t="shared" si="31"/>
        <v>39.021438</v>
      </c>
      <c r="J39" s="12">
        <f t="shared" si="32"/>
        <v>1486.7167878000002</v>
      </c>
      <c r="K39" s="12">
        <f t="shared" si="33"/>
        <v>37.44833469047108</v>
      </c>
      <c r="L39" s="12">
        <f t="shared" si="34"/>
        <v>9.73292169445143</v>
      </c>
      <c r="M39" s="12">
        <f t="shared" si="35"/>
        <v>47.181256384922506</v>
      </c>
      <c r="N39" s="19">
        <f t="shared" si="36"/>
        <v>1797.6058682655475</v>
      </c>
      <c r="O39" s="58">
        <f>N39/$N$102</f>
        <v>0.003375373415749576</v>
      </c>
    </row>
    <row r="40" spans="1:15" s="21" customFormat="1" ht="14.25">
      <c r="A40" s="59">
        <f>'Orçamento Analítico'!A181</f>
        <v>4</v>
      </c>
      <c r="B40" s="59"/>
      <c r="C40" s="59"/>
      <c r="D40" s="60" t="str">
        <f>'Orçamento Analítico'!D181</f>
        <v>ESQUADRIAS</v>
      </c>
      <c r="E40" s="60"/>
      <c r="F40" s="72"/>
      <c r="G40" s="60"/>
      <c r="H40" s="62"/>
      <c r="I40" s="62"/>
      <c r="J40" s="63">
        <f>SUM(J41:J42)</f>
        <v>55798.164954</v>
      </c>
      <c r="K40" s="115" t="str">
        <f t="shared" si="8"/>
        <v/>
      </c>
      <c r="L40" s="114"/>
      <c r="M40" s="115" t="str">
        <f t="shared" si="9"/>
        <v/>
      </c>
      <c r="N40" s="63">
        <f>SUM(N41:N42)</f>
        <v>67466.18426780868</v>
      </c>
      <c r="O40" s="117">
        <f>N40/$N$102</f>
        <v>0.12668158736005178</v>
      </c>
    </row>
    <row r="41" spans="1:15" s="21" customFormat="1" ht="14.25">
      <c r="A41" s="64" t="str">
        <f>'Orçamento Analítico'!A182</f>
        <v>4.1</v>
      </c>
      <c r="B41" s="64"/>
      <c r="C41" s="64"/>
      <c r="D41" s="65" t="str">
        <f>'Orçamento Analítico'!D182</f>
        <v>DE VIDRO</v>
      </c>
      <c r="E41" s="65"/>
      <c r="F41" s="66"/>
      <c r="G41" s="65"/>
      <c r="H41" s="67"/>
      <c r="I41" s="67"/>
      <c r="J41" s="65"/>
      <c r="K41" s="69" t="str">
        <f t="shared" si="8"/>
        <v/>
      </c>
      <c r="L41" s="65"/>
      <c r="M41" s="69" t="str">
        <f t="shared" si="9"/>
        <v/>
      </c>
      <c r="N41" s="70"/>
      <c r="O41" s="68"/>
    </row>
    <row r="42" spans="1:15" s="21" customFormat="1" ht="14.25">
      <c r="A42" s="14" t="str">
        <f>'Orçamento Analítico'!A183</f>
        <v>4.1.1</v>
      </c>
      <c r="B42" s="13">
        <f>'Orçamento Analítico'!B184</f>
        <v>102235</v>
      </c>
      <c r="C42" s="14" t="str">
        <f>'Orçamento Analítico'!C184</f>
        <v>SINAPI</v>
      </c>
      <c r="D42" s="15" t="str">
        <f>'Orçamento Analítico'!D184</f>
        <v>ESQUADRIA COM VIDRO TEMPERADO 10MM</v>
      </c>
      <c r="E42" s="16" t="s">
        <v>19</v>
      </c>
      <c r="F42" s="17">
        <v>158.58</v>
      </c>
      <c r="G42" s="18">
        <f>SUM('Orçamento Analítico'!H185:H189)</f>
        <v>289.64883</v>
      </c>
      <c r="H42" s="20">
        <f>SUM('Orçamento Analítico'!H190:H193)</f>
        <v>62.21247</v>
      </c>
      <c r="I42" s="19">
        <f>G42+H42</f>
        <v>351.86129999999997</v>
      </c>
      <c r="J42" s="12">
        <f>F42*I42</f>
        <v>55798.164954</v>
      </c>
      <c r="K42" s="12">
        <f>G42*(1+$G$2)</f>
        <v>350.2176344660295</v>
      </c>
      <c r="L42" s="12">
        <f>H42*(1+$G$2)</f>
        <v>75.22179211871433</v>
      </c>
      <c r="M42" s="12">
        <f>K42+L42</f>
        <v>425.43942658474384</v>
      </c>
      <c r="N42" s="19">
        <f>F42*M42</f>
        <v>67466.18426780868</v>
      </c>
      <c r="O42" s="58">
        <f>N42/$N$102</f>
        <v>0.12668158736005178</v>
      </c>
    </row>
    <row r="43" spans="1:15" s="21" customFormat="1" ht="14.25">
      <c r="A43" s="59">
        <f>'Orçamento Analítico'!A195</f>
        <v>5</v>
      </c>
      <c r="B43" s="59"/>
      <c r="C43" s="59"/>
      <c r="D43" s="60" t="str">
        <f>'Orçamento Analítico'!D195</f>
        <v>INSTALAÇÕES ELÉTRICAS</v>
      </c>
      <c r="E43" s="60"/>
      <c r="F43" s="72"/>
      <c r="G43" s="60"/>
      <c r="H43" s="62"/>
      <c r="I43" s="62"/>
      <c r="J43" s="63">
        <f>SUM(J44:J72)</f>
        <v>36341.09115698</v>
      </c>
      <c r="K43" s="115" t="str">
        <f t="shared" si="8"/>
        <v/>
      </c>
      <c r="L43" s="114"/>
      <c r="M43" s="115" t="str">
        <f t="shared" si="9"/>
        <v/>
      </c>
      <c r="N43" s="63">
        <f>SUM(N44:N72)</f>
        <v>43940.41908925328</v>
      </c>
      <c r="O43" s="117">
        <f>N43/$N$102</f>
        <v>0.08250714190973654</v>
      </c>
    </row>
    <row r="44" spans="1:15" s="21" customFormat="1" ht="14.25">
      <c r="A44" s="64" t="str">
        <f>'Orçamento Analítico'!A196</f>
        <v>5.1</v>
      </c>
      <c r="B44" s="64"/>
      <c r="C44" s="64"/>
      <c r="D44" s="65" t="str">
        <f>'Orçamento Analítico'!D196</f>
        <v>INSTALAÇÕES ELÉTRICAS</v>
      </c>
      <c r="E44" s="65"/>
      <c r="F44" s="66"/>
      <c r="G44" s="65"/>
      <c r="H44" s="67"/>
      <c r="I44" s="67"/>
      <c r="J44" s="65"/>
      <c r="K44" s="69" t="str">
        <f t="shared" si="8"/>
        <v/>
      </c>
      <c r="L44" s="65"/>
      <c r="M44" s="69" t="str">
        <f t="shared" si="9"/>
        <v/>
      </c>
      <c r="N44" s="70"/>
      <c r="O44" s="68"/>
    </row>
    <row r="45" spans="1:15" s="21" customFormat="1" ht="24" customHeight="1">
      <c r="A45" s="14" t="str">
        <f>'Orçamento Analítico'!A197</f>
        <v>5.1.1</v>
      </c>
      <c r="B45" s="13">
        <f>'Orçamento Analítico'!B198</f>
        <v>91926</v>
      </c>
      <c r="C45" s="13" t="str">
        <f>'Orçamento Analítico'!C198</f>
        <v>SINAPI</v>
      </c>
      <c r="D45" s="106" t="str">
        <f>'Orçamento Analítico'!D198</f>
        <v>CABO DE COBRE FLEXÍVEL ISOLADO, 2,5 MM², ANTI-CHAMA 450/750 V, PARA CIRCUITOS TERMINAIS - FORNECIMENTO E INSTALAÇÃO. AF_12/2015</v>
      </c>
      <c r="E45" s="13" t="str">
        <f>'Orçamento Analítico'!E198</f>
        <v>m</v>
      </c>
      <c r="F45" s="17">
        <v>676</v>
      </c>
      <c r="G45" s="18">
        <f>SUM('Orçamento Analítico'!H199:H200)</f>
        <v>2.58469</v>
      </c>
      <c r="H45" s="20">
        <f>SUM('Orçamento Analítico'!H201:H202)</f>
        <v>1.2921</v>
      </c>
      <c r="I45" s="19">
        <f aca="true" t="shared" si="37" ref="I45:I54">G45+H45</f>
        <v>3.87679</v>
      </c>
      <c r="J45" s="12">
        <f aca="true" t="shared" si="38" ref="J45:J72">F45*I45</f>
        <v>2620.71004</v>
      </c>
      <c r="K45" s="12">
        <f aca="true" t="shared" si="39" ref="K45:K72">G45*(1+$G$2)</f>
        <v>3.1251775387043748</v>
      </c>
      <c r="L45" s="12">
        <f aca="true" t="shared" si="40" ref="L45:L72">H45*(1+$G$2)</f>
        <v>1.5622925371166068</v>
      </c>
      <c r="M45" s="12">
        <f aca="true" t="shared" si="41" ref="M45:M72">K45+L45</f>
        <v>4.687470075820982</v>
      </c>
      <c r="N45" s="19">
        <f aca="true" t="shared" si="42" ref="N45:N72">F45*M45</f>
        <v>3168.7297712549835</v>
      </c>
      <c r="O45" s="58">
        <f aca="true" t="shared" si="43" ref="O45:O75">N45/$N$102</f>
        <v>0.005949939539254059</v>
      </c>
    </row>
    <row r="46" spans="1:15" s="21" customFormat="1" ht="24" customHeight="1">
      <c r="A46" s="14" t="str">
        <f>'Orçamento Analítico'!A204</f>
        <v>5.1.2</v>
      </c>
      <c r="B46" s="13">
        <f>'Orçamento Analítico'!B205</f>
        <v>91930</v>
      </c>
      <c r="C46" s="13" t="str">
        <f>'Orçamento Analítico'!C205</f>
        <v>SINAPI</v>
      </c>
      <c r="D46" s="106" t="str">
        <f>'Orçamento Analítico'!D205</f>
        <v>CABO DE COBRE FLEXÍVEL ISOLADO, 6 MM², ANTI-CHAMA 450/750 V, PARA CIRCUITOS TERMINAIS - FORNECIMENTO E INSTALAÇÃO. AF_12/2015</v>
      </c>
      <c r="E46" s="13" t="str">
        <f>'Orçamento Analítico'!E205</f>
        <v>m</v>
      </c>
      <c r="F46" s="17">
        <v>184</v>
      </c>
      <c r="G46" s="18">
        <f>SUM('Orçamento Analítico'!H206:H207)</f>
        <v>6.41649</v>
      </c>
      <c r="H46" s="20">
        <f>SUM('Orçamento Analítico'!H208:H209)</f>
        <v>2.23964</v>
      </c>
      <c r="I46" s="19">
        <f t="shared" si="37"/>
        <v>8.65613</v>
      </c>
      <c r="J46" s="12">
        <f t="shared" si="38"/>
        <v>1592.7279199999998</v>
      </c>
      <c r="K46" s="12">
        <f t="shared" si="39"/>
        <v>7.758249703183449</v>
      </c>
      <c r="L46" s="12">
        <f t="shared" si="40"/>
        <v>2.7079737310021184</v>
      </c>
      <c r="M46" s="12">
        <f t="shared" si="41"/>
        <v>10.466223434185569</v>
      </c>
      <c r="N46" s="19">
        <f t="shared" si="42"/>
        <v>1925.7851118901447</v>
      </c>
      <c r="O46" s="58">
        <f t="shared" si="43"/>
        <v>0.003616056214476088</v>
      </c>
    </row>
    <row r="47" spans="1:15" s="21" customFormat="1" ht="24" customHeight="1">
      <c r="A47" s="14" t="str">
        <f>'Orçamento Analítico'!A211</f>
        <v>5.1.3</v>
      </c>
      <c r="B47" s="13">
        <f>'Orçamento Analítico'!B212</f>
        <v>92982</v>
      </c>
      <c r="C47" s="13" t="str">
        <f>'Orçamento Analítico'!C212</f>
        <v>SINAPI</v>
      </c>
      <c r="D47" s="106" t="str">
        <f>'Orçamento Analítico'!D212</f>
        <v>CABO DE COBRE FLEXÍVEL ISOLADO, 16 MM², ANTI-CHAMA 0,6/1,0 KV, PARA DISTRIBUIÇÃO - FORNECIMENTO E INSTALAÇÃO. AF_12/2015</v>
      </c>
      <c r="E47" s="13" t="str">
        <f>'Orçamento Analítico'!E212</f>
        <v>m</v>
      </c>
      <c r="F47" s="17">
        <v>85</v>
      </c>
      <c r="G47" s="18">
        <f>SUM('Orçamento Analítico'!H213:H214)</f>
        <v>15.793549999999998</v>
      </c>
      <c r="H47" s="20">
        <f>SUM('Orçamento Analítico'!H215:H216)</f>
        <v>0.55991</v>
      </c>
      <c r="I47" s="19">
        <f t="shared" si="37"/>
        <v>16.35346</v>
      </c>
      <c r="J47" s="12">
        <f t="shared" si="38"/>
        <v>1390.0440999999998</v>
      </c>
      <c r="K47" s="12">
        <f t="shared" si="39"/>
        <v>19.096157650010046</v>
      </c>
      <c r="L47" s="12">
        <f t="shared" si="40"/>
        <v>0.6769934327505296</v>
      </c>
      <c r="M47" s="12">
        <f t="shared" si="41"/>
        <v>19.773151082760574</v>
      </c>
      <c r="N47" s="19">
        <f t="shared" si="42"/>
        <v>1680.7178420346488</v>
      </c>
      <c r="O47" s="58">
        <f t="shared" si="43"/>
        <v>0.003155892191681313</v>
      </c>
    </row>
    <row r="48" spans="1:15" s="21" customFormat="1" ht="24" customHeight="1">
      <c r="A48" s="14" t="str">
        <f>'Orçamento Analítico'!A218</f>
        <v>5.1.4</v>
      </c>
      <c r="B48" s="13">
        <f>'Orçamento Analítico'!B219</f>
        <v>92984</v>
      </c>
      <c r="C48" s="13" t="str">
        <f>'Orçamento Analítico'!C219</f>
        <v>SINAPI</v>
      </c>
      <c r="D48" s="106" t="str">
        <f>'Orçamento Analítico'!D219</f>
        <v>CABO DE COBRE FLEXÍVEL ISOLADO, 25 MM², ANTI-CHAMA 0,6/1,0 KV, PARA DISTRIBUIÇÃO - FORNECIMENTO E INSTALAÇÃO. AF_12/2015</v>
      </c>
      <c r="E48" s="13" t="str">
        <f>'Orçamento Analítico'!E219</f>
        <v>m</v>
      </c>
      <c r="F48" s="17">
        <v>340</v>
      </c>
      <c r="G48" s="18">
        <f>SUM('Orçamento Analítico'!H220:H221)</f>
        <v>23.74674</v>
      </c>
      <c r="H48" s="20">
        <f>SUM('Orçamento Analítico'!H222:H223)</f>
        <v>2.6186559999999997</v>
      </c>
      <c r="I48" s="19">
        <f t="shared" si="37"/>
        <v>26.365395999999997</v>
      </c>
      <c r="J48" s="12">
        <f t="shared" si="38"/>
        <v>8964.234639999999</v>
      </c>
      <c r="K48" s="12">
        <f t="shared" si="39"/>
        <v>28.712448481424357</v>
      </c>
      <c r="L48" s="12">
        <f t="shared" si="40"/>
        <v>3.1662462085563226</v>
      </c>
      <c r="M48" s="12">
        <f t="shared" si="41"/>
        <v>31.87869468998068</v>
      </c>
      <c r="N48" s="19">
        <f t="shared" si="42"/>
        <v>10838.75619459343</v>
      </c>
      <c r="O48" s="58">
        <f t="shared" si="43"/>
        <v>0.020351986030353392</v>
      </c>
    </row>
    <row r="49" spans="1:15" s="21" customFormat="1" ht="36" customHeight="1">
      <c r="A49" s="14" t="str">
        <f>'Orçamento Analítico'!A225</f>
        <v>5.1.5</v>
      </c>
      <c r="B49" s="13">
        <f>'Orçamento Analítico'!B226</f>
        <v>95777</v>
      </c>
      <c r="C49" s="13" t="str">
        <f>'Orçamento Analítico'!C226</f>
        <v>SINAPI</v>
      </c>
      <c r="D49" s="106" t="str">
        <f>'Orçamento Analítico'!D226</f>
        <v>CONDULETE DE ALUMÍNIO, TIPO B, PARA ELETRODUTO DE AÇO GALVANIZADO DN 20 MM (3/4''), APARENTE - FORNECIMENTO E INSTALAÇÃO. AF_11/2016_P</v>
      </c>
      <c r="E49" s="13" t="str">
        <f>'Orçamento Analítico'!E226</f>
        <v>un</v>
      </c>
      <c r="F49" s="17">
        <v>3</v>
      </c>
      <c r="G49" s="18">
        <f>SUM('Orçamento Analítico'!H227:H228)</f>
        <v>11.49</v>
      </c>
      <c r="H49" s="20">
        <f>SUM('Orçamento Analítico'!H229:H230)</f>
        <v>14.790237999999999</v>
      </c>
      <c r="I49" s="19">
        <f t="shared" si="37"/>
        <v>26.280237999999997</v>
      </c>
      <c r="J49" s="12">
        <f t="shared" si="38"/>
        <v>78.84071399999999</v>
      </c>
      <c r="K49" s="12">
        <f t="shared" si="39"/>
        <v>13.8926872931428</v>
      </c>
      <c r="L49" s="12">
        <f t="shared" si="40"/>
        <v>17.88304190819476</v>
      </c>
      <c r="M49" s="12">
        <f t="shared" si="41"/>
        <v>31.77572920133756</v>
      </c>
      <c r="N49" s="19">
        <f t="shared" si="42"/>
        <v>95.32718760401268</v>
      </c>
      <c r="O49" s="58">
        <f t="shared" si="43"/>
        <v>0.00017899633090718463</v>
      </c>
    </row>
    <row r="50" spans="1:15" s="21" customFormat="1" ht="36" customHeight="1">
      <c r="A50" s="14" t="str">
        <f>'Orçamento Analítico'!A232</f>
        <v>5.1.6</v>
      </c>
      <c r="B50" s="13">
        <f>'Orçamento Analítico'!B233</f>
        <v>95778</v>
      </c>
      <c r="C50" s="13" t="str">
        <f>'Orçamento Analítico'!C233</f>
        <v>SINAPI</v>
      </c>
      <c r="D50" s="106" t="str">
        <f>'Orçamento Analítico'!D233</f>
        <v>CONDULETE DE ALUMÍNIO, TIPO C, PARA ELETRODUTO DE AÇO GALVANIZADO DN 20 MM (3/4''), APARENTE - FORNECIMENTO E INSTALAÇÃO. AF_11/2016_P</v>
      </c>
      <c r="E50" s="13" t="str">
        <f>'Orçamento Analítico'!E233</f>
        <v>un</v>
      </c>
      <c r="F50" s="17">
        <v>5</v>
      </c>
      <c r="G50" s="18">
        <f>SUM('Orçamento Analítico'!H234:H235)</f>
        <v>12.15</v>
      </c>
      <c r="H50" s="20">
        <f>SUM('Orçamento Analítico'!H236:H237)</f>
        <v>14.790237999999999</v>
      </c>
      <c r="I50" s="19">
        <f t="shared" si="37"/>
        <v>26.940238</v>
      </c>
      <c r="J50" s="12">
        <f t="shared" si="38"/>
        <v>134.70119</v>
      </c>
      <c r="K50" s="12">
        <f t="shared" si="39"/>
        <v>14.690700662461708</v>
      </c>
      <c r="L50" s="12">
        <f t="shared" si="40"/>
        <v>17.88304190819476</v>
      </c>
      <c r="M50" s="12">
        <f t="shared" si="41"/>
        <v>32.573742570656464</v>
      </c>
      <c r="N50" s="19">
        <f t="shared" si="42"/>
        <v>162.86871285328232</v>
      </c>
      <c r="O50" s="58">
        <f t="shared" si="43"/>
        <v>0.00030581938640017323</v>
      </c>
    </row>
    <row r="51" spans="1:15" s="21" customFormat="1" ht="36" customHeight="1">
      <c r="A51" s="14" t="str">
        <f>'Orçamento Analítico'!A239</f>
        <v>5.1.7</v>
      </c>
      <c r="B51" s="13">
        <f>'Orçamento Analítico'!B240</f>
        <v>95779</v>
      </c>
      <c r="C51" s="13" t="str">
        <f>'Orçamento Analítico'!C240</f>
        <v>SINAPI</v>
      </c>
      <c r="D51" s="106" t="str">
        <f>'Orçamento Analítico'!D240</f>
        <v>CONDULETE DE ALUMÍNIO, TIPO E, PARA ELETRODUTO DE AÇO GALVANIZADO DN 20 MM (3/4</v>
      </c>
      <c r="E51" s="13" t="str">
        <f>'Orçamento Analítico'!E240</f>
        <v>un</v>
      </c>
      <c r="F51" s="17">
        <v>2</v>
      </c>
      <c r="G51" s="18">
        <f>SUM('Orçamento Analítico'!H241:H242)</f>
        <v>9.94</v>
      </c>
      <c r="H51" s="20">
        <f>SUM('Orçamento Analítico'!H243:H244)</f>
        <v>14.790237999999999</v>
      </c>
      <c r="I51" s="19">
        <f t="shared" si="37"/>
        <v>24.730238</v>
      </c>
      <c r="J51" s="12">
        <f t="shared" si="38"/>
        <v>49.460476</v>
      </c>
      <c r="K51" s="12">
        <f t="shared" si="39"/>
        <v>12.018564986409002</v>
      </c>
      <c r="L51" s="12">
        <f t="shared" si="40"/>
        <v>17.88304190819476</v>
      </c>
      <c r="M51" s="12">
        <f t="shared" si="41"/>
        <v>29.90160689460376</v>
      </c>
      <c r="N51" s="19">
        <f t="shared" si="42"/>
        <v>59.80321378920752</v>
      </c>
      <c r="O51" s="58">
        <f t="shared" si="43"/>
        <v>0.0001122927898512292</v>
      </c>
    </row>
    <row r="52" spans="1:15" s="21" customFormat="1" ht="36" customHeight="1">
      <c r="A52" s="14" t="str">
        <f>'Orçamento Analítico'!A246</f>
        <v>5.1.8</v>
      </c>
      <c r="B52" s="13">
        <f>'Orçamento Analítico'!B247</f>
        <v>95787</v>
      </c>
      <c r="C52" s="13" t="str">
        <f>'Orçamento Analítico'!C247</f>
        <v>SINAPI</v>
      </c>
      <c r="D52" s="106" t="str">
        <f>'Orçamento Analítico'!D247</f>
        <v>CONDULETE DE ALUMÍNIO, TIPO LR, PARA ELETRODUTO DE AÇO GALVANIZADO DN 20 MM (3/4''), APARENTE - FORNECIMENTO E INSTALAÇÃO. AF_11/2016_P</v>
      </c>
      <c r="E52" s="13" t="str">
        <f>'Orçamento Analítico'!E247</f>
        <v>un</v>
      </c>
      <c r="F52" s="17">
        <v>4</v>
      </c>
      <c r="G52" s="18">
        <f>SUM('Orçamento Analítico'!H248:H249)</f>
        <v>10.25</v>
      </c>
      <c r="H52" s="20">
        <f>SUM('Orçamento Analítico'!H250:H251)</f>
        <v>16.233083</v>
      </c>
      <c r="I52" s="19">
        <f t="shared" si="37"/>
        <v>26.483083</v>
      </c>
      <c r="J52" s="12">
        <f t="shared" si="38"/>
        <v>105.932332</v>
      </c>
      <c r="K52" s="12">
        <f t="shared" si="39"/>
        <v>12.393389447755762</v>
      </c>
      <c r="L52" s="12">
        <f t="shared" si="40"/>
        <v>19.62760190797497</v>
      </c>
      <c r="M52" s="12">
        <f t="shared" si="41"/>
        <v>32.02099135573073</v>
      </c>
      <c r="N52" s="19">
        <f t="shared" si="42"/>
        <v>128.08396542292292</v>
      </c>
      <c r="O52" s="58">
        <f t="shared" si="43"/>
        <v>0.00024050389437672701</v>
      </c>
    </row>
    <row r="53" spans="1:15" s="21" customFormat="1" ht="36" customHeight="1">
      <c r="A53" s="14" t="str">
        <f>'Orçamento Analítico'!A253</f>
        <v>5.1.9</v>
      </c>
      <c r="B53" s="13">
        <f>'Orçamento Analítico'!B254</f>
        <v>95795</v>
      </c>
      <c r="C53" s="13" t="str">
        <f>'Orçamento Analítico'!C254</f>
        <v>SINAPI</v>
      </c>
      <c r="D53" s="106" t="str">
        <f>'Orçamento Analítico'!D254</f>
        <v>CONDULETE DE ALUMÍNIO, TIPO T, PARA ELETRODUTO DE AÇO GALVANIZADO DN 20 MM (3/4''), APARENTE - FORNECIMENTO E INSTALAÇÃO. AF_11/2016_P</v>
      </c>
      <c r="E53" s="13" t="str">
        <f>'Orçamento Analítico'!E254</f>
        <v>un</v>
      </c>
      <c r="F53" s="17">
        <v>1</v>
      </c>
      <c r="G53" s="18">
        <f>SUM('Orçamento Analítico'!H255:H256)</f>
        <v>11.74</v>
      </c>
      <c r="H53" s="20">
        <f>SUM('Orçamento Analítico'!H257:H258)</f>
        <v>18.812976000000003</v>
      </c>
      <c r="I53" s="19">
        <f t="shared" si="37"/>
        <v>30.552976</v>
      </c>
      <c r="J53" s="12">
        <f t="shared" si="38"/>
        <v>30.552976</v>
      </c>
      <c r="K53" s="12">
        <f t="shared" si="39"/>
        <v>14.194965084551477</v>
      </c>
      <c r="L53" s="12">
        <f t="shared" si="40"/>
        <v>22.7469793404178</v>
      </c>
      <c r="M53" s="12">
        <f t="shared" si="41"/>
        <v>36.94194442496928</v>
      </c>
      <c r="N53" s="19">
        <f t="shared" si="42"/>
        <v>36.94194442496928</v>
      </c>
      <c r="O53" s="58">
        <f t="shared" si="43"/>
        <v>6.936607147285946E-05</v>
      </c>
    </row>
    <row r="54" spans="1:15" s="21" customFormat="1" ht="24" customHeight="1">
      <c r="A54" s="14" t="str">
        <f>'Orçamento Analítico'!A260</f>
        <v xml:space="preserve"> 5.1.10 </v>
      </c>
      <c r="B54" s="13">
        <f>'Orçamento Analítico'!B261</f>
        <v>71151</v>
      </c>
      <c r="C54" s="13" t="str">
        <f>'Orçamento Analítico'!C261</f>
        <v>GOINFRA.MOD</v>
      </c>
      <c r="D54" s="106" t="str">
        <f>'Orçamento Analítico'!D261</f>
        <v>CURVA DE 90 GRAUS AÇO GALVANIZADO DIAM.3/4"</v>
      </c>
      <c r="E54" s="13" t="str">
        <f>'Orçamento Analítico'!E261</f>
        <v>un</v>
      </c>
      <c r="F54" s="17">
        <v>4</v>
      </c>
      <c r="G54" s="18">
        <f>SUM('Orçamento Analítico'!H262)</f>
        <v>5.28</v>
      </c>
      <c r="H54" s="20">
        <f>SUM('Orçamento Analítico'!H263:H264)</f>
        <v>5.5991</v>
      </c>
      <c r="I54" s="19">
        <f t="shared" si="37"/>
        <v>10.879100000000001</v>
      </c>
      <c r="J54" s="12">
        <f t="shared" si="38"/>
        <v>43.516400000000004</v>
      </c>
      <c r="K54" s="12">
        <f t="shared" si="39"/>
        <v>6.384106954551261</v>
      </c>
      <c r="L54" s="12">
        <f t="shared" si="40"/>
        <v>6.769934327505296</v>
      </c>
      <c r="M54" s="12">
        <f t="shared" si="41"/>
        <v>13.154041282056557</v>
      </c>
      <c r="N54" s="19">
        <f t="shared" si="42"/>
        <v>52.61616512822623</v>
      </c>
      <c r="O54" s="58">
        <f t="shared" si="43"/>
        <v>9.879763308954064E-05</v>
      </c>
    </row>
    <row r="55" spans="1:15" s="21" customFormat="1" ht="24" customHeight="1">
      <c r="A55" s="14" t="str">
        <f>'Orçamento Analítico'!A266</f>
        <v xml:space="preserve"> 5.1.11 </v>
      </c>
      <c r="B55" s="13">
        <f>'Orçamento Analítico'!B267</f>
        <v>95757</v>
      </c>
      <c r="C55" s="13" t="str">
        <f>'Orçamento Analítico'!C267</f>
        <v>SINAPI</v>
      </c>
      <c r="D55" s="106" t="str">
        <f>'Orçamento Analítico'!D267</f>
        <v>LUVA DE EMENDA PARA ELETRODUTO, AÇO GALVANIZADO, DN 20 MM (3/4''), APARENTE, INSTALADA EM PAREDE - FORNECIMENTO E INSTALAÇÃO. AF_11/2016_P</v>
      </c>
      <c r="E55" s="13" t="str">
        <f>'Orçamento Analítico'!E267</f>
        <v>un</v>
      </c>
      <c r="F55" s="17">
        <v>18</v>
      </c>
      <c r="G55" s="18">
        <f>'Orçamento Analítico'!H268</f>
        <v>1.99</v>
      </c>
      <c r="H55" s="20">
        <f>SUM('Orçamento Analítico'!H269:H270)</f>
        <v>7.868889</v>
      </c>
      <c r="I55" s="19">
        <f aca="true" t="shared" si="44" ref="I55:I56">G55+H55</f>
        <v>9.858889</v>
      </c>
      <c r="J55" s="12">
        <f t="shared" si="38"/>
        <v>177.460002</v>
      </c>
      <c r="K55" s="12">
        <f t="shared" si="39"/>
        <v>2.4061312196130697</v>
      </c>
      <c r="L55" s="12">
        <f t="shared" si="40"/>
        <v>9.514361551040135</v>
      </c>
      <c r="M55" s="12">
        <f t="shared" si="41"/>
        <v>11.920492770653205</v>
      </c>
      <c r="N55" s="19">
        <f t="shared" si="42"/>
        <v>214.56886987175767</v>
      </c>
      <c r="O55" s="58">
        <f t="shared" si="43"/>
        <v>0.0004028970265386187</v>
      </c>
    </row>
    <row r="56" spans="1:15" s="21" customFormat="1" ht="24" customHeight="1">
      <c r="A56" s="14" t="str">
        <f>'Orçamento Analítico'!A272</f>
        <v>5.1.12</v>
      </c>
      <c r="B56" s="13">
        <f>'Orçamento Analítico'!B273</f>
        <v>93668</v>
      </c>
      <c r="C56" s="13" t="str">
        <f>'Orçamento Analítico'!C273</f>
        <v>SINAPI.MOD</v>
      </c>
      <c r="D56" s="106" t="str">
        <f>'Orçamento Analítico'!D273</f>
        <v>DISJUNTOR TRIPOLAR TIPO DIN, CORRENTE NOMINAL DE 16A - FORNECIMENTO E INSTALAÇÃO. AF_10/2020</v>
      </c>
      <c r="E56" s="13" t="str">
        <f>'Orçamento Analítico'!E273</f>
        <v>un</v>
      </c>
      <c r="F56" s="17">
        <v>2</v>
      </c>
      <c r="G56" s="18">
        <f>SUM('Orçamento Analítico'!H274:H275)</f>
        <v>62.64</v>
      </c>
      <c r="H56" s="20">
        <f>SUM('Orçamento Analítico'!H276:H277)</f>
        <v>6.150396000000001</v>
      </c>
      <c r="I56" s="19">
        <f t="shared" si="44"/>
        <v>68.790396</v>
      </c>
      <c r="J56" s="12">
        <f t="shared" si="38"/>
        <v>137.580792</v>
      </c>
      <c r="K56" s="12">
        <f t="shared" si="39"/>
        <v>75.73872341535814</v>
      </c>
      <c r="L56" s="12">
        <f t="shared" si="40"/>
        <v>7.436512476675049</v>
      </c>
      <c r="M56" s="12">
        <f t="shared" si="41"/>
        <v>83.17523589203319</v>
      </c>
      <c r="N56" s="19">
        <f t="shared" si="42"/>
        <v>166.35047178406637</v>
      </c>
      <c r="O56" s="58">
        <f t="shared" si="43"/>
        <v>0.0003123571023380704</v>
      </c>
    </row>
    <row r="57" spans="1:15" s="21" customFormat="1" ht="24" customHeight="1">
      <c r="A57" s="14" t="str">
        <f>'Orçamento Analítico'!A279</f>
        <v>5.1.13</v>
      </c>
      <c r="B57" s="13">
        <f>'Orçamento Analítico'!B280</f>
        <v>71175</v>
      </c>
      <c r="C57" s="13" t="str">
        <f>'Orçamento Analítico'!C280</f>
        <v>GOINFRA.MOD</v>
      </c>
      <c r="D57" s="106" t="str">
        <f>'Orçamento Analítico'!D280</f>
        <v>DISJUNTOR TRIPOLAR DE 60 A 100-A</v>
      </c>
      <c r="E57" s="13" t="str">
        <f>'Orçamento Analítico'!E280</f>
        <v>un</v>
      </c>
      <c r="F57" s="17">
        <v>2</v>
      </c>
      <c r="G57" s="18">
        <f>SUM('Orçamento Analítico'!H281)</f>
        <v>208.48</v>
      </c>
      <c r="H57" s="20">
        <f>SUM('Orçamento Analítico'!H282:H283)</f>
        <v>38.763000000000005</v>
      </c>
      <c r="I57" s="19">
        <f aca="true" t="shared" si="45" ref="I57:I61">G57+H57</f>
        <v>247.243</v>
      </c>
      <c r="J57" s="12">
        <f t="shared" si="38"/>
        <v>494.486</v>
      </c>
      <c r="K57" s="12">
        <f t="shared" si="39"/>
        <v>252.075495811524</v>
      </c>
      <c r="L57" s="12">
        <f t="shared" si="40"/>
        <v>46.86877611349821</v>
      </c>
      <c r="M57" s="12">
        <f t="shared" si="41"/>
        <v>298.94427192502224</v>
      </c>
      <c r="N57" s="19">
        <f t="shared" si="42"/>
        <v>597.8885438500445</v>
      </c>
      <c r="O57" s="58">
        <f t="shared" si="43"/>
        <v>0.0011226582712704771</v>
      </c>
    </row>
    <row r="58" spans="1:15" s="21" customFormat="1" ht="24" customHeight="1">
      <c r="A58" s="14" t="str">
        <f>'Orçamento Analítico'!A285</f>
        <v>5.1.14</v>
      </c>
      <c r="B58" s="13">
        <f>'Orçamento Analítico'!B286</f>
        <v>91834</v>
      </c>
      <c r="C58" s="13" t="str">
        <f>'Orçamento Analítico'!C286</f>
        <v>SINAPI</v>
      </c>
      <c r="D58" s="106" t="str">
        <f>'Orçamento Analítico'!D286</f>
        <v>ELETRODUTO FLEXÍVEL CORRUGADO, PVC, DN 25 MM (3/4"), PARA CIRCUITOS TERMINAIS, INSTALADO EM FORRO - FORNECIMENTO E INSTALAÇÃO. AF_12/2015</v>
      </c>
      <c r="E58" s="13" t="str">
        <f>'Orçamento Analítico'!E286</f>
        <v>m</v>
      </c>
      <c r="F58" s="17">
        <v>15</v>
      </c>
      <c r="G58" s="18">
        <f>SUM('Orçamento Analítico'!H287)</f>
        <v>1.87</v>
      </c>
      <c r="H58" s="20">
        <f>SUM('Orçamento Analítico'!H288:H290)</f>
        <v>5.5349</v>
      </c>
      <c r="I58" s="19">
        <f t="shared" si="45"/>
        <v>7.4049000000000005</v>
      </c>
      <c r="J58" s="12">
        <f t="shared" si="38"/>
        <v>111.07350000000001</v>
      </c>
      <c r="K58" s="12">
        <f t="shared" si="39"/>
        <v>2.261037879736905</v>
      </c>
      <c r="L58" s="12">
        <f t="shared" si="40"/>
        <v>6.692309390671548</v>
      </c>
      <c r="M58" s="12">
        <f t="shared" si="41"/>
        <v>8.953347270408454</v>
      </c>
      <c r="N58" s="19">
        <f t="shared" si="42"/>
        <v>134.30020905612682</v>
      </c>
      <c r="O58" s="58">
        <f t="shared" si="43"/>
        <v>0.00025217616574374474</v>
      </c>
    </row>
    <row r="59" spans="1:15" s="21" customFormat="1" ht="24" customHeight="1">
      <c r="A59" s="14" t="str">
        <f>'Orçamento Analítico'!A292</f>
        <v>5.1.15</v>
      </c>
      <c r="B59" s="13">
        <f>'Orçamento Analítico'!B293</f>
        <v>95745</v>
      </c>
      <c r="C59" s="13" t="str">
        <f>'Orçamento Analítico'!C293</f>
        <v>SINAPI</v>
      </c>
      <c r="D59" s="106" t="str">
        <f>'Orçamento Analítico'!D293</f>
        <v>ELETRODUTO DE AÇO GALVANIZADO, CLASSE LEVE, DN 20 MM (3/4), APARENTE, INSTALADO EM TETO - FORNECIMENTO E INSTALAÇÃO. AF_11/2016_P</v>
      </c>
      <c r="E59" s="13" t="str">
        <f>'Orçamento Analítico'!E293</f>
        <v>m</v>
      </c>
      <c r="F59" s="17">
        <v>25</v>
      </c>
      <c r="G59" s="18">
        <f>SUM('Orçamento Analítico'!H294:H295)</f>
        <v>13.530282</v>
      </c>
      <c r="H59" s="20">
        <f>SUM('Orçamento Analítico'!H296:H298)</f>
        <v>6.068968</v>
      </c>
      <c r="I59" s="19">
        <f t="shared" si="45"/>
        <v>19.599249999999998</v>
      </c>
      <c r="J59" s="12">
        <f t="shared" si="38"/>
        <v>489.98124999999993</v>
      </c>
      <c r="K59" s="12">
        <f t="shared" si="39"/>
        <v>16.359615040386313</v>
      </c>
      <c r="L59" s="12">
        <f t="shared" si="40"/>
        <v>7.3380569726797455</v>
      </c>
      <c r="M59" s="12">
        <f t="shared" si="41"/>
        <v>23.697672013066057</v>
      </c>
      <c r="N59" s="19">
        <f t="shared" si="42"/>
        <v>592.4418003266514</v>
      </c>
      <c r="O59" s="58">
        <f t="shared" si="43"/>
        <v>0.001112430894059584</v>
      </c>
    </row>
    <row r="60" spans="1:15" s="21" customFormat="1" ht="24" customHeight="1">
      <c r="A60" s="14" t="str">
        <f>'Orçamento Analítico'!A300</f>
        <v>5.1.16</v>
      </c>
      <c r="B60" s="13">
        <f>'Orçamento Analítico'!B301</f>
        <v>71196</v>
      </c>
      <c r="C60" s="13" t="str">
        <f>'Orçamento Analítico'!C301</f>
        <v>GOINFRA.MOD</v>
      </c>
      <c r="D60" s="106" t="str">
        <f>'Orçamento Analítico'!D301</f>
        <v>ELETRODUTO PVC FLEXÍVEL - MANGUEIRA CORRUGADA REFORÇADA - DIAM. 40MM</v>
      </c>
      <c r="E60" s="13" t="str">
        <f>'Orçamento Analítico'!E301</f>
        <v>M</v>
      </c>
      <c r="F60" s="17">
        <v>20</v>
      </c>
      <c r="G60" s="18">
        <f>SUM('Orçamento Analítico'!H302)</f>
        <v>2.29</v>
      </c>
      <c r="H60" s="20">
        <f>SUM('Orçamento Analítico'!H303:H304)</f>
        <v>8.614</v>
      </c>
      <c r="I60" s="19">
        <f t="shared" si="45"/>
        <v>10.904</v>
      </c>
      <c r="J60" s="12">
        <f t="shared" si="38"/>
        <v>218.07999999999998</v>
      </c>
      <c r="K60" s="12">
        <f t="shared" si="39"/>
        <v>2.7688645693034823</v>
      </c>
      <c r="L60" s="12">
        <f t="shared" si="40"/>
        <v>10.415283580777379</v>
      </c>
      <c r="M60" s="12">
        <f t="shared" si="41"/>
        <v>13.184148150080862</v>
      </c>
      <c r="N60" s="19">
        <f t="shared" si="42"/>
        <v>263.6829630016172</v>
      </c>
      <c r="O60" s="58">
        <f t="shared" si="43"/>
        <v>0.0004951188017429525</v>
      </c>
    </row>
    <row r="61" spans="1:15" s="21" customFormat="1" ht="24" customHeight="1">
      <c r="A61" s="14" t="str">
        <f>'Orçamento Analítico'!A306</f>
        <v>5.1.17</v>
      </c>
      <c r="B61" s="13">
        <f>'Orçamento Analítico'!B307</f>
        <v>71198</v>
      </c>
      <c r="C61" s="13" t="str">
        <f>'Orçamento Analítico'!C307</f>
        <v>GOINFRA.MOD</v>
      </c>
      <c r="D61" s="106" t="str">
        <f>'Orçamento Analítico'!D307</f>
        <v>ELETRODUTO PVC FLEXÍVEL - MANGUEIRA CORRUGADA REFORÇADA - DIAM. 60MM</v>
      </c>
      <c r="E61" s="13" t="str">
        <f>'Orçamento Analítico'!E307</f>
        <v>m</v>
      </c>
      <c r="F61" s="17">
        <v>15</v>
      </c>
      <c r="G61" s="18">
        <f>SUM('Orçamento Analítico'!H308)</f>
        <v>3.72</v>
      </c>
      <c r="H61" s="20">
        <f>SUM('Orçamento Analítico'!H309:H310)</f>
        <v>21.535</v>
      </c>
      <c r="I61" s="19">
        <f t="shared" si="45"/>
        <v>25.255</v>
      </c>
      <c r="J61" s="12">
        <f t="shared" si="38"/>
        <v>378.825</v>
      </c>
      <c r="K61" s="12">
        <f t="shared" si="39"/>
        <v>4.497893536161116</v>
      </c>
      <c r="L61" s="12">
        <f t="shared" si="40"/>
        <v>26.038208951943446</v>
      </c>
      <c r="M61" s="12">
        <f t="shared" si="41"/>
        <v>30.53610248810456</v>
      </c>
      <c r="N61" s="19">
        <f t="shared" si="42"/>
        <v>458.0415373215684</v>
      </c>
      <c r="O61" s="58">
        <f t="shared" si="43"/>
        <v>0.0008600668565217993</v>
      </c>
    </row>
    <row r="62" spans="1:15" s="21" customFormat="1" ht="14.25">
      <c r="A62" s="14" t="str">
        <f>'Orçamento Analítico'!A312</f>
        <v>5.1.18</v>
      </c>
      <c r="B62" s="13">
        <f>'Orçamento Analítico'!B313</f>
        <v>71258</v>
      </c>
      <c r="C62" s="13" t="str">
        <f>'Orçamento Analítico'!C313</f>
        <v>GOINFRA.MOD</v>
      </c>
      <c r="D62" s="106" t="str">
        <f>'Orçamento Analítico'!D313</f>
        <v>ELETRODUTO EM AÇO ZINCADO DIÂMETRO 4"</v>
      </c>
      <c r="E62" s="13" t="str">
        <f>'Orçamento Analítico'!E313</f>
        <v>m</v>
      </c>
      <c r="F62" s="17">
        <v>100</v>
      </c>
      <c r="G62" s="18">
        <f>SUM('Orçamento Analítico'!H314)</f>
        <v>70.96</v>
      </c>
      <c r="H62" s="20">
        <f>SUM('Orçamento Analítico'!H315:H316)</f>
        <v>86.14</v>
      </c>
      <c r="I62" s="19">
        <f aca="true" t="shared" si="46" ref="I62:I64">G62+H62</f>
        <v>157.1</v>
      </c>
      <c r="J62" s="12">
        <f t="shared" si="38"/>
        <v>15710</v>
      </c>
      <c r="K62" s="12">
        <f t="shared" si="39"/>
        <v>85.79852831343891</v>
      </c>
      <c r="L62" s="12">
        <f t="shared" si="40"/>
        <v>104.15283580777378</v>
      </c>
      <c r="M62" s="12">
        <f t="shared" si="41"/>
        <v>189.9513641212127</v>
      </c>
      <c r="N62" s="19">
        <f t="shared" si="42"/>
        <v>18995.13641212127</v>
      </c>
      <c r="O62" s="58">
        <f t="shared" si="43"/>
        <v>0.03566726144250635</v>
      </c>
    </row>
    <row r="63" spans="1:15" s="21" customFormat="1" ht="36" customHeight="1">
      <c r="A63" s="14" t="str">
        <f>'Orçamento Analítico'!A318</f>
        <v>5.1.19</v>
      </c>
      <c r="B63" s="13">
        <f>'Orçamento Analítico'!B319</f>
        <v>91967</v>
      </c>
      <c r="C63" s="13" t="str">
        <f>'Orçamento Analítico'!C319</f>
        <v>SINAPI</v>
      </c>
      <c r="D63" s="106" t="str">
        <f>'Orçamento Analítico'!D319</f>
        <v>INTERRUPTOR SIMPLES (3 MÓDULOS), 10A/250V, INCLUINDO SUPORTE E PLACA - FORNECIMENTO E INSTALAÇÃO. AF_12/2015</v>
      </c>
      <c r="E63" s="13" t="str">
        <f>'Orçamento Analítico'!E319</f>
        <v>un</v>
      </c>
      <c r="F63" s="17">
        <v>2</v>
      </c>
      <c r="G63" s="18">
        <f>SUM('Orçamento Analítico'!H320)</f>
        <v>39.46</v>
      </c>
      <c r="H63" s="20">
        <f>SUM('Orçamento Analítico'!H321)</f>
        <v>6.35</v>
      </c>
      <c r="I63" s="19">
        <f t="shared" si="46"/>
        <v>45.81</v>
      </c>
      <c r="J63" s="12">
        <f t="shared" si="38"/>
        <v>91.62</v>
      </c>
      <c r="K63" s="12">
        <f t="shared" si="39"/>
        <v>47.71152659594559</v>
      </c>
      <c r="L63" s="12">
        <f t="shared" si="40"/>
        <v>7.677855901780398</v>
      </c>
      <c r="M63" s="12">
        <f t="shared" si="41"/>
        <v>55.38938249772599</v>
      </c>
      <c r="N63" s="19">
        <f t="shared" si="42"/>
        <v>110.77876499545198</v>
      </c>
      <c r="O63" s="58">
        <f t="shared" si="43"/>
        <v>0.00020800983407781232</v>
      </c>
    </row>
    <row r="64" spans="1:15" s="21" customFormat="1" ht="25.5">
      <c r="A64" s="14" t="str">
        <f>'Orçamento Analítico'!A323</f>
        <v>5.1.20</v>
      </c>
      <c r="B64" s="13">
        <f>'Orçamento Analítico'!B324</f>
        <v>91993</v>
      </c>
      <c r="C64" s="13" t="str">
        <f>'Orçamento Analítico'!C324</f>
        <v>SINAPI</v>
      </c>
      <c r="D64" s="106" t="str">
        <f>'Orçamento Analítico'!D324</f>
        <v>TOMADA ALTA DE EMBUTIR (1 MÓDULO), 2P+T 20 A, INCLUINDO SUPORTE E PLACA - FORNECIMENTO E INSTALAÇÃO. AF_12/2015</v>
      </c>
      <c r="E64" s="13" t="str">
        <f>'Orçamento Analítico'!E324</f>
        <v>un</v>
      </c>
      <c r="F64" s="17">
        <v>3</v>
      </c>
      <c r="G64" s="18">
        <f>'Orçamento Analítico'!H325</f>
        <v>28.92</v>
      </c>
      <c r="H64" s="20">
        <f>'Orçamento Analítico'!H326</f>
        <v>6.35</v>
      </c>
      <c r="I64" s="19">
        <f t="shared" si="46"/>
        <v>35.27</v>
      </c>
      <c r="J64" s="12">
        <f t="shared" si="38"/>
        <v>105.81</v>
      </c>
      <c r="K64" s="12">
        <f t="shared" si="39"/>
        <v>34.96749491015577</v>
      </c>
      <c r="L64" s="12">
        <f t="shared" si="40"/>
        <v>7.677855901780398</v>
      </c>
      <c r="M64" s="12">
        <f t="shared" si="41"/>
        <v>42.64535081193617</v>
      </c>
      <c r="N64" s="19">
        <f t="shared" si="42"/>
        <v>127.9360524358085</v>
      </c>
      <c r="O64" s="58">
        <f t="shared" si="43"/>
        <v>0.00024022615743040084</v>
      </c>
    </row>
    <row r="65" spans="1:15" s="21" customFormat="1" ht="24" customHeight="1">
      <c r="A65" s="14" t="str">
        <f>'Orçamento Analítico'!A328</f>
        <v>5.1.21</v>
      </c>
      <c r="B65" s="13">
        <f>'Orçamento Analítico'!B329</f>
        <v>92001</v>
      </c>
      <c r="C65" s="13" t="str">
        <f>'Orçamento Analítico'!C329</f>
        <v>SINAPI</v>
      </c>
      <c r="D65" s="106" t="str">
        <f>'Orçamento Analítico'!D329</f>
        <v>TOMADA BAIXA DE EMBUTIR (1 MÓDULO), 2P+T 20 A, INCLUINDO SUPORTE E PLACA - FORNECIMENTO E INSTALAÇÃO. AF_12/2015</v>
      </c>
      <c r="E65" s="13" t="str">
        <f>'Orçamento Analítico'!E329</f>
        <v>un</v>
      </c>
      <c r="F65" s="17">
        <v>6</v>
      </c>
      <c r="G65" s="18">
        <f>'Orçamento Analítico'!H330</f>
        <v>17.67</v>
      </c>
      <c r="H65" s="20">
        <f>'Orçamento Analítico'!H331</f>
        <v>6.35</v>
      </c>
      <c r="I65" s="19">
        <f aca="true" t="shared" si="47" ref="I65:I71">G65+H65</f>
        <v>24.020000000000003</v>
      </c>
      <c r="J65" s="12">
        <f t="shared" si="38"/>
        <v>144.12</v>
      </c>
      <c r="K65" s="12">
        <f t="shared" si="39"/>
        <v>21.3649942967653</v>
      </c>
      <c r="L65" s="12">
        <f t="shared" si="40"/>
        <v>7.677855901780398</v>
      </c>
      <c r="M65" s="12">
        <f t="shared" si="41"/>
        <v>29.042850198545697</v>
      </c>
      <c r="N65" s="19">
        <f t="shared" si="42"/>
        <v>174.2571011912742</v>
      </c>
      <c r="O65" s="58">
        <f t="shared" si="43"/>
        <v>0.00032720341942037016</v>
      </c>
    </row>
    <row r="66" spans="1:15" s="21" customFormat="1" ht="24" customHeight="1">
      <c r="A66" s="24" t="str">
        <f>'Orçamento Analítico'!A333</f>
        <v>5.1.22</v>
      </c>
      <c r="B66" s="7">
        <f>'Orçamento Analítico'!B334</f>
        <v>60491</v>
      </c>
      <c r="C66" s="7" t="str">
        <f>'Orçamento Analítico'!C334</f>
        <v>SBC.MOD</v>
      </c>
      <c r="D66" s="108" t="str">
        <f>'Orçamento Analítico'!D334</f>
        <v>ARANDELA 2 FACHOS SLIM BRANCA + LED G9 5W 3000K EXT/INTERNA</v>
      </c>
      <c r="E66" s="7" t="str">
        <f>'Orçamento Analítico'!E334</f>
        <v>un</v>
      </c>
      <c r="F66" s="11">
        <v>7</v>
      </c>
      <c r="G66" s="12">
        <f>'Orçamento Analítico'!H335</f>
        <v>39.9</v>
      </c>
      <c r="H66" s="19">
        <f>SUM('Orçamento Analítico'!H336:H337)</f>
        <v>42.165530000000004</v>
      </c>
      <c r="I66" s="19">
        <f t="shared" si="47"/>
        <v>82.06553</v>
      </c>
      <c r="J66" s="12">
        <f t="shared" si="38"/>
        <v>574.45871</v>
      </c>
      <c r="K66" s="12">
        <f t="shared" si="39"/>
        <v>48.24353550882486</v>
      </c>
      <c r="L66" s="12">
        <f t="shared" si="40"/>
        <v>50.982813127905274</v>
      </c>
      <c r="M66" s="12">
        <f t="shared" si="41"/>
        <v>99.22634863673014</v>
      </c>
      <c r="N66" s="19">
        <f t="shared" si="42"/>
        <v>694.584440457111</v>
      </c>
      <c r="O66" s="58">
        <f t="shared" si="43"/>
        <v>0.001304224633831632</v>
      </c>
    </row>
    <row r="67" spans="1:15" s="21" customFormat="1" ht="14.25">
      <c r="A67" s="24" t="str">
        <f>'Orçamento Analítico'!A339</f>
        <v>5.1.23</v>
      </c>
      <c r="B67" s="7" t="str">
        <f>'Orçamento Analítico'!B346</f>
        <v xml:space="preserve"> 036521 </v>
      </c>
      <c r="C67" s="7" t="str">
        <f>'Orçamento Analítico'!C346</f>
        <v>SBC.MOD</v>
      </c>
      <c r="D67" s="108" t="str">
        <f>'Orçamento Analítico'!D346</f>
        <v>FITA DE LED PARA AMBIENTE INTERNO BRANCO QUENTE (3000K - 5W/M)</v>
      </c>
      <c r="E67" s="7" t="str">
        <f>'Orçamento Analítico'!E346</f>
        <v>m</v>
      </c>
      <c r="F67" s="11">
        <v>31.5</v>
      </c>
      <c r="G67" s="12">
        <f>SUM('Orçamento Analítico'!H343)</f>
        <v>34.83</v>
      </c>
      <c r="H67" s="19">
        <f>SUM('Orçamento Analítico'!H341:H342)</f>
        <v>5.9040356</v>
      </c>
      <c r="I67" s="19">
        <f t="shared" si="47"/>
        <v>40.7340356</v>
      </c>
      <c r="J67" s="12">
        <f t="shared" si="38"/>
        <v>1283.1221214</v>
      </c>
      <c r="K67" s="12">
        <f t="shared" si="39"/>
        <v>42.11334189905689</v>
      </c>
      <c r="L67" s="12">
        <f t="shared" si="40"/>
        <v>7.138635366264816</v>
      </c>
      <c r="M67" s="12">
        <f t="shared" si="41"/>
        <v>49.251977265321706</v>
      </c>
      <c r="N67" s="19">
        <f t="shared" si="42"/>
        <v>1551.4372838576337</v>
      </c>
      <c r="O67" s="58">
        <f t="shared" si="43"/>
        <v>0.0029131414491812327</v>
      </c>
    </row>
    <row r="68" spans="1:15" s="21" customFormat="1" ht="14.25">
      <c r="A68" s="14" t="str">
        <f>'Orçamento Analítico'!A345</f>
        <v>5.1.24</v>
      </c>
      <c r="B68" s="13" t="str">
        <f>'Orçamento Analítico'!B346</f>
        <v xml:space="preserve"> 036521 </v>
      </c>
      <c r="C68" s="13" t="str">
        <f>'Orçamento Analítico'!C346</f>
        <v>SBC.MOD</v>
      </c>
      <c r="D68" s="106" t="str">
        <f>'Orçamento Analítico'!D346</f>
        <v>FITA DE LED PARA AMBIENTE INTERNO BRANCO QUENTE (3000K - 5W/M)</v>
      </c>
      <c r="E68" s="13" t="str">
        <f>'Orçamento Analítico'!E346</f>
        <v>m</v>
      </c>
      <c r="F68" s="17">
        <v>3.05</v>
      </c>
      <c r="G68" s="18">
        <f>SUM('Orçamento Analítico'!H349)</f>
        <v>34.83</v>
      </c>
      <c r="H68" s="20">
        <f>SUM('Orçamento Analítico'!H347:H348)</f>
        <v>5.9040356</v>
      </c>
      <c r="I68" s="19">
        <f t="shared" si="47"/>
        <v>40.7340356</v>
      </c>
      <c r="J68" s="12">
        <f t="shared" si="38"/>
        <v>124.23880857999998</v>
      </c>
      <c r="K68" s="12">
        <f t="shared" si="39"/>
        <v>42.11334189905689</v>
      </c>
      <c r="L68" s="12">
        <f t="shared" si="40"/>
        <v>7.138635366264816</v>
      </c>
      <c r="M68" s="12">
        <f t="shared" si="41"/>
        <v>49.251977265321706</v>
      </c>
      <c r="N68" s="19">
        <f t="shared" si="42"/>
        <v>150.2185306592312</v>
      </c>
      <c r="O68" s="58">
        <f t="shared" si="43"/>
        <v>0.00028206607682548443</v>
      </c>
    </row>
    <row r="69" spans="1:15" s="21" customFormat="1" ht="25.5">
      <c r="A69" s="107" t="str">
        <f>'Orçamento Analítico'!A351</f>
        <v>5.1.25</v>
      </c>
      <c r="B69" s="13">
        <f>'Orçamento Analítico'!B352</f>
        <v>97592</v>
      </c>
      <c r="C69" s="13" t="str">
        <f>'Orçamento Analítico'!C352</f>
        <v>SINAPI.MOD</v>
      </c>
      <c r="D69" s="106" t="str">
        <f>'Orçamento Analítico'!D352</f>
        <v>LUMINÁRIA TIPO PLAFON DE SOBREPOR QUADRADA PARA 02 LÂMPADAS</v>
      </c>
      <c r="E69" s="13" t="str">
        <f>'Orçamento Analítico'!E352</f>
        <v>Un</v>
      </c>
      <c r="F69" s="17">
        <v>9</v>
      </c>
      <c r="G69" s="18">
        <f>SUM('Orçamento Analítico'!H353)</f>
        <v>100.25</v>
      </c>
      <c r="H69" s="20">
        <f>SUM('Orçamento Analítico'!H354:H355)</f>
        <v>17.206485</v>
      </c>
      <c r="I69" s="19">
        <f t="shared" si="47"/>
        <v>117.456485</v>
      </c>
      <c r="J69" s="12">
        <f t="shared" si="38"/>
        <v>1057.108365</v>
      </c>
      <c r="K69" s="12">
        <f t="shared" si="39"/>
        <v>121.21339435487953</v>
      </c>
      <c r="L69" s="12">
        <f t="shared" si="40"/>
        <v>20.804553134826126</v>
      </c>
      <c r="M69" s="12">
        <f t="shared" si="41"/>
        <v>142.01794748970565</v>
      </c>
      <c r="N69" s="19">
        <f t="shared" si="42"/>
        <v>1278.1615274073508</v>
      </c>
      <c r="O69" s="58">
        <f t="shared" si="43"/>
        <v>0.002400010211808748</v>
      </c>
    </row>
    <row r="70" spans="1:15" s="21" customFormat="1" ht="25.5">
      <c r="A70" s="14" t="str">
        <f>'Orçamento Analítico'!A357</f>
        <v>5.1.26</v>
      </c>
      <c r="B70" s="13">
        <f>'Orçamento Analítico'!B358</f>
        <v>97599</v>
      </c>
      <c r="C70" s="13" t="str">
        <f>'Orçamento Analítico'!C358</f>
        <v>SINAPI</v>
      </c>
      <c r="D70" s="106" t="str">
        <f>'Orçamento Analítico'!D358</f>
        <v>LUMINÁRIA DE EMERGÊNCIA, COM 30 LÂMPADAS LED DE 2 W, SEM REATOR - FORNECIMENTO E INSTALAÇÃO. AF_02/2020</v>
      </c>
      <c r="E70" s="13" t="str">
        <f>'Orçamento Analítico'!E358</f>
        <v>un</v>
      </c>
      <c r="F70" s="17">
        <v>3</v>
      </c>
      <c r="G70" s="18">
        <f>SUM('Orçamento Analítico'!H359)</f>
        <v>19.99</v>
      </c>
      <c r="H70" s="20">
        <f>SUM('Orçamento Analítico'!H360:H361)</f>
        <v>5.767939999999999</v>
      </c>
      <c r="I70" s="19">
        <f t="shared" si="47"/>
        <v>25.757939999999998</v>
      </c>
      <c r="J70" s="12">
        <f t="shared" si="38"/>
        <v>77.27382</v>
      </c>
      <c r="K70" s="12">
        <f t="shared" si="39"/>
        <v>24.17013220103782</v>
      </c>
      <c r="L70" s="12">
        <f t="shared" si="40"/>
        <v>6.97408065671106</v>
      </c>
      <c r="M70" s="12">
        <f t="shared" si="41"/>
        <v>31.14421285774888</v>
      </c>
      <c r="N70" s="19">
        <f t="shared" si="42"/>
        <v>93.43263857324663</v>
      </c>
      <c r="O70" s="58">
        <f t="shared" si="43"/>
        <v>0.00017543892683648477</v>
      </c>
    </row>
    <row r="71" spans="1:15" s="21" customFormat="1" ht="14.25">
      <c r="A71" s="14" t="str">
        <f>'Orçamento Analítico'!A363</f>
        <v>5.1.27</v>
      </c>
      <c r="B71" s="13">
        <f>'Orçamento Analítico'!B364</f>
        <v>71330</v>
      </c>
      <c r="C71" s="13" t="str">
        <f>'Orçamento Analítico'!C364</f>
        <v>GOINFRA.MOD</v>
      </c>
      <c r="D71" s="106" t="str">
        <f>'Orçamento Analítico'!D364</f>
        <v>FITA ISOLANTE, ROLO DE 10,00 M</v>
      </c>
      <c r="E71" s="13" t="str">
        <f>'Orçamento Analítico'!E364</f>
        <v>un</v>
      </c>
      <c r="F71" s="17">
        <v>2</v>
      </c>
      <c r="G71" s="18">
        <f>SUM('Orçamento Analítico'!H365)</f>
        <v>5.76</v>
      </c>
      <c r="H71" s="20">
        <f>SUM('Orçamento Analítico'!H366:H367)</f>
        <v>8.614</v>
      </c>
      <c r="I71" s="19">
        <f t="shared" si="47"/>
        <v>14.374</v>
      </c>
      <c r="J71" s="12">
        <f t="shared" si="38"/>
        <v>28.748</v>
      </c>
      <c r="K71" s="12">
        <f t="shared" si="39"/>
        <v>6.96448031405592</v>
      </c>
      <c r="L71" s="12">
        <f t="shared" si="40"/>
        <v>10.415283580777379</v>
      </c>
      <c r="M71" s="12">
        <f t="shared" si="41"/>
        <v>17.3797638948333</v>
      </c>
      <c r="N71" s="19">
        <f t="shared" si="42"/>
        <v>34.7595277896666</v>
      </c>
      <c r="O71" s="58">
        <f t="shared" si="43"/>
        <v>6.526813697957814E-05</v>
      </c>
    </row>
    <row r="72" spans="1:15" s="21" customFormat="1" ht="14.25">
      <c r="A72" s="90" t="str">
        <f>'Orçamento Analítico'!A369</f>
        <v>5.1.28</v>
      </c>
      <c r="B72" s="91">
        <f>'Orçamento Analítico'!B370</f>
        <v>71321</v>
      </c>
      <c r="C72" s="91" t="str">
        <f>'Orçamento Analítico'!C370</f>
        <v>GOINFRA.MOD</v>
      </c>
      <c r="D72" s="109" t="str">
        <f>'Orçamento Analítico'!D370</f>
        <v>FITA DE AUTO FUSAO, ROLO E 10,00 MM</v>
      </c>
      <c r="E72" s="91" t="str">
        <f>'Orçamento Analítico'!E370</f>
        <v>un</v>
      </c>
      <c r="F72" s="104">
        <v>6</v>
      </c>
      <c r="G72" s="20">
        <f>SUM('Orçamento Analítico'!H371)</f>
        <v>12.45</v>
      </c>
      <c r="H72" s="20">
        <f>SUM('Orçamento Analítico'!H372:H373)</f>
        <v>8.614</v>
      </c>
      <c r="I72" s="19">
        <f aca="true" t="shared" si="48" ref="I72">G72+H72</f>
        <v>21.064</v>
      </c>
      <c r="J72" s="12">
        <f t="shared" si="38"/>
        <v>126.384</v>
      </c>
      <c r="K72" s="12">
        <f t="shared" si="39"/>
        <v>15.053434012152119</v>
      </c>
      <c r="L72" s="12">
        <f t="shared" si="40"/>
        <v>10.415283580777379</v>
      </c>
      <c r="M72" s="12">
        <f t="shared" si="41"/>
        <v>25.468717592929497</v>
      </c>
      <c r="N72" s="19">
        <f t="shared" si="42"/>
        <v>152.812305557577</v>
      </c>
      <c r="O72" s="58">
        <f t="shared" si="43"/>
        <v>0.0002869364207606443</v>
      </c>
    </row>
    <row r="73" spans="1:15" s="21" customFormat="1" ht="24" customHeight="1">
      <c r="A73" s="59">
        <f>'Orçamento Analítico'!A375</f>
        <v>6</v>
      </c>
      <c r="B73" s="59"/>
      <c r="C73" s="59"/>
      <c r="D73" s="60" t="str">
        <f>'Orçamento Analítico'!D375</f>
        <v>FORRO</v>
      </c>
      <c r="E73" s="60"/>
      <c r="F73" s="72"/>
      <c r="G73" s="60"/>
      <c r="H73" s="62"/>
      <c r="I73" s="62"/>
      <c r="J73" s="63">
        <f>SUM(J74)</f>
        <v>42116.476392000004</v>
      </c>
      <c r="K73" s="115"/>
      <c r="L73" s="114"/>
      <c r="M73" s="115"/>
      <c r="N73" s="63">
        <f>SUM(N74)</f>
        <v>50923.5018627578</v>
      </c>
      <c r="O73" s="117">
        <f t="shared" si="43"/>
        <v>0.09561931091728904</v>
      </c>
    </row>
    <row r="74" spans="1:15" s="21" customFormat="1" ht="14.25">
      <c r="A74" s="14" t="str">
        <f>'Orçamento Analítico'!A376</f>
        <v>6.1</v>
      </c>
      <c r="B74" s="13">
        <f>'Orçamento Analítico'!B377</f>
        <v>1947</v>
      </c>
      <c r="C74" s="13" t="str">
        <f>'Orçamento Analítico'!C377</f>
        <v>ORSE.MOD</v>
      </c>
      <c r="D74" s="106" t="str">
        <f>'Orçamento Analítico'!D377</f>
        <v>FORRO RIPADO DE BAMBU OU LAMBRI DE MADEIRA CUMARU</v>
      </c>
      <c r="E74" s="13" t="str">
        <f>'Orçamento Analítico'!E377</f>
        <v>m²</v>
      </c>
      <c r="F74" s="17">
        <v>146.34</v>
      </c>
      <c r="G74" s="18">
        <f>SUM('Orçamento Analítico'!H378:H380)</f>
        <v>234.0958</v>
      </c>
      <c r="H74" s="20">
        <f>SUM('Orçamento Analítico'!H381:H382)</f>
        <v>53.703</v>
      </c>
      <c r="I74" s="19">
        <f>G74+H74</f>
        <v>287.7988</v>
      </c>
      <c r="J74" s="12">
        <f>F74*I74</f>
        <v>42116.476392000004</v>
      </c>
      <c r="K74" s="12">
        <f>G74*(1+$G$2)</f>
        <v>283.04784560818956</v>
      </c>
      <c r="L74" s="12">
        <f>H74*(1+$G$2)</f>
        <v>64.93289692808075</v>
      </c>
      <c r="M74" s="12">
        <f>K74+L74</f>
        <v>347.9807425362703</v>
      </c>
      <c r="N74" s="19">
        <f>F74*M74</f>
        <v>50923.5018627578</v>
      </c>
      <c r="O74" s="58">
        <f t="shared" si="43"/>
        <v>0.09561931091728904</v>
      </c>
    </row>
    <row r="75" spans="1:15" s="21" customFormat="1" ht="24" customHeight="1">
      <c r="A75" s="59">
        <f>'Orçamento Analítico'!A384</f>
        <v>7</v>
      </c>
      <c r="B75" s="59"/>
      <c r="C75" s="59"/>
      <c r="D75" s="60" t="str">
        <f>'Orçamento Analítico'!D384</f>
        <v>PINTURA</v>
      </c>
      <c r="E75" s="60"/>
      <c r="F75" s="72"/>
      <c r="G75" s="60"/>
      <c r="H75" s="62"/>
      <c r="I75" s="62"/>
      <c r="J75" s="63">
        <f>SUM(J76:J81)</f>
        <v>25157.019291376004</v>
      </c>
      <c r="K75" s="115" t="str">
        <f aca="true" t="shared" si="49" ref="K75:K96">IF(TRUNC(G75*(1+$G$2),2)=0,"",TRUNC(G75*(1+$G$2),2))</f>
        <v/>
      </c>
      <c r="L75" s="114"/>
      <c r="M75" s="115" t="str">
        <f aca="true" t="shared" si="50" ref="M75:M96">IF(TRUNC(L75*(1+$G$2),2)=0,"",TRUNC(L75*(1+$G$2),2))</f>
        <v/>
      </c>
      <c r="N75" s="63">
        <f>SUM(N76:N81)</f>
        <v>30417.632919290485</v>
      </c>
      <c r="O75" s="117">
        <f t="shared" si="43"/>
        <v>0.05711533954039998</v>
      </c>
    </row>
    <row r="76" spans="1:15" s="21" customFormat="1" ht="14.25">
      <c r="A76" s="64" t="str">
        <f>'Orçamento Analítico'!A385</f>
        <v>7.1</v>
      </c>
      <c r="B76" s="64"/>
      <c r="C76" s="64"/>
      <c r="D76" s="65" t="str">
        <f>'Orçamento Analítico'!D385</f>
        <v>PAREDES E TETOS</v>
      </c>
      <c r="E76" s="65"/>
      <c r="F76" s="66"/>
      <c r="G76" s="65"/>
      <c r="H76" s="67"/>
      <c r="I76" s="67"/>
      <c r="J76" s="65"/>
      <c r="K76" s="69" t="str">
        <f t="shared" si="49"/>
        <v/>
      </c>
      <c r="L76" s="65"/>
      <c r="M76" s="69" t="str">
        <f t="shared" si="50"/>
        <v/>
      </c>
      <c r="N76" s="70"/>
      <c r="O76" s="68"/>
    </row>
    <row r="77" spans="1:15" s="21" customFormat="1" ht="14.25">
      <c r="A77" s="14" t="str">
        <f>'Orçamento Analítico'!A386</f>
        <v>7.1.1</v>
      </c>
      <c r="B77" s="13">
        <f>'Orçamento Analítico'!B387</f>
        <v>88494</v>
      </c>
      <c r="C77" s="13" t="str">
        <f>'Orçamento Analítico'!C387</f>
        <v>SINAPI</v>
      </c>
      <c r="D77" s="106" t="str">
        <f>'Orçamento Analítico'!D387</f>
        <v>APLICAÇÃO E LIXAMENTO DE MASSA LÁTEX, UMA DEMÃO</v>
      </c>
      <c r="E77" s="13" t="str">
        <f>'Orçamento Analítico'!E387</f>
        <v>m²</v>
      </c>
      <c r="F77" s="17">
        <v>186.37</v>
      </c>
      <c r="G77" s="18">
        <f>SUM('Orçamento Analítico'!H388:H389)</f>
        <v>2.2538448000000004</v>
      </c>
      <c r="H77" s="20">
        <f>SUM('Orçamento Analítico'!H390:H391)</f>
        <v>15.89798</v>
      </c>
      <c r="I77" s="19">
        <f aca="true" t="shared" si="51" ref="I77:I78">G77+H77</f>
        <v>18.1518248</v>
      </c>
      <c r="J77" s="12">
        <f aca="true" t="shared" si="52" ref="J77:J78">F77*I77</f>
        <v>3382.955587976</v>
      </c>
      <c r="K77" s="12">
        <f aca="true" t="shared" si="53" ref="K77:K78">G77*(1+$G$2)</f>
        <v>2.7251489132877267</v>
      </c>
      <c r="L77" s="12">
        <f aca="true" t="shared" si="54" ref="L77:L78">H77*(1+$G$2)</f>
        <v>19.222425129037283</v>
      </c>
      <c r="M77" s="12">
        <f aca="true" t="shared" si="55" ref="M77:M78">K77+L77</f>
        <v>21.94757404232501</v>
      </c>
      <c r="N77" s="19">
        <f aca="true" t="shared" si="56" ref="N77:N78">F77*M77</f>
        <v>4090.369374268112</v>
      </c>
      <c r="O77" s="58">
        <f>N77/$N$102</f>
        <v>0.007680506773057148</v>
      </c>
    </row>
    <row r="78" spans="1:15" s="21" customFormat="1" ht="14.25">
      <c r="A78" s="14" t="str">
        <f>'Orçamento Analítico'!A393</f>
        <v>7.1.2</v>
      </c>
      <c r="B78" s="13">
        <f>'Orçamento Analítico'!B394</f>
        <v>95622</v>
      </c>
      <c r="C78" s="13" t="str">
        <f>'Orçamento Analítico'!C394</f>
        <v>SINAPI</v>
      </c>
      <c r="D78" s="106" t="str">
        <f>'Orçamento Analítico'!D394</f>
        <v>APLICAÇÃO MANUAL DE TINTA LÁTEX ACRÍLICA, 2 DEMÃOS</v>
      </c>
      <c r="E78" s="13" t="str">
        <f>'Orçamento Analítico'!E394</f>
        <v>m²</v>
      </c>
      <c r="F78" s="17">
        <v>186.37</v>
      </c>
      <c r="G78" s="18">
        <f>SUM('Orçamento Analítico'!H395)</f>
        <v>4.670000000000001</v>
      </c>
      <c r="H78" s="20">
        <f>SUM('Orçamento Analítico'!H396:H397)</f>
        <v>9.10958</v>
      </c>
      <c r="I78" s="19">
        <f t="shared" si="51"/>
        <v>13.77958</v>
      </c>
      <c r="J78" s="12">
        <f t="shared" si="52"/>
        <v>2568.1003246</v>
      </c>
      <c r="K78" s="12">
        <f t="shared" si="53"/>
        <v>5.64654914351409</v>
      </c>
      <c r="L78" s="12">
        <f t="shared" si="54"/>
        <v>11.014494892242627</v>
      </c>
      <c r="M78" s="12">
        <f t="shared" si="55"/>
        <v>16.661044035756717</v>
      </c>
      <c r="N78" s="19">
        <f t="shared" si="56"/>
        <v>3105.1187769439794</v>
      </c>
      <c r="O78" s="58">
        <f>N78/$N$102</f>
        <v>0.005830496861113535</v>
      </c>
    </row>
    <row r="79" spans="1:15" s="21" customFormat="1" ht="14.25">
      <c r="A79" s="64" t="str">
        <f>'Orçamento Analítico'!A399</f>
        <v>7.2</v>
      </c>
      <c r="B79" s="64"/>
      <c r="C79" s="64"/>
      <c r="D79" s="65" t="str">
        <f>'Orçamento Analítico'!D399</f>
        <v>SUPERFÍCIES EM CONCRETO</v>
      </c>
      <c r="E79" s="65"/>
      <c r="F79" s="66"/>
      <c r="G79" s="65"/>
      <c r="H79" s="67"/>
      <c r="I79" s="67"/>
      <c r="J79" s="65"/>
      <c r="K79" s="69"/>
      <c r="L79" s="65"/>
      <c r="M79" s="69"/>
      <c r="N79" s="70"/>
      <c r="O79" s="68"/>
    </row>
    <row r="80" spans="1:15" s="21" customFormat="1" ht="14.25">
      <c r="A80" s="14" t="str">
        <f>'Orçamento Analítico'!A400</f>
        <v>7.2.1</v>
      </c>
      <c r="B80" s="13">
        <f>'Orçamento Analítico'!B401</f>
        <v>260104</v>
      </c>
      <c r="C80" s="13" t="str">
        <f>'Orçamento Analítico'!C401</f>
        <v>GOINFRA.MOD</v>
      </c>
      <c r="D80" s="106" t="str">
        <f>'Orçamento Analítico'!D401</f>
        <v>REMOÇÃO DE PINTURA LATEX</v>
      </c>
      <c r="E80" s="13" t="str">
        <f>'Orçamento Analítico'!E401</f>
        <v>m²</v>
      </c>
      <c r="F80" s="17">
        <v>464.89</v>
      </c>
      <c r="G80" s="18"/>
      <c r="H80" s="20">
        <f>SUM('Orçamento Analítico'!H402)</f>
        <v>7</v>
      </c>
      <c r="I80" s="19">
        <f aca="true" t="shared" si="57" ref="I80:I81">G80+H80</f>
        <v>7</v>
      </c>
      <c r="J80" s="12">
        <f aca="true" t="shared" si="58" ref="J80:J81">F80*I80</f>
        <v>3254.23</v>
      </c>
      <c r="K80" s="12">
        <f aca="true" t="shared" si="59" ref="K80:K81">G80*(1+$G$2)</f>
        <v>0</v>
      </c>
      <c r="L80" s="12">
        <f aca="true" t="shared" si="60" ref="L80:L81">H80*(1+$G$2)</f>
        <v>8.46377815944296</v>
      </c>
      <c r="M80" s="12">
        <f aca="true" t="shared" si="61" ref="M80:M81">K80+L80</f>
        <v>8.46377815944296</v>
      </c>
      <c r="N80" s="19">
        <f aca="true" t="shared" si="62" ref="N80:N81">F80*M80</f>
        <v>3934.7258285434373</v>
      </c>
      <c r="O80" s="58">
        <f>N80/$N$102</f>
        <v>0.00738825411865356</v>
      </c>
    </row>
    <row r="81" spans="1:15" s="21" customFormat="1" ht="14.25">
      <c r="A81" s="14" t="str">
        <f>'Orçamento Analítico'!A404</f>
        <v>7.2.2</v>
      </c>
      <c r="B81" s="13">
        <f>'Orçamento Analítico'!B405</f>
        <v>180063</v>
      </c>
      <c r="C81" s="13" t="str">
        <f>'Orçamento Analítico'!C405</f>
        <v>SBC.MOD</v>
      </c>
      <c r="D81" s="106" t="str">
        <f>'Orçamento Analítico'!D405</f>
        <v>TRATAMENTO DE CONCRETO APARENTE</v>
      </c>
      <c r="E81" s="13" t="str">
        <f>'Orçamento Analítico'!E405</f>
        <v>m²</v>
      </c>
      <c r="F81" s="17">
        <v>464.89</v>
      </c>
      <c r="G81" s="18">
        <f>SUM('Orçamento Analítico'!H406:H407)</f>
        <v>17.605880000000003</v>
      </c>
      <c r="H81" s="20">
        <f>SUM('Orçamento Analítico'!H408:H409)</f>
        <v>16.707040000000003</v>
      </c>
      <c r="I81" s="19">
        <f t="shared" si="57"/>
        <v>34.312920000000005</v>
      </c>
      <c r="J81" s="12">
        <f t="shared" si="58"/>
        <v>15951.733378800001</v>
      </c>
      <c r="K81" s="12">
        <f t="shared" si="59"/>
        <v>21.287466088824804</v>
      </c>
      <c r="L81" s="12">
        <f t="shared" si="60"/>
        <v>20.2006686087057</v>
      </c>
      <c r="M81" s="12">
        <f t="shared" si="61"/>
        <v>41.488134697530505</v>
      </c>
      <c r="N81" s="19">
        <f t="shared" si="62"/>
        <v>19287.418939534957</v>
      </c>
      <c r="O81" s="58">
        <f>N81/$N$102</f>
        <v>0.03621608178757574</v>
      </c>
    </row>
    <row r="82" spans="1:15" s="21" customFormat="1" ht="14.25">
      <c r="A82" s="59">
        <f>'Orçamento Analítico'!A411</f>
        <v>8</v>
      </c>
      <c r="B82" s="59"/>
      <c r="C82" s="59"/>
      <c r="D82" s="60" t="str">
        <f>'Orçamento Analítico'!D411</f>
        <v>IMPLANTAÇÃO</v>
      </c>
      <c r="E82" s="60"/>
      <c r="F82" s="72"/>
      <c r="G82" s="60"/>
      <c r="H82" s="62"/>
      <c r="I82" s="62"/>
      <c r="J82" s="63">
        <f>SUM(J83:J91)</f>
        <v>71098.98270205923</v>
      </c>
      <c r="K82" s="73" t="str">
        <f t="shared" si="49"/>
        <v/>
      </c>
      <c r="L82" s="60"/>
      <c r="M82" s="73" t="str">
        <f t="shared" si="50"/>
        <v/>
      </c>
      <c r="N82" s="63">
        <f>SUM(N83:N91)</f>
        <v>85966.5738503288</v>
      </c>
      <c r="O82" s="117">
        <f>N82/$N$102</f>
        <v>0.1614198602374655</v>
      </c>
    </row>
    <row r="83" spans="1:15" s="21" customFormat="1" ht="14.25">
      <c r="A83" s="64" t="str">
        <f>'Orçamento Analítico'!A412</f>
        <v>8.1</v>
      </c>
      <c r="B83" s="64"/>
      <c r="C83" s="64"/>
      <c r="D83" s="65" t="str">
        <f>'Orçamento Analítico'!D412</f>
        <v>PAISAGISMO</v>
      </c>
      <c r="E83" s="65"/>
      <c r="F83" s="66"/>
      <c r="G83" s="65"/>
      <c r="H83" s="67"/>
      <c r="I83" s="67"/>
      <c r="J83" s="65"/>
      <c r="K83" s="69" t="str">
        <f t="shared" si="49"/>
        <v/>
      </c>
      <c r="L83" s="65"/>
      <c r="M83" s="69" t="str">
        <f t="shared" si="50"/>
        <v/>
      </c>
      <c r="N83" s="70"/>
      <c r="O83" s="68"/>
    </row>
    <row r="84" spans="1:15" s="21" customFormat="1" ht="14.25">
      <c r="A84" s="14" t="str">
        <f>'Orçamento Analítico'!A413</f>
        <v>8.1.1</v>
      </c>
      <c r="B84" s="13" t="str">
        <f>'Orçamento Analítico'!B414</f>
        <v>COD.002</v>
      </c>
      <c r="C84" s="13" t="str">
        <f>'Orçamento Analítico'!C414</f>
        <v>MERCADO</v>
      </c>
      <c r="D84" s="106" t="str">
        <f>'Orçamento Analítico'!D414</f>
        <v>PAINEL DE JARDIM VERTICAL</v>
      </c>
      <c r="E84" s="13" t="str">
        <f>'Orçamento Analítico'!E414</f>
        <v>m²</v>
      </c>
      <c r="F84" s="17">
        <v>40.96</v>
      </c>
      <c r="G84" s="18">
        <f>'Orçamento Analítico'!H415*0.85</f>
        <v>678.0929487179487</v>
      </c>
      <c r="H84" s="20">
        <f>'Orçamento Analítico'!H415*0.15</f>
        <v>119.66346153846153</v>
      </c>
      <c r="I84" s="19">
        <f aca="true" t="shared" si="63" ref="I84">G84+H84</f>
        <v>797.7564102564103</v>
      </c>
      <c r="J84" s="12">
        <f aca="true" t="shared" si="64" ref="J84:J87">F84*I84</f>
        <v>32676.102564102566</v>
      </c>
      <c r="K84" s="12">
        <f aca="true" t="shared" si="65" ref="K84:K87">G84*(1+$G$2)</f>
        <v>819.8897556330355</v>
      </c>
      <c r="L84" s="12">
        <f aca="true" t="shared" si="66" ref="L84:L87">H84*(1+$G$2)</f>
        <v>144.68642746465332</v>
      </c>
      <c r="M84" s="12">
        <f aca="true" t="shared" si="67" ref="M84:M87">K84+L84</f>
        <v>964.5761830976888</v>
      </c>
      <c r="N84" s="19">
        <f aca="true" t="shared" si="68" ref="N84:N87">F84*M84</f>
        <v>39509.04045968134</v>
      </c>
      <c r="O84" s="58">
        <f>N84/$N$102</f>
        <v>0.07418632037402917</v>
      </c>
    </row>
    <row r="85" spans="1:15" s="21" customFormat="1" ht="14.25">
      <c r="A85" s="14" t="str">
        <f>'Orçamento Analítico'!A417</f>
        <v>8.1.2</v>
      </c>
      <c r="B85" s="13">
        <f>'Orçamento Analítico'!B418</f>
        <v>98505</v>
      </c>
      <c r="C85" s="13" t="str">
        <f>'Orçamento Analítico'!C418</f>
        <v>SINAPI</v>
      </c>
      <c r="D85" s="106" t="str">
        <f>'Orçamento Analítico'!D418</f>
        <v>PLANTIO DE FORRAÇÃO</v>
      </c>
      <c r="E85" s="13" t="str">
        <f>'Orçamento Analítico'!E418</f>
        <v>m²</v>
      </c>
      <c r="F85" s="17">
        <v>29.28</v>
      </c>
      <c r="G85" s="18">
        <f>'Orçamento Analítico'!H419</f>
        <v>44</v>
      </c>
      <c r="H85" s="20">
        <f>SUM('Orçamento Analítico'!H420:H421)</f>
        <v>4.824004</v>
      </c>
      <c r="I85" s="19">
        <f aca="true" t="shared" si="69" ref="I85:I87">G85+H85</f>
        <v>48.824004</v>
      </c>
      <c r="J85" s="12">
        <f t="shared" si="64"/>
        <v>1429.5668371200002</v>
      </c>
      <c r="K85" s="12">
        <f t="shared" si="65"/>
        <v>53.20089128792717</v>
      </c>
      <c r="L85" s="12">
        <f t="shared" si="66"/>
        <v>5.832757099466496</v>
      </c>
      <c r="M85" s="12">
        <f t="shared" si="67"/>
        <v>59.03364838739367</v>
      </c>
      <c r="N85" s="19">
        <f t="shared" si="68"/>
        <v>1728.5052247828867</v>
      </c>
      <c r="O85" s="58">
        <f>N85/$N$102</f>
        <v>0.003245622796250537</v>
      </c>
    </row>
    <row r="86" spans="1:15" s="21" customFormat="1" ht="25.5">
      <c r="A86" s="90" t="str">
        <f>'Orçamento Analítico'!A423</f>
        <v>8.1.3</v>
      </c>
      <c r="B86" s="91">
        <f>'Orçamento Analítico'!B424</f>
        <v>98516</v>
      </c>
      <c r="C86" s="91" t="str">
        <f>'Orçamento Analítico'!C424</f>
        <v>SINAPI</v>
      </c>
      <c r="D86" s="91" t="str">
        <f>'Orçamento Analítico'!D424</f>
        <v>PLANTIO DE PALMEIRA COM ALTURA DE MUDA MENOR OU IGUAL A 2,00 M</v>
      </c>
      <c r="E86" s="91" t="str">
        <f>'Orçamento Analítico'!E424</f>
        <v>un</v>
      </c>
      <c r="F86" s="104">
        <v>6</v>
      </c>
      <c r="G86" s="20">
        <f>'Orçamento Analítico'!H425</f>
        <v>75.86</v>
      </c>
      <c r="H86" s="20">
        <f>SUM('Orçamento Analítico'!H426:H429)</f>
        <v>225.46909900000003</v>
      </c>
      <c r="I86" s="19">
        <f aca="true" t="shared" si="70" ref="I86">G86+H86</f>
        <v>301.32909900000004</v>
      </c>
      <c r="J86" s="12">
        <f aca="true" t="shared" si="71" ref="J86">F86*I86</f>
        <v>1807.9745940000003</v>
      </c>
      <c r="K86" s="12">
        <f aca="true" t="shared" si="72" ref="K86">G86*(1+$G$2)</f>
        <v>91.72317302504898</v>
      </c>
      <c r="L86" s="12">
        <f aca="true" t="shared" si="73" ref="L86">H86*(1+$G$2)</f>
        <v>272.6172051064975</v>
      </c>
      <c r="M86" s="12">
        <f aca="true" t="shared" si="74" ref="M86">K86+L86</f>
        <v>364.3403781315465</v>
      </c>
      <c r="N86" s="19">
        <f aca="true" t="shared" si="75" ref="N86">F86*M86</f>
        <v>2186.042268789279</v>
      </c>
      <c r="O86" s="58">
        <f>N86/$N$102</f>
        <v>0.00410474236318315</v>
      </c>
    </row>
    <row r="87" spans="1:15" s="21" customFormat="1" ht="14.25">
      <c r="A87" s="14" t="str">
        <f>'Orçamento Analítico'!A431</f>
        <v>8.1.4</v>
      </c>
      <c r="B87" s="13">
        <f>'Orçamento Analítico'!B432</f>
        <v>102719</v>
      </c>
      <c r="C87" s="13" t="str">
        <f>'Orçamento Analítico'!C432</f>
        <v>SINAPI.MOD</v>
      </c>
      <c r="D87" s="106" t="str">
        <f>'Orçamento Analítico'!D432</f>
        <v>ENCHIMENTO DE SEIXO ROLADO</v>
      </c>
      <c r="E87" s="13" t="str">
        <f>'Orçamento Analítico'!E432</f>
        <v>m³</v>
      </c>
      <c r="F87" s="17">
        <v>5.11</v>
      </c>
      <c r="G87" s="18">
        <f>'Orçamento Analítico'!H433</f>
        <v>290.994</v>
      </c>
      <c r="H87" s="20">
        <f>SUM('Orçamento Analítico'!H434:H435)</f>
        <v>28.416877</v>
      </c>
      <c r="I87" s="19">
        <f t="shared" si="69"/>
        <v>319.410877</v>
      </c>
      <c r="J87" s="12">
        <f t="shared" si="64"/>
        <v>1632.1895814700003</v>
      </c>
      <c r="K87" s="12">
        <f t="shared" si="65"/>
        <v>351.8440945327064</v>
      </c>
      <c r="L87" s="12">
        <f t="shared" si="66"/>
        <v>34.359163273168136</v>
      </c>
      <c r="M87" s="12">
        <f t="shared" si="67"/>
        <v>386.2032578058745</v>
      </c>
      <c r="N87" s="19">
        <f t="shared" si="68"/>
        <v>1973.4986473880188</v>
      </c>
      <c r="O87" s="58">
        <f>N87/$N$102</f>
        <v>0.003705648155698632</v>
      </c>
    </row>
    <row r="88" spans="1:15" s="21" customFormat="1" ht="14.25">
      <c r="A88" s="64" t="str">
        <f>'Orçamento Analítico'!A437</f>
        <v>8.2</v>
      </c>
      <c r="B88" s="64"/>
      <c r="C88" s="64"/>
      <c r="D88" s="65" t="str">
        <f>'Orçamento Analítico'!D437</f>
        <v>DIVERSOS</v>
      </c>
      <c r="E88" s="65"/>
      <c r="F88" s="66"/>
      <c r="G88" s="65"/>
      <c r="H88" s="67"/>
      <c r="I88" s="67"/>
      <c r="J88" s="65"/>
      <c r="K88" s="69"/>
      <c r="L88" s="65"/>
      <c r="M88" s="69"/>
      <c r="N88" s="70"/>
      <c r="O88" s="68"/>
    </row>
    <row r="89" spans="1:15" s="21" customFormat="1" ht="24" customHeight="1">
      <c r="A89" s="24" t="str">
        <f>'Orçamento Analítico'!A438</f>
        <v>8.2.1</v>
      </c>
      <c r="B89" s="7">
        <f>'Orçamento Analítico'!B439</f>
        <v>103315</v>
      </c>
      <c r="C89" s="7" t="str">
        <f>'Orçamento Analítico'!C439</f>
        <v>SINAPI</v>
      </c>
      <c r="D89" s="108" t="str">
        <f>'Orçamento Analítico'!D439</f>
        <v>INSTALAÇÃO DE PERGOLADO DE MADEIRA, EM MAÇARANDUBA, ANGELIM OU EQUIVALENTE DA REGIÃO, FIXADO COM CONCRETO SOBRE SOLO. AF_11/2021</v>
      </c>
      <c r="E89" s="7" t="str">
        <f>'Orçamento Analítico'!E439</f>
        <v>m²</v>
      </c>
      <c r="F89" s="11">
        <v>44.1</v>
      </c>
      <c r="G89" s="12">
        <f>SUM('Orçamento Analítico'!H440:H445)</f>
        <v>238.568257</v>
      </c>
      <c r="H89" s="19">
        <f>SUM('Orçamento Analítico'!H446:H447)</f>
        <v>17.35783</v>
      </c>
      <c r="I89" s="19">
        <f aca="true" t="shared" si="76" ref="I89">G89+H89</f>
        <v>255.926087</v>
      </c>
      <c r="J89" s="12">
        <f aca="true" t="shared" si="77" ref="J89:J90">F89*I89</f>
        <v>11286.3404367</v>
      </c>
      <c r="K89" s="12">
        <f aca="true" t="shared" si="78" ref="K89:K90">G89*(1+$G$2)</f>
        <v>288.45554330471066</v>
      </c>
      <c r="L89" s="12">
        <f aca="true" t="shared" si="79" ref="L89:L90">H89*(1+$G$2)</f>
        <v>20.98754606418911</v>
      </c>
      <c r="M89" s="12">
        <f aca="true" t="shared" si="80" ref="M89:M90">K89+L89</f>
        <v>309.4430893688998</v>
      </c>
      <c r="N89" s="19">
        <f aca="true" t="shared" si="81" ref="N89:N90">F89*M89</f>
        <v>13646.44024116848</v>
      </c>
      <c r="O89" s="58">
        <f aca="true" t="shared" si="82" ref="O89:O95">N89/$N$102</f>
        <v>0.025623988229465957</v>
      </c>
    </row>
    <row r="90" spans="1:15" s="21" customFormat="1" ht="14.25">
      <c r="A90" s="24" t="str">
        <f>'Orçamento Analítico'!A449</f>
        <v>8.2.2</v>
      </c>
      <c r="B90" s="7" t="str">
        <f>'Orçamento Analítico'!B450</f>
        <v>COD.003</v>
      </c>
      <c r="C90" s="14" t="str">
        <f>'Orçamento Analítico'!C451</f>
        <v>MERCADO</v>
      </c>
      <c r="D90" s="141" t="str">
        <f>'Orçamento Analítico'!D450</f>
        <v>CRUZ EM MADEIRA, COM LED, IINSTALADO</v>
      </c>
      <c r="E90" s="10" t="str">
        <f>'Orçamento Analítico'!E451</f>
        <v>un</v>
      </c>
      <c r="F90" s="11">
        <v>1</v>
      </c>
      <c r="G90" s="12">
        <f>'Orçamento Analítico'!H450*0.85</f>
        <v>2564.1666666666665</v>
      </c>
      <c r="H90" s="19">
        <f>'Orçamento Analítico'!H450*0.15</f>
        <v>452.49999999999994</v>
      </c>
      <c r="I90" s="19">
        <f aca="true" t="shared" si="83" ref="I90">G90+H90</f>
        <v>3016.6666666666665</v>
      </c>
      <c r="J90" s="12">
        <f t="shared" si="77"/>
        <v>3016.6666666666665</v>
      </c>
      <c r="K90" s="12">
        <f t="shared" si="78"/>
        <v>3100.362547214998</v>
      </c>
      <c r="L90" s="12">
        <f t="shared" si="79"/>
        <v>547.1228024497055</v>
      </c>
      <c r="M90" s="12">
        <f t="shared" si="80"/>
        <v>3647.4853496647033</v>
      </c>
      <c r="N90" s="19">
        <f t="shared" si="81"/>
        <v>3647.4853496647033</v>
      </c>
      <c r="O90" s="58">
        <f t="shared" si="82"/>
        <v>0.006848901253016813</v>
      </c>
    </row>
    <row r="91" spans="1:15" s="21" customFormat="1" ht="25.5">
      <c r="A91" s="143" t="str">
        <f>'Orçamento Analítico'!A453</f>
        <v>8.2.3</v>
      </c>
      <c r="B91" s="144">
        <f>'Orçamento Analítico'!B454</f>
        <v>103266</v>
      </c>
      <c r="C91" s="144" t="str">
        <f>'Orçamento Analítico'!C454</f>
        <v>SINAPI</v>
      </c>
      <c r="D91" s="145" t="str">
        <f>'Orçamento Analítico'!D454</f>
        <v>AR CONDICIONADO SPLIT ON/OFF, PISO TETO, 60.000 BTU/H, CICLO FRIO - FORNECIMENTO E INSTALAÇÃO. AF_11/2021</v>
      </c>
      <c r="E91" s="144" t="str">
        <f>'Orçamento Analítico'!E454</f>
        <v>un</v>
      </c>
      <c r="F91" s="150">
        <v>2</v>
      </c>
      <c r="G91" s="19">
        <f>SUM('Orçamento Analítico'!H455:H460)</f>
        <v>9146.98</v>
      </c>
      <c r="H91" s="19">
        <f>SUM('Orçamento Analítico'!H461:H464)</f>
        <v>478.09101100000004</v>
      </c>
      <c r="I91" s="19">
        <f aca="true" t="shared" si="84" ref="I91">G91+H91</f>
        <v>9625.071011</v>
      </c>
      <c r="J91" s="12">
        <f aca="true" t="shared" si="85" ref="J91">F91*I91</f>
        <v>19250.142022</v>
      </c>
      <c r="K91" s="12">
        <f aca="true" t="shared" si="86" ref="K91">G91*(1+$G$2)</f>
        <v>11059.715649837364</v>
      </c>
      <c r="L91" s="12">
        <f aca="true" t="shared" si="87" ref="L91">H91*(1+$G$2)</f>
        <v>578.0651795896863</v>
      </c>
      <c r="M91" s="12">
        <f aca="true" t="shared" si="88" ref="M91">K91+L91</f>
        <v>11637.78082942705</v>
      </c>
      <c r="N91" s="19">
        <f aca="true" t="shared" si="89" ref="N91">F91*M91</f>
        <v>23275.5616588541</v>
      </c>
      <c r="O91" s="58">
        <f aca="true" t="shared" si="90" ref="O91">N91/$N$102</f>
        <v>0.04370463706582125</v>
      </c>
    </row>
    <row r="92" spans="1:15" s="21" customFormat="1" ht="14.25">
      <c r="A92" s="59">
        <f>'Orçamento Analítico'!A466</f>
        <v>9</v>
      </c>
      <c r="B92" s="59"/>
      <c r="C92" s="59"/>
      <c r="D92" s="60" t="str">
        <f>'Orçamento Analítico'!D466</f>
        <v>SERVIÇOS FINAIS</v>
      </c>
      <c r="E92" s="60"/>
      <c r="F92" s="72"/>
      <c r="G92" s="60"/>
      <c r="H92" s="62"/>
      <c r="I92" s="62"/>
      <c r="J92" s="63">
        <f>SUM(J93:J94)</f>
        <v>2978.008232</v>
      </c>
      <c r="K92" s="73"/>
      <c r="L92" s="60"/>
      <c r="M92" s="73"/>
      <c r="N92" s="63">
        <f>SUM(N93:N94)</f>
        <v>3600.743004663277</v>
      </c>
      <c r="O92" s="117">
        <f t="shared" si="82"/>
        <v>0.0067611329209853665</v>
      </c>
    </row>
    <row r="93" spans="1:15" s="21" customFormat="1" ht="14.25">
      <c r="A93" s="14" t="str">
        <f>'Orçamento Analítico'!A467</f>
        <v>9.1</v>
      </c>
      <c r="B93" s="13">
        <f>'Orçamento Analítico'!B468</f>
        <v>270501</v>
      </c>
      <c r="C93" s="13" t="str">
        <f>'Orçamento Analítico'!C468</f>
        <v>GOINFRA.MOD</v>
      </c>
      <c r="D93" s="106" t="str">
        <f>'Orçamento Analítico'!D468</f>
        <v>LIMPEZA FINAL DE OBRA - (OBRAS CIVIS)</v>
      </c>
      <c r="E93" s="13" t="str">
        <f>'Orçamento Analítico'!E468</f>
        <v>m²</v>
      </c>
      <c r="F93" s="17">
        <v>548</v>
      </c>
      <c r="G93" s="18">
        <f>SUM('Orçamento Analítico'!H469:H471)</f>
        <v>1.0633590000000002</v>
      </c>
      <c r="H93" s="20">
        <f>SUM('Orçamento Analítico'!H472)</f>
        <v>2.625</v>
      </c>
      <c r="I93" s="19">
        <f aca="true" t="shared" si="91" ref="I93">G93+H93</f>
        <v>3.688359</v>
      </c>
      <c r="J93" s="12">
        <f aca="true" t="shared" si="92" ref="J93:J94">F93*I93</f>
        <v>2021.220732</v>
      </c>
      <c r="K93" s="12">
        <f aca="true" t="shared" si="93" ref="K93:K94">G93*(1+$G$2)</f>
        <v>1.285719239978158</v>
      </c>
      <c r="L93" s="12">
        <f aca="true" t="shared" si="94" ref="L93:L94">H93*(1+$G$2)</f>
        <v>3.1739168097911095</v>
      </c>
      <c r="M93" s="12">
        <f aca="true" t="shared" si="95" ref="M93:M94">K93+L93</f>
        <v>4.4596360497692675</v>
      </c>
      <c r="N93" s="19">
        <f aca="true" t="shared" si="96" ref="N93:N94">F93*M93</f>
        <v>2443.8805552735585</v>
      </c>
      <c r="O93" s="58">
        <f t="shared" si="82"/>
        <v>0.0045888865869674125</v>
      </c>
    </row>
    <row r="94" spans="1:15" s="21" customFormat="1" ht="14.25">
      <c r="A94" s="14" t="str">
        <f>'Orçamento Analítico'!A474</f>
        <v>9.2</v>
      </c>
      <c r="B94" s="13">
        <f>'Orçamento Analítico'!B475</f>
        <v>270804</v>
      </c>
      <c r="C94" s="13" t="str">
        <f>'Orçamento Analítico'!C475</f>
        <v>GOINFRA.MOD</v>
      </c>
      <c r="D94" s="106" t="str">
        <f>'Orçamento Analítico'!D475</f>
        <v>PLACA DE INAUGURACAO ACO ESCOVADO 40X60 CM</v>
      </c>
      <c r="E94" s="13" t="str">
        <f>'Orçamento Analítico'!E475</f>
        <v>un</v>
      </c>
      <c r="F94" s="71">
        <v>1</v>
      </c>
      <c r="G94" s="18">
        <f>SUM('Orçamento Analítico'!H476:H477)</f>
        <v>950.77</v>
      </c>
      <c r="H94" s="20">
        <f>SUM('Orçamento Analítico'!H478)</f>
        <v>6.0175</v>
      </c>
      <c r="I94" s="19">
        <f aca="true" t="shared" si="97" ref="I94">G94+H94</f>
        <v>956.7875</v>
      </c>
      <c r="J94" s="12">
        <f t="shared" si="92"/>
        <v>956.7875</v>
      </c>
      <c r="K94" s="12">
        <f t="shared" si="93"/>
        <v>1149.5866229505118</v>
      </c>
      <c r="L94" s="12">
        <f t="shared" si="94"/>
        <v>7.275826439206858</v>
      </c>
      <c r="M94" s="12">
        <f t="shared" si="95"/>
        <v>1156.8624493897187</v>
      </c>
      <c r="N94" s="19">
        <f t="shared" si="96"/>
        <v>1156.8624493897187</v>
      </c>
      <c r="O94" s="58">
        <f t="shared" si="82"/>
        <v>0.002172246334017953</v>
      </c>
    </row>
    <row r="95" spans="1:16" s="21" customFormat="1" ht="24" customHeight="1">
      <c r="A95" s="59">
        <f>'Orçamento Analítico'!A480</f>
        <v>10</v>
      </c>
      <c r="B95" s="59"/>
      <c r="C95" s="59"/>
      <c r="D95" s="60" t="str">
        <f>'Orçamento Analítico'!D480</f>
        <v>ADMINISTRAÇÃO LOCAL</v>
      </c>
      <c r="E95" s="60"/>
      <c r="F95" s="72"/>
      <c r="G95" s="60"/>
      <c r="H95" s="62"/>
      <c r="I95" s="62"/>
      <c r="J95" s="116">
        <f>SUM(J97:J98)</f>
        <v>57214.799999999996</v>
      </c>
      <c r="K95" s="115" t="str">
        <f t="shared" si="49"/>
        <v/>
      </c>
      <c r="L95" s="114"/>
      <c r="M95" s="115" t="str">
        <f t="shared" si="50"/>
        <v/>
      </c>
      <c r="N95" s="116">
        <f>SUM(N97:N98)</f>
        <v>69179.05351955672</v>
      </c>
      <c r="O95" s="117">
        <f t="shared" si="82"/>
        <v>0.12989785041252147</v>
      </c>
      <c r="P95" s="142"/>
    </row>
    <row r="96" spans="1:15" s="21" customFormat="1" ht="14.25">
      <c r="A96" s="64" t="str">
        <f>'Orçamento Analítico'!A481</f>
        <v>10.1</v>
      </c>
      <c r="B96" s="64"/>
      <c r="C96" s="64"/>
      <c r="D96" s="65" t="str">
        <f>'Orçamento Analítico'!D481</f>
        <v>EQUIPE TÉCNICA</v>
      </c>
      <c r="E96" s="65"/>
      <c r="F96" s="66"/>
      <c r="G96" s="65"/>
      <c r="H96" s="67"/>
      <c r="I96" s="67"/>
      <c r="J96" s="65"/>
      <c r="K96" s="69" t="str">
        <f t="shared" si="49"/>
        <v/>
      </c>
      <c r="L96" s="65"/>
      <c r="M96" s="69" t="str">
        <f t="shared" si="50"/>
        <v/>
      </c>
      <c r="N96" s="70"/>
      <c r="O96" s="68"/>
    </row>
    <row r="97" spans="1:15" s="21" customFormat="1" ht="25.5">
      <c r="A97" s="14" t="str">
        <f>'Orçamento Analítico'!A482</f>
        <v>10.1.1</v>
      </c>
      <c r="B97" s="13">
        <f>'Orçamento Analítico'!B483</f>
        <v>90777</v>
      </c>
      <c r="C97" s="13" t="str">
        <f>'Orçamento Analítico'!C483</f>
        <v>SINAPI</v>
      </c>
      <c r="D97" s="106" t="str">
        <f>'Orçamento Analítico'!D483</f>
        <v>ENGENHEIRO CIVIL DE OBRA JUNIOR COM ENCARGOS COMPLEMENTARES</v>
      </c>
      <c r="E97" s="13" t="str">
        <f>'Orçamento Analítico'!E483</f>
        <v>h</v>
      </c>
      <c r="F97" s="71">
        <v>240</v>
      </c>
      <c r="G97" s="18"/>
      <c r="H97" s="20">
        <f>'Orçamento Analítico'!H483</f>
        <v>99.63</v>
      </c>
      <c r="I97" s="19">
        <f aca="true" t="shared" si="98" ref="I97:I98">G97+H97</f>
        <v>99.63</v>
      </c>
      <c r="J97" s="12">
        <f aca="true" t="shared" si="99" ref="J97:J98">F97*I97</f>
        <v>23911.199999999997</v>
      </c>
      <c r="K97" s="12">
        <f aca="true" t="shared" si="100" ref="K97:K98">G97*(1+$G$2)</f>
        <v>0</v>
      </c>
      <c r="L97" s="12">
        <f aca="true" t="shared" si="101" ref="L97:L98">H97*(1+$G$2)</f>
        <v>120.463745432186</v>
      </c>
      <c r="M97" s="12">
        <f aca="true" t="shared" si="102" ref="M97:M98">K97+L97</f>
        <v>120.463745432186</v>
      </c>
      <c r="N97" s="19">
        <f aca="true" t="shared" si="103" ref="N97:N98">F97*M97</f>
        <v>28911.29890372464</v>
      </c>
      <c r="O97" s="58">
        <f aca="true" t="shared" si="104" ref="O97:O98">N97/$N$102</f>
        <v>0.05428688872081845</v>
      </c>
    </row>
    <row r="98" spans="1:15" s="21" customFormat="1" ht="14.25">
      <c r="A98" s="14" t="str">
        <f>'Orçamento Analítico'!A486</f>
        <v>10.1.2</v>
      </c>
      <c r="B98" s="13">
        <f>'Orçamento Analítico'!B487</f>
        <v>90776</v>
      </c>
      <c r="C98" s="13" t="str">
        <f>'Orçamento Analítico'!C487</f>
        <v>SINAPI</v>
      </c>
      <c r="D98" s="106" t="str">
        <f>'Orçamento Analítico'!D487</f>
        <v>ENCARREGADO GERAL COM ENCARGOS COMPLEMENTARES</v>
      </c>
      <c r="E98" s="13" t="str">
        <f>'Orçamento Analítico'!E487</f>
        <v>h</v>
      </c>
      <c r="F98" s="71">
        <v>660</v>
      </c>
      <c r="G98" s="18"/>
      <c r="H98" s="20">
        <f>'Orçamento Analítico'!H487</f>
        <v>50.46</v>
      </c>
      <c r="I98" s="19">
        <f t="shared" si="98"/>
        <v>50.46</v>
      </c>
      <c r="J98" s="12">
        <f t="shared" si="99"/>
        <v>33303.6</v>
      </c>
      <c r="K98" s="12">
        <f t="shared" si="100"/>
        <v>0</v>
      </c>
      <c r="L98" s="12">
        <f t="shared" si="101"/>
        <v>61.01174941792739</v>
      </c>
      <c r="M98" s="12">
        <f t="shared" si="102"/>
        <v>61.01174941792739</v>
      </c>
      <c r="N98" s="19">
        <f t="shared" si="103"/>
        <v>40267.75461583208</v>
      </c>
      <c r="O98" s="58">
        <f t="shared" si="104"/>
        <v>0.07561096169170302</v>
      </c>
    </row>
    <row r="99" spans="1:15" ht="14.2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58">
        <f>SUM(O6:O98)/2</f>
        <v>1</v>
      </c>
    </row>
    <row r="100" spans="1:15" ht="14.25">
      <c r="A100" s="205"/>
      <c r="B100" s="205"/>
      <c r="C100" s="205"/>
      <c r="D100" s="119"/>
      <c r="E100" s="119"/>
      <c r="F100" s="119"/>
      <c r="G100" s="119"/>
      <c r="H100" s="119"/>
      <c r="I100" s="120"/>
      <c r="J100" s="120"/>
      <c r="K100" s="121"/>
      <c r="L100" s="121"/>
      <c r="M100" s="122" t="s">
        <v>66</v>
      </c>
      <c r="N100" s="120">
        <f>SUM(J6:J98)/2</f>
        <v>440459.9446280352</v>
      </c>
      <c r="O100" s="123"/>
    </row>
    <row r="101" spans="1:15" ht="14.25">
      <c r="A101" s="205"/>
      <c r="B101" s="205"/>
      <c r="C101" s="205"/>
      <c r="D101" s="119"/>
      <c r="E101" s="119"/>
      <c r="F101" s="119"/>
      <c r="G101" s="119"/>
      <c r="H101" s="119"/>
      <c r="I101" s="120"/>
      <c r="J101" s="120"/>
      <c r="K101" s="121"/>
      <c r="L101" s="121"/>
      <c r="M101" s="122" t="s">
        <v>67</v>
      </c>
      <c r="N101" s="120">
        <f>N100*G2</f>
        <v>92105.09243656757</v>
      </c>
      <c r="O101" s="124"/>
    </row>
    <row r="102" spans="1:15" ht="14.25">
      <c r="A102" s="205"/>
      <c r="B102" s="205"/>
      <c r="C102" s="205"/>
      <c r="D102" s="119"/>
      <c r="E102" s="119"/>
      <c r="F102" s="119"/>
      <c r="G102" s="119"/>
      <c r="H102" s="119"/>
      <c r="I102" s="125"/>
      <c r="J102" s="125"/>
      <c r="K102" s="126"/>
      <c r="L102" s="126"/>
      <c r="M102" s="122" t="s">
        <v>68</v>
      </c>
      <c r="N102" s="125">
        <f>N95+N92+N82+N75+N73+N43+N40+N19+N6+N28</f>
        <v>532565.0370646027</v>
      </c>
      <c r="O102" s="124"/>
    </row>
    <row r="103" spans="1:15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69.95" customHeight="1">
      <c r="A104" s="202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</row>
  </sheetData>
  <mergeCells count="18">
    <mergeCell ref="A104:O104"/>
    <mergeCell ref="A3:O3"/>
    <mergeCell ref="A100:C100"/>
    <mergeCell ref="A101:C101"/>
    <mergeCell ref="G4:J4"/>
    <mergeCell ref="K4:N4"/>
    <mergeCell ref="A4:A5"/>
    <mergeCell ref="B4:B5"/>
    <mergeCell ref="C4:C5"/>
    <mergeCell ref="D4:D5"/>
    <mergeCell ref="E4:E5"/>
    <mergeCell ref="A102:C102"/>
    <mergeCell ref="E1:F1"/>
    <mergeCell ref="E2:F2"/>
    <mergeCell ref="K1:O1"/>
    <mergeCell ref="K2:O2"/>
    <mergeCell ref="F4:F5"/>
    <mergeCell ref="O4:O5"/>
  </mergeCells>
  <printOptions/>
  <pageMargins left="0.7874015748031497" right="0.3937007874015748" top="0.5905511811023623" bottom="0.7874015748031497" header="0.5118110236220472" footer="0.5118110236220472"/>
  <pageSetup fitToHeight="0" fitToWidth="1" horizontalDpi="600" verticalDpi="600" orientation="landscape" paperSize="9" scale="54" r:id="rId2"/>
  <headerFooter>
    <oddHeader xml:space="preserve">&amp;L &amp;C </oddHeader>
    <oddFooter>&amp;L &amp;C &amp;R&amp;P de &amp;N</oddFooter>
  </headerFooter>
  <rowBreaks count="1" manualBreakCount="1">
    <brk id="42" max="16383" man="1"/>
  </rowBreaks>
  <ignoredErrors>
    <ignoredError sqref="J73 N73 J92 N92 K42 M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89"/>
  <sheetViews>
    <sheetView showOutlineSymbols="0" view="pageBreakPreview" zoomScale="115" zoomScaleSheetLayoutView="115" workbookViewId="0" topLeftCell="A1">
      <selection activeCell="D491" sqref="D491"/>
    </sheetView>
  </sheetViews>
  <sheetFormatPr defaultColWidth="9.00390625" defaultRowHeight="14.25"/>
  <cols>
    <col min="1" max="1" width="12.25390625" style="26" customWidth="1"/>
    <col min="2" max="2" width="9.25390625" style="0" customWidth="1"/>
    <col min="3" max="3" width="13.625" style="0" customWidth="1"/>
    <col min="4" max="4" width="60.00390625" style="0" bestFit="1" customWidth="1"/>
    <col min="5" max="5" width="20.125" style="0" customWidth="1"/>
    <col min="6" max="6" width="12.00390625" style="0" bestFit="1" customWidth="1"/>
    <col min="7" max="7" width="13.00390625" style="0" bestFit="1" customWidth="1"/>
    <col min="8" max="8" width="14.00390625" style="0" bestFit="1" customWidth="1"/>
  </cols>
  <sheetData>
    <row r="1" spans="1:8" ht="15">
      <c r="A1" s="29"/>
      <c r="B1" s="27"/>
      <c r="C1" s="28"/>
      <c r="D1" s="28" t="s">
        <v>0</v>
      </c>
      <c r="E1" s="28" t="s">
        <v>1</v>
      </c>
      <c r="F1" s="29" t="s">
        <v>2</v>
      </c>
      <c r="G1" s="216" t="s">
        <v>3</v>
      </c>
      <c r="H1" s="216"/>
    </row>
    <row r="2" spans="1:8" ht="51">
      <c r="A2" s="34"/>
      <c r="B2" s="30"/>
      <c r="C2" s="31"/>
      <c r="D2" s="31" t="str">
        <f>'Orçamento Sintético'!$D$2</f>
        <v>Adequação da área destinada ao Espaço Ecumênico no Estádio Serra Dourada, localizado no município de Goiânia-GO</v>
      </c>
      <c r="E2" s="31" t="str">
        <f>'Orçamento Sintético'!$E$2</f>
        <v xml:space="preserve">GOINFRA - 01/2022
SINAPI - 02/2022 - Goiás
SBC - 03/2022 - Goiás
</v>
      </c>
      <c r="F2" s="32">
        <f>'Orçamento Sintético'!$G$2</f>
        <v>0.20911116563470844</v>
      </c>
      <c r="G2" s="217" t="str">
        <f>'Orçamento Sintético'!$K$2</f>
        <v>Não Desonerado: 
Horista:  115,42%
Mensalista:  72,81%</v>
      </c>
      <c r="H2" s="217"/>
    </row>
    <row r="3" spans="1:8" s="25" customFormat="1" ht="15.75" thickBot="1">
      <c r="A3" s="213" t="s">
        <v>69</v>
      </c>
      <c r="B3" s="214"/>
      <c r="C3" s="214"/>
      <c r="D3" s="214"/>
      <c r="E3" s="214"/>
      <c r="F3" s="214"/>
      <c r="G3" s="214"/>
      <c r="H3" s="215"/>
    </row>
    <row r="4" spans="1:8" ht="15.75" thickTop="1">
      <c r="A4" s="33"/>
      <c r="B4" s="33"/>
      <c r="C4" s="33"/>
      <c r="D4" s="33"/>
      <c r="E4" s="33"/>
      <c r="F4" s="33"/>
      <c r="G4" s="33"/>
      <c r="H4" s="33"/>
    </row>
    <row r="5" spans="1:8" s="127" customFormat="1" ht="15">
      <c r="A5" s="95">
        <v>1</v>
      </c>
      <c r="B5" s="59"/>
      <c r="C5" s="59"/>
      <c r="D5" s="96" t="s">
        <v>13</v>
      </c>
      <c r="E5" s="59"/>
      <c r="F5" s="59"/>
      <c r="G5" s="59"/>
      <c r="H5" s="59"/>
    </row>
    <row r="6" spans="1:8" s="130" customFormat="1" ht="15">
      <c r="A6" s="128" t="s">
        <v>134</v>
      </c>
      <c r="B6" s="97"/>
      <c r="C6" s="128"/>
      <c r="D6" s="129" t="s">
        <v>14</v>
      </c>
      <c r="E6" s="128"/>
      <c r="F6" s="128"/>
      <c r="G6" s="128"/>
      <c r="H6" s="128"/>
    </row>
    <row r="7" spans="1:8" s="89" customFormat="1" ht="15">
      <c r="A7" s="88" t="s">
        <v>114</v>
      </c>
      <c r="B7" s="88" t="s">
        <v>6</v>
      </c>
      <c r="C7" s="88" t="s">
        <v>7</v>
      </c>
      <c r="D7" s="88" t="s">
        <v>8</v>
      </c>
      <c r="E7" s="88" t="s">
        <v>9</v>
      </c>
      <c r="F7" s="88" t="s">
        <v>10</v>
      </c>
      <c r="G7" s="88" t="s">
        <v>11</v>
      </c>
      <c r="H7" s="88" t="s">
        <v>12</v>
      </c>
    </row>
    <row r="8" spans="1:8" s="87" customFormat="1" ht="16.5" customHeight="1">
      <c r="A8" s="153" t="s">
        <v>70</v>
      </c>
      <c r="B8" s="153" t="s">
        <v>15</v>
      </c>
      <c r="C8" s="153" t="s">
        <v>133</v>
      </c>
      <c r="D8" s="154" t="s">
        <v>16</v>
      </c>
      <c r="E8" s="153" t="s">
        <v>17</v>
      </c>
      <c r="F8" s="155">
        <v>1</v>
      </c>
      <c r="G8" s="156">
        <v>233.94</v>
      </c>
      <c r="H8" s="156">
        <v>233.94</v>
      </c>
    </row>
    <row r="9" spans="1:8" s="21" customFormat="1" ht="14.25">
      <c r="A9" s="82"/>
      <c r="B9" s="83"/>
      <c r="C9" s="83"/>
      <c r="D9" s="83"/>
      <c r="E9" s="83"/>
      <c r="F9" s="84"/>
      <c r="G9" s="83"/>
      <c r="H9" s="85"/>
    </row>
    <row r="10" spans="1:8" s="21" customFormat="1" ht="15">
      <c r="A10" s="88" t="s">
        <v>18</v>
      </c>
      <c r="B10" s="88" t="s">
        <v>6</v>
      </c>
      <c r="C10" s="88" t="s">
        <v>7</v>
      </c>
      <c r="D10" s="88" t="s">
        <v>8</v>
      </c>
      <c r="E10" s="88" t="s">
        <v>9</v>
      </c>
      <c r="F10" s="88" t="s">
        <v>10</v>
      </c>
      <c r="G10" s="88" t="s">
        <v>11</v>
      </c>
      <c r="H10" s="88" t="s">
        <v>12</v>
      </c>
    </row>
    <row r="11" spans="1:8" s="21" customFormat="1" ht="25.5">
      <c r="A11" s="153" t="s">
        <v>71</v>
      </c>
      <c r="B11" s="153">
        <v>21301</v>
      </c>
      <c r="C11" s="154" t="s">
        <v>115</v>
      </c>
      <c r="D11" s="154" t="s">
        <v>117</v>
      </c>
      <c r="E11" s="153" t="s">
        <v>19</v>
      </c>
      <c r="F11" s="157"/>
      <c r="G11" s="158"/>
      <c r="H11" s="158">
        <f>SUM(H12:H21)</f>
        <v>399.351946</v>
      </c>
    </row>
    <row r="12" spans="1:8" s="21" customFormat="1" ht="14.25">
      <c r="A12" s="75" t="s">
        <v>70</v>
      </c>
      <c r="B12" s="75">
        <v>1379</v>
      </c>
      <c r="C12" s="75" t="s">
        <v>41</v>
      </c>
      <c r="D12" s="77" t="s">
        <v>116</v>
      </c>
      <c r="E12" s="75" t="s">
        <v>72</v>
      </c>
      <c r="F12" s="101">
        <v>2.6608</v>
      </c>
      <c r="G12" s="78">
        <v>0.59</v>
      </c>
      <c r="H12" s="78">
        <f>F12*G12</f>
        <v>1.569872</v>
      </c>
    </row>
    <row r="13" spans="1:8" s="21" customFormat="1" ht="14.25">
      <c r="A13" s="75" t="s">
        <v>70</v>
      </c>
      <c r="B13" s="75">
        <v>1374</v>
      </c>
      <c r="C13" s="75" t="s">
        <v>109</v>
      </c>
      <c r="D13" s="77" t="s">
        <v>73</v>
      </c>
      <c r="E13" s="75" t="s">
        <v>72</v>
      </c>
      <c r="F13" s="101">
        <v>0.0514</v>
      </c>
      <c r="G13" s="78">
        <v>5.54</v>
      </c>
      <c r="H13" s="78">
        <f aca="true" t="shared" si="0" ref="H13:H21">F13*G13</f>
        <v>0.284756</v>
      </c>
    </row>
    <row r="14" spans="1:8" s="21" customFormat="1" ht="14.25">
      <c r="A14" s="75" t="s">
        <v>70</v>
      </c>
      <c r="B14" s="75">
        <v>13294</v>
      </c>
      <c r="C14" s="75" t="s">
        <v>41</v>
      </c>
      <c r="D14" s="77" t="s">
        <v>74</v>
      </c>
      <c r="E14" s="75" t="s">
        <v>17</v>
      </c>
      <c r="F14" s="101">
        <v>1.1852</v>
      </c>
      <c r="G14" s="78">
        <v>1.71</v>
      </c>
      <c r="H14" s="78">
        <f t="shared" si="0"/>
        <v>2.026692</v>
      </c>
    </row>
    <row r="15" spans="1:8" s="21" customFormat="1" ht="14.25">
      <c r="A15" s="75" t="s">
        <v>70</v>
      </c>
      <c r="B15" s="75">
        <v>5062</v>
      </c>
      <c r="C15" s="75" t="s">
        <v>41</v>
      </c>
      <c r="D15" s="77" t="s">
        <v>502</v>
      </c>
      <c r="E15" s="75" t="s">
        <v>72</v>
      </c>
      <c r="F15" s="101">
        <v>0.0115</v>
      </c>
      <c r="G15" s="78">
        <v>23.19</v>
      </c>
      <c r="H15" s="78">
        <f t="shared" si="0"/>
        <v>0.266685</v>
      </c>
    </row>
    <row r="16" spans="1:8" s="21" customFormat="1" ht="25.5">
      <c r="A16" s="75" t="s">
        <v>70</v>
      </c>
      <c r="B16" s="75">
        <v>4299</v>
      </c>
      <c r="C16" s="75" t="s">
        <v>41</v>
      </c>
      <c r="D16" s="77" t="s">
        <v>121</v>
      </c>
      <c r="E16" s="75" t="s">
        <v>17</v>
      </c>
      <c r="F16" s="101">
        <v>1.3333</v>
      </c>
      <c r="G16" s="78">
        <v>0.91</v>
      </c>
      <c r="H16" s="78">
        <f t="shared" si="0"/>
        <v>1.213303</v>
      </c>
    </row>
    <row r="17" spans="1:8" s="21" customFormat="1" ht="25.5">
      <c r="A17" s="75" t="s">
        <v>70</v>
      </c>
      <c r="B17" s="75">
        <v>4813</v>
      </c>
      <c r="C17" s="75" t="s">
        <v>41</v>
      </c>
      <c r="D17" s="77" t="s">
        <v>118</v>
      </c>
      <c r="E17" s="75" t="s">
        <v>19</v>
      </c>
      <c r="F17" s="101">
        <v>1</v>
      </c>
      <c r="G17" s="78">
        <v>315</v>
      </c>
      <c r="H17" s="78">
        <f t="shared" si="0"/>
        <v>315</v>
      </c>
    </row>
    <row r="18" spans="1:8" s="21" customFormat="1" ht="25.5">
      <c r="A18" s="75" t="s">
        <v>70</v>
      </c>
      <c r="B18" s="75">
        <v>20213</v>
      </c>
      <c r="C18" s="75" t="s">
        <v>41</v>
      </c>
      <c r="D18" s="77" t="s">
        <v>119</v>
      </c>
      <c r="E18" s="75" t="s">
        <v>24</v>
      </c>
      <c r="F18" s="101">
        <v>2.4022</v>
      </c>
      <c r="G18" s="78">
        <v>26.47</v>
      </c>
      <c r="H18" s="78">
        <f t="shared" si="0"/>
        <v>63.586234</v>
      </c>
    </row>
    <row r="19" spans="1:8" s="21" customFormat="1" ht="25.5">
      <c r="A19" s="75" t="s">
        <v>70</v>
      </c>
      <c r="B19" s="75">
        <v>20206</v>
      </c>
      <c r="C19" s="75" t="s">
        <v>41</v>
      </c>
      <c r="D19" s="77" t="s">
        <v>120</v>
      </c>
      <c r="E19" s="75" t="s">
        <v>24</v>
      </c>
      <c r="F19" s="101">
        <v>1.2613</v>
      </c>
      <c r="G19" s="78">
        <v>9.41</v>
      </c>
      <c r="H19" s="78">
        <f t="shared" si="0"/>
        <v>11.868833</v>
      </c>
    </row>
    <row r="20" spans="1:8" s="21" customFormat="1" ht="14.25">
      <c r="A20" s="75" t="s">
        <v>71</v>
      </c>
      <c r="B20" s="75">
        <v>88262</v>
      </c>
      <c r="C20" s="75" t="s">
        <v>41</v>
      </c>
      <c r="D20" s="77" t="s">
        <v>122</v>
      </c>
      <c r="E20" s="75" t="s">
        <v>61</v>
      </c>
      <c r="F20" s="101">
        <v>0.0247</v>
      </c>
      <c r="G20" s="78">
        <v>23.81</v>
      </c>
      <c r="H20" s="78">
        <f t="shared" si="0"/>
        <v>0.5881069999999999</v>
      </c>
    </row>
    <row r="21" spans="1:8" s="21" customFormat="1" ht="14.25">
      <c r="A21" s="75" t="s">
        <v>71</v>
      </c>
      <c r="B21" s="75">
        <v>88239</v>
      </c>
      <c r="C21" s="75" t="s">
        <v>41</v>
      </c>
      <c r="D21" s="77" t="s">
        <v>123</v>
      </c>
      <c r="E21" s="75" t="s">
        <v>61</v>
      </c>
      <c r="F21" s="101">
        <v>0.1692</v>
      </c>
      <c r="G21" s="78">
        <v>17.42</v>
      </c>
      <c r="H21" s="78">
        <f t="shared" si="0"/>
        <v>2.947464</v>
      </c>
    </row>
    <row r="22" spans="1:8" s="21" customFormat="1" ht="14.25">
      <c r="A22" s="79"/>
      <c r="B22" s="79"/>
      <c r="C22" s="131"/>
      <c r="D22" s="131"/>
      <c r="E22" s="79"/>
      <c r="F22" s="132"/>
      <c r="G22" s="81"/>
      <c r="H22" s="81"/>
    </row>
    <row r="23" spans="1:8" s="130" customFormat="1" ht="15">
      <c r="A23" s="128" t="s">
        <v>135</v>
      </c>
      <c r="B23" s="97"/>
      <c r="C23" s="128"/>
      <c r="D23" s="129" t="s">
        <v>20</v>
      </c>
      <c r="E23" s="128"/>
      <c r="F23" s="128"/>
      <c r="G23" s="128"/>
      <c r="H23" s="128"/>
    </row>
    <row r="24" spans="1:8" s="21" customFormat="1" ht="15">
      <c r="A24" s="88" t="s">
        <v>108</v>
      </c>
      <c r="B24" s="88" t="s">
        <v>6</v>
      </c>
      <c r="C24" s="88" t="s">
        <v>7</v>
      </c>
      <c r="D24" s="88" t="s">
        <v>8</v>
      </c>
      <c r="E24" s="88" t="s">
        <v>9</v>
      </c>
      <c r="F24" s="88" t="s">
        <v>10</v>
      </c>
      <c r="G24" s="88" t="s">
        <v>11</v>
      </c>
      <c r="H24" s="88" t="s">
        <v>12</v>
      </c>
    </row>
    <row r="25" spans="1:8" s="21" customFormat="1" ht="14.25">
      <c r="A25" s="159" t="s">
        <v>71</v>
      </c>
      <c r="B25" s="159">
        <v>97665</v>
      </c>
      <c r="C25" s="159" t="s">
        <v>41</v>
      </c>
      <c r="D25" s="160" t="s">
        <v>126</v>
      </c>
      <c r="E25" s="159" t="s">
        <v>17</v>
      </c>
      <c r="F25" s="161"/>
      <c r="G25" s="162"/>
      <c r="H25" s="163">
        <f>SUM(H26:H27)</f>
        <v>1.073306</v>
      </c>
    </row>
    <row r="26" spans="1:8" s="21" customFormat="1" ht="14.25">
      <c r="A26" s="164" t="s">
        <v>71</v>
      </c>
      <c r="B26" s="164">
        <v>88316</v>
      </c>
      <c r="C26" s="164" t="s">
        <v>41</v>
      </c>
      <c r="D26" s="165" t="s">
        <v>127</v>
      </c>
      <c r="E26" s="164" t="s">
        <v>61</v>
      </c>
      <c r="F26" s="166">
        <v>0.0359</v>
      </c>
      <c r="G26" s="162">
        <v>17.5</v>
      </c>
      <c r="H26" s="162">
        <f aca="true" t="shared" si="1" ref="H26:H27">F26*G26</f>
        <v>0.62825</v>
      </c>
    </row>
    <row r="27" spans="1:8" s="21" customFormat="1" ht="14.25">
      <c r="A27" s="164" t="s">
        <v>71</v>
      </c>
      <c r="B27" s="164">
        <v>88264</v>
      </c>
      <c r="C27" s="164" t="s">
        <v>41</v>
      </c>
      <c r="D27" s="165" t="s">
        <v>128</v>
      </c>
      <c r="E27" s="164" t="s">
        <v>61</v>
      </c>
      <c r="F27" s="166">
        <v>0.0183</v>
      </c>
      <c r="G27" s="162">
        <v>24.32</v>
      </c>
      <c r="H27" s="162">
        <f t="shared" si="1"/>
        <v>0.445056</v>
      </c>
    </row>
    <row r="28" spans="1:8" s="21" customFormat="1" ht="14.25">
      <c r="A28" s="79"/>
      <c r="B28" s="80"/>
      <c r="C28" s="131"/>
      <c r="D28" s="131"/>
      <c r="E28" s="79"/>
      <c r="F28" s="133"/>
      <c r="G28" s="81"/>
      <c r="H28" s="81"/>
    </row>
    <row r="29" spans="1:8" s="89" customFormat="1" ht="15">
      <c r="A29" s="88" t="s">
        <v>124</v>
      </c>
      <c r="B29" s="88" t="s">
        <v>6</v>
      </c>
      <c r="C29" s="88" t="s">
        <v>7</v>
      </c>
      <c r="D29" s="88" t="s">
        <v>8</v>
      </c>
      <c r="E29" s="88" t="s">
        <v>9</v>
      </c>
      <c r="F29" s="88" t="s">
        <v>10</v>
      </c>
      <c r="G29" s="88" t="s">
        <v>11</v>
      </c>
      <c r="H29" s="88" t="s">
        <v>12</v>
      </c>
    </row>
    <row r="30" spans="1:8" s="21" customFormat="1" ht="25.5">
      <c r="A30" s="153" t="s">
        <v>71</v>
      </c>
      <c r="B30" s="153">
        <v>20109</v>
      </c>
      <c r="C30" s="159" t="s">
        <v>115</v>
      </c>
      <c r="D30" s="154" t="s">
        <v>21</v>
      </c>
      <c r="E30" s="153" t="s">
        <v>19</v>
      </c>
      <c r="F30" s="157"/>
      <c r="G30" s="158"/>
      <c r="H30" s="158">
        <f>SUM(H31:H32)</f>
        <v>18.115370000000002</v>
      </c>
    </row>
    <row r="31" spans="1:8" s="21" customFormat="1" ht="14.25">
      <c r="A31" s="75" t="s">
        <v>71</v>
      </c>
      <c r="B31" s="75">
        <v>88316</v>
      </c>
      <c r="C31" s="75" t="s">
        <v>41</v>
      </c>
      <c r="D31" s="77" t="s">
        <v>127</v>
      </c>
      <c r="E31" s="75" t="s">
        <v>61</v>
      </c>
      <c r="F31" s="86">
        <v>0.91</v>
      </c>
      <c r="G31" s="78">
        <v>17.5</v>
      </c>
      <c r="H31" s="78">
        <f aca="true" t="shared" si="2" ref="H31:H32">F31*G31</f>
        <v>15.925</v>
      </c>
    </row>
    <row r="32" spans="1:8" s="21" customFormat="1" ht="14.25">
      <c r="A32" s="75" t="s">
        <v>71</v>
      </c>
      <c r="B32" s="75">
        <v>88309</v>
      </c>
      <c r="C32" s="75" t="s">
        <v>41</v>
      </c>
      <c r="D32" s="77" t="s">
        <v>129</v>
      </c>
      <c r="E32" s="75" t="s">
        <v>61</v>
      </c>
      <c r="F32" s="86">
        <v>0.091</v>
      </c>
      <c r="G32" s="78">
        <v>24.07</v>
      </c>
      <c r="H32" s="78">
        <f t="shared" si="2"/>
        <v>2.19037</v>
      </c>
    </row>
    <row r="33" spans="1:8" s="21" customFormat="1" ht="14.25">
      <c r="A33" s="79"/>
      <c r="B33" s="80"/>
      <c r="C33" s="131"/>
      <c r="D33" s="131"/>
      <c r="E33" s="79"/>
      <c r="F33" s="133"/>
      <c r="G33" s="81"/>
      <c r="H33" s="81"/>
    </row>
    <row r="34" spans="1:8" s="21" customFormat="1" ht="15">
      <c r="A34" s="88" t="s">
        <v>125</v>
      </c>
      <c r="B34" s="88" t="s">
        <v>6</v>
      </c>
      <c r="C34" s="88" t="s">
        <v>7</v>
      </c>
      <c r="D34" s="88" t="s">
        <v>8</v>
      </c>
      <c r="E34" s="88" t="s">
        <v>9</v>
      </c>
      <c r="F34" s="88" t="s">
        <v>10</v>
      </c>
      <c r="G34" s="88" t="s">
        <v>11</v>
      </c>
      <c r="H34" s="88" t="s">
        <v>12</v>
      </c>
    </row>
    <row r="35" spans="1:8" s="21" customFormat="1" ht="25.5">
      <c r="A35" s="153" t="s">
        <v>71</v>
      </c>
      <c r="B35" s="153">
        <v>20121</v>
      </c>
      <c r="C35" s="159" t="s">
        <v>115</v>
      </c>
      <c r="D35" s="154" t="s">
        <v>22</v>
      </c>
      <c r="E35" s="153" t="s">
        <v>23</v>
      </c>
      <c r="F35" s="157"/>
      <c r="G35" s="158"/>
      <c r="H35" s="158">
        <f>SUM(H36:H37)</f>
        <v>207.0328</v>
      </c>
    </row>
    <row r="36" spans="1:8" s="21" customFormat="1" ht="14.25">
      <c r="A36" s="75" t="s">
        <v>71</v>
      </c>
      <c r="B36" s="75">
        <v>88316</v>
      </c>
      <c r="C36" s="75" t="s">
        <v>41</v>
      </c>
      <c r="D36" s="77" t="s">
        <v>127</v>
      </c>
      <c r="E36" s="75" t="s">
        <v>61</v>
      </c>
      <c r="F36" s="78">
        <v>10.4</v>
      </c>
      <c r="G36" s="78">
        <v>17.5</v>
      </c>
      <c r="H36" s="98">
        <f aca="true" t="shared" si="3" ref="H36:H37">F36*G36</f>
        <v>182</v>
      </c>
    </row>
    <row r="37" spans="1:8" s="21" customFormat="1" ht="14.25">
      <c r="A37" s="75" t="s">
        <v>71</v>
      </c>
      <c r="B37" s="75">
        <v>88309</v>
      </c>
      <c r="C37" s="75" t="s">
        <v>41</v>
      </c>
      <c r="D37" s="77" t="s">
        <v>129</v>
      </c>
      <c r="E37" s="75" t="s">
        <v>61</v>
      </c>
      <c r="F37" s="78">
        <v>1.04</v>
      </c>
      <c r="G37" s="78">
        <v>24.07</v>
      </c>
      <c r="H37" s="98">
        <f t="shared" si="3"/>
        <v>25.0328</v>
      </c>
    </row>
    <row r="38" spans="1:8" s="21" customFormat="1" ht="14.25">
      <c r="A38" s="79"/>
      <c r="B38" s="79"/>
      <c r="C38" s="79"/>
      <c r="D38" s="131"/>
      <c r="E38" s="79"/>
      <c r="F38" s="132"/>
      <c r="G38" s="81"/>
      <c r="H38" s="81"/>
    </row>
    <row r="39" spans="1:8" s="21" customFormat="1" ht="15">
      <c r="A39" s="88" t="s">
        <v>131</v>
      </c>
      <c r="B39" s="88" t="s">
        <v>6</v>
      </c>
      <c r="C39" s="88" t="s">
        <v>7</v>
      </c>
      <c r="D39" s="88" t="s">
        <v>8</v>
      </c>
      <c r="E39" s="88" t="s">
        <v>9</v>
      </c>
      <c r="F39" s="88" t="s">
        <v>10</v>
      </c>
      <c r="G39" s="88" t="s">
        <v>11</v>
      </c>
      <c r="H39" s="88" t="s">
        <v>12</v>
      </c>
    </row>
    <row r="40" spans="1:8" s="87" customFormat="1" ht="25.5">
      <c r="A40" s="153" t="s">
        <v>71</v>
      </c>
      <c r="B40" s="153">
        <v>97661</v>
      </c>
      <c r="C40" s="153" t="s">
        <v>41</v>
      </c>
      <c r="D40" s="154" t="s">
        <v>130</v>
      </c>
      <c r="E40" s="153" t="s">
        <v>24</v>
      </c>
      <c r="F40" s="157"/>
      <c r="G40" s="158"/>
      <c r="H40" s="158">
        <f>SUM(H41:H42)</f>
        <v>0.562472</v>
      </c>
    </row>
    <row r="41" spans="1:8" s="21" customFormat="1" ht="14.25">
      <c r="A41" s="75" t="s">
        <v>71</v>
      </c>
      <c r="B41" s="75">
        <v>88264</v>
      </c>
      <c r="C41" s="75" t="s">
        <v>41</v>
      </c>
      <c r="D41" s="77" t="s">
        <v>128</v>
      </c>
      <c r="E41" s="75" t="s">
        <v>61</v>
      </c>
      <c r="F41" s="101">
        <v>0.0096</v>
      </c>
      <c r="G41" s="98">
        <v>24.32</v>
      </c>
      <c r="H41" s="98">
        <f aca="true" t="shared" si="4" ref="H41:H42">F41*G41</f>
        <v>0.23347199999999999</v>
      </c>
    </row>
    <row r="42" spans="1:8" s="21" customFormat="1" ht="14.25">
      <c r="A42" s="75" t="s">
        <v>71</v>
      </c>
      <c r="B42" s="75">
        <v>88316</v>
      </c>
      <c r="C42" s="75" t="s">
        <v>41</v>
      </c>
      <c r="D42" s="77" t="s">
        <v>127</v>
      </c>
      <c r="E42" s="75" t="s">
        <v>61</v>
      </c>
      <c r="F42" s="101">
        <v>0.0188</v>
      </c>
      <c r="G42" s="98">
        <v>17.5</v>
      </c>
      <c r="H42" s="98">
        <f t="shared" si="4"/>
        <v>0.329</v>
      </c>
    </row>
    <row r="43" spans="1:8" s="21" customFormat="1" ht="14.25">
      <c r="A43" s="82"/>
      <c r="B43" s="83"/>
      <c r="C43" s="83"/>
      <c r="D43" s="83"/>
      <c r="E43" s="83"/>
      <c r="F43" s="84"/>
      <c r="G43" s="83"/>
      <c r="H43" s="85"/>
    </row>
    <row r="44" spans="1:8" s="21" customFormat="1" ht="15">
      <c r="A44" s="88" t="s">
        <v>281</v>
      </c>
      <c r="B44" s="88" t="s">
        <v>6</v>
      </c>
      <c r="C44" s="88" t="s">
        <v>7</v>
      </c>
      <c r="D44" s="88" t="s">
        <v>8</v>
      </c>
      <c r="E44" s="88" t="s">
        <v>9</v>
      </c>
      <c r="F44" s="88" t="s">
        <v>10</v>
      </c>
      <c r="G44" s="88" t="s">
        <v>11</v>
      </c>
      <c r="H44" s="88" t="s">
        <v>12</v>
      </c>
    </row>
    <row r="45" spans="1:8" s="87" customFormat="1" ht="25.5">
      <c r="A45" s="153" t="s">
        <v>71</v>
      </c>
      <c r="B45" s="153">
        <v>97660</v>
      </c>
      <c r="C45" s="153" t="s">
        <v>41</v>
      </c>
      <c r="D45" s="154" t="s">
        <v>282</v>
      </c>
      <c r="E45" s="153" t="s">
        <v>17</v>
      </c>
      <c r="F45" s="157"/>
      <c r="G45" s="158"/>
      <c r="H45" s="158">
        <f>SUM(H46:H47)</f>
        <v>0.5582900000000001</v>
      </c>
    </row>
    <row r="46" spans="1:8" s="21" customFormat="1" ht="14.25">
      <c r="A46" s="75" t="s">
        <v>71</v>
      </c>
      <c r="B46" s="75">
        <v>88264</v>
      </c>
      <c r="C46" s="75" t="s">
        <v>41</v>
      </c>
      <c r="D46" s="77" t="s">
        <v>128</v>
      </c>
      <c r="E46" s="75" t="s">
        <v>61</v>
      </c>
      <c r="F46" s="86">
        <v>0.0095</v>
      </c>
      <c r="G46" s="98">
        <v>24.32</v>
      </c>
      <c r="H46" s="98">
        <f aca="true" t="shared" si="5" ref="H46:H47">F46*G46</f>
        <v>0.23104</v>
      </c>
    </row>
    <row r="47" spans="1:8" s="21" customFormat="1" ht="14.25">
      <c r="A47" s="75" t="s">
        <v>71</v>
      </c>
      <c r="B47" s="75">
        <v>88316</v>
      </c>
      <c r="C47" s="75" t="s">
        <v>41</v>
      </c>
      <c r="D47" s="77" t="s">
        <v>127</v>
      </c>
      <c r="E47" s="75" t="s">
        <v>61</v>
      </c>
      <c r="F47" s="86">
        <v>0.0187</v>
      </c>
      <c r="G47" s="98">
        <v>17.5</v>
      </c>
      <c r="H47" s="98">
        <f t="shared" si="5"/>
        <v>0.32725000000000004</v>
      </c>
    </row>
    <row r="48" spans="1:8" s="21" customFormat="1" ht="14.25">
      <c r="A48" s="75"/>
      <c r="B48" s="75"/>
      <c r="C48" s="75"/>
      <c r="D48" s="77"/>
      <c r="E48" s="75"/>
      <c r="F48" s="101"/>
      <c r="G48" s="98"/>
      <c r="H48" s="98"/>
    </row>
    <row r="49" spans="1:8" s="89" customFormat="1" ht="15">
      <c r="A49" s="88" t="s">
        <v>280</v>
      </c>
      <c r="B49" s="88" t="s">
        <v>6</v>
      </c>
      <c r="C49" s="88" t="s">
        <v>7</v>
      </c>
      <c r="D49" s="88" t="s">
        <v>8</v>
      </c>
      <c r="E49" s="88" t="s">
        <v>9</v>
      </c>
      <c r="F49" s="88" t="s">
        <v>10</v>
      </c>
      <c r="G49" s="88" t="s">
        <v>11</v>
      </c>
      <c r="H49" s="88" t="s">
        <v>12</v>
      </c>
    </row>
    <row r="50" spans="1:8" s="94" customFormat="1" ht="25.5">
      <c r="A50" s="153" t="s">
        <v>71</v>
      </c>
      <c r="B50" s="153">
        <v>97662</v>
      </c>
      <c r="C50" s="153" t="s">
        <v>41</v>
      </c>
      <c r="D50" s="154" t="s">
        <v>25</v>
      </c>
      <c r="E50" s="153" t="s">
        <v>24</v>
      </c>
      <c r="F50" s="167"/>
      <c r="G50" s="156"/>
      <c r="H50" s="158">
        <f>SUM(H51:H52)</f>
        <v>0.411495</v>
      </c>
    </row>
    <row r="51" spans="1:8" s="21" customFormat="1" ht="25.5">
      <c r="A51" s="75" t="s">
        <v>71</v>
      </c>
      <c r="B51" s="75">
        <v>88267</v>
      </c>
      <c r="C51" s="75" t="s">
        <v>41</v>
      </c>
      <c r="D51" s="77" t="s">
        <v>132</v>
      </c>
      <c r="E51" s="75" t="s">
        <v>61</v>
      </c>
      <c r="F51" s="86">
        <v>0.0071</v>
      </c>
      <c r="G51" s="98">
        <v>23.45</v>
      </c>
      <c r="H51" s="98">
        <f aca="true" t="shared" si="6" ref="H51:H52">F51*G51</f>
        <v>0.166495</v>
      </c>
    </row>
    <row r="52" spans="1:8" s="21" customFormat="1" ht="14.25">
      <c r="A52" s="75" t="s">
        <v>71</v>
      </c>
      <c r="B52" s="75">
        <v>88316</v>
      </c>
      <c r="C52" s="75" t="s">
        <v>41</v>
      </c>
      <c r="D52" s="77" t="s">
        <v>127</v>
      </c>
      <c r="E52" s="75" t="s">
        <v>61</v>
      </c>
      <c r="F52" s="86">
        <v>0.014</v>
      </c>
      <c r="G52" s="98">
        <v>17.5</v>
      </c>
      <c r="H52" s="98">
        <f t="shared" si="6"/>
        <v>0.245</v>
      </c>
    </row>
    <row r="53" spans="1:8" s="21" customFormat="1" ht="14.25">
      <c r="A53" s="82"/>
      <c r="B53" s="83"/>
      <c r="C53" s="83"/>
      <c r="D53" s="83"/>
      <c r="E53" s="83"/>
      <c r="F53" s="84"/>
      <c r="G53" s="83"/>
      <c r="H53" s="85"/>
    </row>
    <row r="54" spans="1:8" s="130" customFormat="1" ht="15">
      <c r="A54" s="128" t="s">
        <v>26</v>
      </c>
      <c r="B54" s="97"/>
      <c r="C54" s="128"/>
      <c r="D54" s="129" t="s">
        <v>27</v>
      </c>
      <c r="E54" s="128"/>
      <c r="F54" s="128"/>
      <c r="G54" s="128"/>
      <c r="H54" s="128"/>
    </row>
    <row r="55" spans="1:8" s="89" customFormat="1" ht="15">
      <c r="A55" s="88" t="s">
        <v>28</v>
      </c>
      <c r="B55" s="88" t="s">
        <v>6</v>
      </c>
      <c r="C55" s="88" t="s">
        <v>7</v>
      </c>
      <c r="D55" s="88" t="s">
        <v>8</v>
      </c>
      <c r="E55" s="88" t="s">
        <v>9</v>
      </c>
      <c r="F55" s="88" t="s">
        <v>10</v>
      </c>
      <c r="G55" s="88" t="s">
        <v>11</v>
      </c>
      <c r="H55" s="88" t="s">
        <v>12</v>
      </c>
    </row>
    <row r="56" spans="1:8" s="87" customFormat="1" ht="25.5">
      <c r="A56" s="153" t="s">
        <v>71</v>
      </c>
      <c r="B56" s="153">
        <v>30105</v>
      </c>
      <c r="C56" s="153" t="s">
        <v>115</v>
      </c>
      <c r="D56" s="154" t="s">
        <v>29</v>
      </c>
      <c r="E56" s="153" t="s">
        <v>23</v>
      </c>
      <c r="F56" s="157"/>
      <c r="G56" s="158"/>
      <c r="H56" s="158">
        <f>SUM(H57:H58)</f>
        <v>71.375</v>
      </c>
    </row>
    <row r="57" spans="1:8" s="21" customFormat="1" ht="14.25">
      <c r="A57" s="75" t="s">
        <v>70</v>
      </c>
      <c r="B57" s="75" t="s">
        <v>75</v>
      </c>
      <c r="C57" s="75" t="s">
        <v>109</v>
      </c>
      <c r="D57" s="77" t="s">
        <v>76</v>
      </c>
      <c r="E57" s="75" t="s">
        <v>23</v>
      </c>
      <c r="F57" s="78">
        <v>1</v>
      </c>
      <c r="G57" s="98">
        <v>60</v>
      </c>
      <c r="H57" s="98">
        <f aca="true" t="shared" si="7" ref="H57:H58">F57*G57</f>
        <v>60</v>
      </c>
    </row>
    <row r="58" spans="1:8" s="21" customFormat="1" ht="14.25">
      <c r="A58" s="75" t="s">
        <v>71</v>
      </c>
      <c r="B58" s="75">
        <v>88316</v>
      </c>
      <c r="C58" s="75" t="s">
        <v>41</v>
      </c>
      <c r="D58" s="77" t="s">
        <v>127</v>
      </c>
      <c r="E58" s="75" t="s">
        <v>61</v>
      </c>
      <c r="F58" s="78">
        <v>0.65</v>
      </c>
      <c r="G58" s="98">
        <v>17.5</v>
      </c>
      <c r="H58" s="98">
        <f t="shared" si="7"/>
        <v>11.375</v>
      </c>
    </row>
    <row r="59" spans="1:8" s="21" customFormat="1" ht="14.25">
      <c r="A59" s="82"/>
      <c r="B59" s="83"/>
      <c r="C59" s="83"/>
      <c r="D59" s="83"/>
      <c r="E59" s="83"/>
      <c r="F59" s="84"/>
      <c r="G59" s="83"/>
      <c r="H59" s="85"/>
    </row>
    <row r="60" spans="1:8" s="127" customFormat="1" ht="15">
      <c r="A60" s="95">
        <v>2</v>
      </c>
      <c r="B60" s="59"/>
      <c r="C60" s="59"/>
      <c r="D60" s="96" t="s">
        <v>30</v>
      </c>
      <c r="E60" s="59"/>
      <c r="F60" s="59"/>
      <c r="G60" s="59"/>
      <c r="H60" s="59"/>
    </row>
    <row r="61" spans="1:8" s="130" customFormat="1" ht="15">
      <c r="A61" s="128" t="s">
        <v>157</v>
      </c>
      <c r="B61" s="97"/>
      <c r="C61" s="128"/>
      <c r="D61" s="129" t="s">
        <v>31</v>
      </c>
      <c r="E61" s="128"/>
      <c r="F61" s="128"/>
      <c r="G61" s="128"/>
      <c r="H61" s="128"/>
    </row>
    <row r="62" spans="1:8" s="89" customFormat="1" ht="15">
      <c r="A62" s="88" t="s">
        <v>158</v>
      </c>
      <c r="B62" s="88" t="s">
        <v>6</v>
      </c>
      <c r="C62" s="88" t="s">
        <v>7</v>
      </c>
      <c r="D62" s="88" t="s">
        <v>8</v>
      </c>
      <c r="E62" s="88" t="s">
        <v>9</v>
      </c>
      <c r="F62" s="88" t="s">
        <v>10</v>
      </c>
      <c r="G62" s="88" t="s">
        <v>11</v>
      </c>
      <c r="H62" s="88" t="s">
        <v>12</v>
      </c>
    </row>
    <row r="63" spans="1:8" s="87" customFormat="1" ht="38.25">
      <c r="A63" s="153" t="s">
        <v>71</v>
      </c>
      <c r="B63" s="153">
        <v>101159</v>
      </c>
      <c r="C63" s="159" t="s">
        <v>41</v>
      </c>
      <c r="D63" s="154" t="s">
        <v>163</v>
      </c>
      <c r="E63" s="153" t="s">
        <v>19</v>
      </c>
      <c r="F63" s="157"/>
      <c r="G63" s="158"/>
      <c r="H63" s="158">
        <f>SUM(H64:H67)</f>
        <v>133.61469</v>
      </c>
    </row>
    <row r="64" spans="1:8" s="21" customFormat="1" ht="14.25">
      <c r="A64" s="75" t="s">
        <v>70</v>
      </c>
      <c r="B64" s="75" t="s">
        <v>164</v>
      </c>
      <c r="C64" s="75" t="s">
        <v>41</v>
      </c>
      <c r="D64" s="77" t="s">
        <v>168</v>
      </c>
      <c r="E64" s="75" t="s">
        <v>17</v>
      </c>
      <c r="F64" s="168">
        <v>73.49</v>
      </c>
      <c r="G64" s="98">
        <v>0.74</v>
      </c>
      <c r="H64" s="98">
        <f aca="true" t="shared" si="8" ref="H64:H67">F64*G64</f>
        <v>54.3826</v>
      </c>
    </row>
    <row r="65" spans="1:8" s="21" customFormat="1" ht="51">
      <c r="A65" s="74" t="s">
        <v>71</v>
      </c>
      <c r="B65" s="75" t="s">
        <v>165</v>
      </c>
      <c r="C65" s="75" t="s">
        <v>41</v>
      </c>
      <c r="D65" s="77" t="s">
        <v>169</v>
      </c>
      <c r="E65" s="75" t="s">
        <v>23</v>
      </c>
      <c r="F65" s="168">
        <v>0.028</v>
      </c>
      <c r="G65" s="98">
        <v>556.62</v>
      </c>
      <c r="H65" s="98">
        <f t="shared" si="8"/>
        <v>15.58536</v>
      </c>
    </row>
    <row r="66" spans="1:8" s="21" customFormat="1" ht="14.25">
      <c r="A66" s="74" t="s">
        <v>71</v>
      </c>
      <c r="B66" s="75" t="s">
        <v>166</v>
      </c>
      <c r="C66" s="75" t="s">
        <v>41</v>
      </c>
      <c r="D66" s="77" t="s">
        <v>129</v>
      </c>
      <c r="E66" s="75" t="s">
        <v>61</v>
      </c>
      <c r="F66" s="168">
        <v>1.939</v>
      </c>
      <c r="G66" s="98">
        <v>24.07</v>
      </c>
      <c r="H66" s="98">
        <f t="shared" si="8"/>
        <v>46.671730000000004</v>
      </c>
    </row>
    <row r="67" spans="1:8" s="21" customFormat="1" ht="14.25">
      <c r="A67" s="74" t="s">
        <v>71</v>
      </c>
      <c r="B67" s="75" t="s">
        <v>167</v>
      </c>
      <c r="C67" s="75" t="s">
        <v>41</v>
      </c>
      <c r="D67" s="77" t="s">
        <v>127</v>
      </c>
      <c r="E67" s="75" t="s">
        <v>61</v>
      </c>
      <c r="F67" s="168">
        <v>0.97</v>
      </c>
      <c r="G67" s="98">
        <v>17.5</v>
      </c>
      <c r="H67" s="98">
        <f t="shared" si="8"/>
        <v>16.974999999999998</v>
      </c>
    </row>
    <row r="68" spans="1:8" s="21" customFormat="1" ht="14.25">
      <c r="A68" s="82"/>
      <c r="B68" s="83"/>
      <c r="C68" s="83"/>
      <c r="D68" s="83"/>
      <c r="E68" s="83"/>
      <c r="F68" s="84"/>
      <c r="G68" s="83"/>
      <c r="H68" s="85"/>
    </row>
    <row r="69" spans="1:8" s="89" customFormat="1" ht="15">
      <c r="A69" s="88" t="s">
        <v>159</v>
      </c>
      <c r="B69" s="88" t="s">
        <v>6</v>
      </c>
      <c r="C69" s="88" t="s">
        <v>7</v>
      </c>
      <c r="D69" s="88" t="s">
        <v>8</v>
      </c>
      <c r="E69" s="88" t="s">
        <v>9</v>
      </c>
      <c r="F69" s="88" t="s">
        <v>10</v>
      </c>
      <c r="G69" s="88" t="s">
        <v>11</v>
      </c>
      <c r="H69" s="88" t="s">
        <v>12</v>
      </c>
    </row>
    <row r="70" spans="1:8" s="87" customFormat="1" ht="38.25">
      <c r="A70" s="153" t="s">
        <v>71</v>
      </c>
      <c r="B70" s="153">
        <v>87878</v>
      </c>
      <c r="C70" s="159" t="s">
        <v>41</v>
      </c>
      <c r="D70" s="154" t="s">
        <v>255</v>
      </c>
      <c r="E70" s="153" t="s">
        <v>19</v>
      </c>
      <c r="F70" s="157"/>
      <c r="G70" s="158"/>
      <c r="H70" s="158">
        <f>SUM(H71:H73)</f>
        <v>4.185048</v>
      </c>
    </row>
    <row r="71" spans="1:8" s="21" customFormat="1" ht="38.25">
      <c r="A71" s="74" t="s">
        <v>71</v>
      </c>
      <c r="B71" s="75">
        <v>87377</v>
      </c>
      <c r="C71" s="75" t="s">
        <v>41</v>
      </c>
      <c r="D71" s="77" t="s">
        <v>256</v>
      </c>
      <c r="E71" s="75" t="s">
        <v>23</v>
      </c>
      <c r="F71" s="86">
        <v>0.0042</v>
      </c>
      <c r="G71" s="98">
        <v>565.94</v>
      </c>
      <c r="H71" s="98">
        <f aca="true" t="shared" si="9" ref="H71:H73">F71*G71</f>
        <v>2.376948</v>
      </c>
    </row>
    <row r="72" spans="1:8" s="21" customFormat="1" ht="14.25">
      <c r="A72" s="74" t="s">
        <v>71</v>
      </c>
      <c r="B72" s="75">
        <v>88309</v>
      </c>
      <c r="C72" s="75" t="s">
        <v>41</v>
      </c>
      <c r="D72" s="77" t="s">
        <v>129</v>
      </c>
      <c r="E72" s="75" t="s">
        <v>61</v>
      </c>
      <c r="F72" s="86">
        <v>0.07</v>
      </c>
      <c r="G72" s="98">
        <v>24.07</v>
      </c>
      <c r="H72" s="98">
        <f t="shared" si="9"/>
        <v>1.6849000000000003</v>
      </c>
    </row>
    <row r="73" spans="1:8" s="21" customFormat="1" ht="14.25">
      <c r="A73" s="74" t="s">
        <v>71</v>
      </c>
      <c r="B73" s="75">
        <v>88316</v>
      </c>
      <c r="C73" s="75" t="s">
        <v>41</v>
      </c>
      <c r="D73" s="77" t="s">
        <v>127</v>
      </c>
      <c r="E73" s="75" t="s">
        <v>61</v>
      </c>
      <c r="F73" s="86">
        <v>0.007</v>
      </c>
      <c r="G73" s="98">
        <v>17.6</v>
      </c>
      <c r="H73" s="98">
        <f t="shared" si="9"/>
        <v>0.12320000000000002</v>
      </c>
    </row>
    <row r="74" spans="1:8" s="21" customFormat="1" ht="14.25">
      <c r="A74" s="74"/>
      <c r="B74" s="75"/>
      <c r="C74" s="75"/>
      <c r="D74" s="77"/>
      <c r="E74" s="75"/>
      <c r="F74" s="86"/>
      <c r="G74" s="78"/>
      <c r="H74" s="78"/>
    </row>
    <row r="75" spans="1:8" s="89" customFormat="1" ht="15">
      <c r="A75" s="88" t="s">
        <v>254</v>
      </c>
      <c r="B75" s="88" t="s">
        <v>6</v>
      </c>
      <c r="C75" s="88" t="s">
        <v>7</v>
      </c>
      <c r="D75" s="88" t="s">
        <v>8</v>
      </c>
      <c r="E75" s="88" t="s">
        <v>9</v>
      </c>
      <c r="F75" s="88" t="s">
        <v>10</v>
      </c>
      <c r="G75" s="88" t="s">
        <v>11</v>
      </c>
      <c r="H75" s="88" t="s">
        <v>12</v>
      </c>
    </row>
    <row r="76" spans="1:8" s="87" customFormat="1" ht="51">
      <c r="A76" s="153" t="s">
        <v>71</v>
      </c>
      <c r="B76" s="153">
        <v>87529</v>
      </c>
      <c r="C76" s="159" t="s">
        <v>41</v>
      </c>
      <c r="D76" s="154" t="s">
        <v>170</v>
      </c>
      <c r="E76" s="153" t="s">
        <v>19</v>
      </c>
      <c r="F76" s="157"/>
      <c r="G76" s="158"/>
      <c r="H76" s="158">
        <f>SUM(H77:H79)</f>
        <v>35.234311999999996</v>
      </c>
    </row>
    <row r="77" spans="1:8" s="21" customFormat="1" ht="51">
      <c r="A77" s="74" t="s">
        <v>71</v>
      </c>
      <c r="B77" s="75" t="s">
        <v>165</v>
      </c>
      <c r="C77" s="75" t="s">
        <v>41</v>
      </c>
      <c r="D77" s="77" t="s">
        <v>169</v>
      </c>
      <c r="E77" s="75" t="s">
        <v>23</v>
      </c>
      <c r="F77" s="86">
        <v>0.0376</v>
      </c>
      <c r="G77" s="78">
        <v>556.62</v>
      </c>
      <c r="H77" s="78">
        <f aca="true" t="shared" si="10" ref="H77:H79">F77*G77</f>
        <v>20.928912</v>
      </c>
    </row>
    <row r="78" spans="1:8" s="21" customFormat="1" ht="14.25">
      <c r="A78" s="74" t="s">
        <v>71</v>
      </c>
      <c r="B78" s="75" t="s">
        <v>166</v>
      </c>
      <c r="C78" s="75" t="s">
        <v>41</v>
      </c>
      <c r="D78" s="77" t="s">
        <v>129</v>
      </c>
      <c r="E78" s="75" t="s">
        <v>61</v>
      </c>
      <c r="F78" s="86">
        <v>0.47</v>
      </c>
      <c r="G78" s="78">
        <v>24.07</v>
      </c>
      <c r="H78" s="78">
        <f t="shared" si="10"/>
        <v>11.312899999999999</v>
      </c>
    </row>
    <row r="79" spans="1:8" s="21" customFormat="1" ht="14.25">
      <c r="A79" s="74" t="s">
        <v>71</v>
      </c>
      <c r="B79" s="75" t="s">
        <v>167</v>
      </c>
      <c r="C79" s="75" t="s">
        <v>41</v>
      </c>
      <c r="D79" s="77" t="s">
        <v>127</v>
      </c>
      <c r="E79" s="75" t="s">
        <v>61</v>
      </c>
      <c r="F79" s="86">
        <v>0.171</v>
      </c>
      <c r="G79" s="78">
        <v>17.5</v>
      </c>
      <c r="H79" s="78">
        <f t="shared" si="10"/>
        <v>2.9925</v>
      </c>
    </row>
    <row r="80" spans="1:8" s="21" customFormat="1" ht="14.25">
      <c r="A80" s="79"/>
      <c r="B80" s="80"/>
      <c r="C80" s="80"/>
      <c r="D80" s="80"/>
      <c r="E80" s="80"/>
      <c r="F80" s="81"/>
      <c r="G80" s="80"/>
      <c r="H80" s="81"/>
    </row>
    <row r="81" spans="1:8" s="130" customFormat="1" ht="15">
      <c r="A81" s="128" t="s">
        <v>160</v>
      </c>
      <c r="B81" s="97"/>
      <c r="C81" s="128"/>
      <c r="D81" s="129" t="s">
        <v>171</v>
      </c>
      <c r="E81" s="128"/>
      <c r="F81" s="128"/>
      <c r="G81" s="128"/>
      <c r="H81" s="128"/>
    </row>
    <row r="82" spans="1:8" s="89" customFormat="1" ht="15">
      <c r="A82" s="88" t="s">
        <v>161</v>
      </c>
      <c r="B82" s="88" t="s">
        <v>6</v>
      </c>
      <c r="C82" s="88" t="s">
        <v>7</v>
      </c>
      <c r="D82" s="88" t="s">
        <v>8</v>
      </c>
      <c r="E82" s="88" t="s">
        <v>9</v>
      </c>
      <c r="F82" s="88" t="s">
        <v>10</v>
      </c>
      <c r="G82" s="88" t="s">
        <v>11</v>
      </c>
      <c r="H82" s="88" t="s">
        <v>12</v>
      </c>
    </row>
    <row r="83" spans="1:8" s="87" customFormat="1" ht="38.25">
      <c r="A83" s="153" t="s">
        <v>71</v>
      </c>
      <c r="B83" s="153">
        <v>96364</v>
      </c>
      <c r="C83" s="159" t="s">
        <v>186</v>
      </c>
      <c r="D83" s="154" t="s">
        <v>257</v>
      </c>
      <c r="E83" s="153" t="s">
        <v>19</v>
      </c>
      <c r="F83" s="167"/>
      <c r="G83" s="156"/>
      <c r="H83" s="158">
        <f>SUM(H84:H96)</f>
        <v>184.121444</v>
      </c>
    </row>
    <row r="84" spans="1:8" s="21" customFormat="1" ht="25.5">
      <c r="A84" s="75" t="s">
        <v>70</v>
      </c>
      <c r="B84" s="75" t="s">
        <v>176</v>
      </c>
      <c r="C84" s="75" t="s">
        <v>41</v>
      </c>
      <c r="D84" s="77" t="s">
        <v>177</v>
      </c>
      <c r="E84" s="75" t="s">
        <v>189</v>
      </c>
      <c r="F84" s="86">
        <v>0.0486</v>
      </c>
      <c r="G84" s="98">
        <v>47.55</v>
      </c>
      <c r="H84" s="98">
        <f aca="true" t="shared" si="11" ref="H84:H96">F84*G84</f>
        <v>2.31093</v>
      </c>
    </row>
    <row r="85" spans="1:8" s="21" customFormat="1" ht="25.5">
      <c r="A85" s="75" t="s">
        <v>70</v>
      </c>
      <c r="B85" s="75">
        <v>39413</v>
      </c>
      <c r="C85" s="75" t="s">
        <v>41</v>
      </c>
      <c r="D85" s="77" t="s">
        <v>262</v>
      </c>
      <c r="E85" s="75" t="s">
        <v>19</v>
      </c>
      <c r="F85" s="86">
        <f>3.159/3</f>
        <v>1.053</v>
      </c>
      <c r="G85" s="98">
        <v>19.45</v>
      </c>
      <c r="H85" s="98">
        <f t="shared" si="11"/>
        <v>20.480849999999997</v>
      </c>
    </row>
    <row r="86" spans="1:8" s="21" customFormat="1" ht="14.25">
      <c r="A86" s="75" t="s">
        <v>70</v>
      </c>
      <c r="B86" s="75">
        <v>11062</v>
      </c>
      <c r="C86" s="75" t="s">
        <v>41</v>
      </c>
      <c r="D86" s="77" t="s">
        <v>266</v>
      </c>
      <c r="E86" s="75" t="s">
        <v>19</v>
      </c>
      <c r="F86" s="86">
        <v>1.05</v>
      </c>
      <c r="G86" s="98">
        <v>60.55</v>
      </c>
      <c r="H86" s="98">
        <f t="shared" si="11"/>
        <v>63.5775</v>
      </c>
    </row>
    <row r="87" spans="1:8" s="21" customFormat="1" ht="25.5">
      <c r="A87" s="75" t="s">
        <v>70</v>
      </c>
      <c r="B87" s="75" t="s">
        <v>172</v>
      </c>
      <c r="C87" s="75" t="s">
        <v>41</v>
      </c>
      <c r="D87" s="77" t="s">
        <v>173</v>
      </c>
      <c r="E87" s="75" t="s">
        <v>24</v>
      </c>
      <c r="F87" s="86">
        <v>1.5209</v>
      </c>
      <c r="G87" s="98">
        <v>9.84</v>
      </c>
      <c r="H87" s="98">
        <f aca="true" t="shared" si="12" ref="H87:H90">F87*G87</f>
        <v>14.965656</v>
      </c>
    </row>
    <row r="88" spans="1:8" s="21" customFormat="1" ht="25.5">
      <c r="A88" s="75" t="s">
        <v>70</v>
      </c>
      <c r="B88" s="75" t="s">
        <v>174</v>
      </c>
      <c r="C88" s="75" t="s">
        <v>41</v>
      </c>
      <c r="D88" s="77" t="s">
        <v>175</v>
      </c>
      <c r="E88" s="75" t="s">
        <v>24</v>
      </c>
      <c r="F88" s="86">
        <v>3.9819</v>
      </c>
      <c r="G88" s="98">
        <v>11.16</v>
      </c>
      <c r="H88" s="98">
        <f t="shared" si="12"/>
        <v>44.438004</v>
      </c>
    </row>
    <row r="89" spans="1:8" s="21" customFormat="1" ht="25.5">
      <c r="A89" s="75" t="s">
        <v>70</v>
      </c>
      <c r="B89" s="75" t="s">
        <v>259</v>
      </c>
      <c r="C89" s="75" t="s">
        <v>41</v>
      </c>
      <c r="D89" s="77" t="s">
        <v>263</v>
      </c>
      <c r="E89" s="75" t="s">
        <v>24</v>
      </c>
      <c r="F89" s="86">
        <v>2.5027</v>
      </c>
      <c r="G89" s="98">
        <v>0.3</v>
      </c>
      <c r="H89" s="98">
        <f t="shared" si="12"/>
        <v>0.75081</v>
      </c>
    </row>
    <row r="90" spans="1:8" s="21" customFormat="1" ht="25.5">
      <c r="A90" s="75" t="s">
        <v>70</v>
      </c>
      <c r="B90" s="75" t="s">
        <v>260</v>
      </c>
      <c r="C90" s="75" t="s">
        <v>41</v>
      </c>
      <c r="D90" s="77" t="s">
        <v>264</v>
      </c>
      <c r="E90" s="75" t="s">
        <v>24</v>
      </c>
      <c r="F90" s="86">
        <v>1.4815</v>
      </c>
      <c r="G90" s="98">
        <v>2.69</v>
      </c>
      <c r="H90" s="98">
        <f t="shared" si="12"/>
        <v>3.985235</v>
      </c>
    </row>
    <row r="91" spans="1:8" s="21" customFormat="1" ht="38.25">
      <c r="A91" s="75" t="s">
        <v>70</v>
      </c>
      <c r="B91" s="75" t="s">
        <v>261</v>
      </c>
      <c r="C91" s="75" t="s">
        <v>41</v>
      </c>
      <c r="D91" s="77" t="s">
        <v>265</v>
      </c>
      <c r="E91" s="75" t="s">
        <v>192</v>
      </c>
      <c r="F91" s="86">
        <v>1.0327</v>
      </c>
      <c r="G91" s="98">
        <v>3.37</v>
      </c>
      <c r="H91" s="98">
        <f t="shared" si="11"/>
        <v>3.480199</v>
      </c>
    </row>
    <row r="92" spans="1:8" s="21" customFormat="1" ht="25.5">
      <c r="A92" s="75" t="s">
        <v>70</v>
      </c>
      <c r="B92" s="75" t="s">
        <v>179</v>
      </c>
      <c r="C92" s="75" t="s">
        <v>41</v>
      </c>
      <c r="D92" s="77" t="s">
        <v>182</v>
      </c>
      <c r="E92" s="75" t="s">
        <v>17</v>
      </c>
      <c r="F92" s="86">
        <v>20.0077</v>
      </c>
      <c r="G92" s="98">
        <v>0.12</v>
      </c>
      <c r="H92" s="98">
        <f t="shared" si="11"/>
        <v>2.400924</v>
      </c>
    </row>
    <row r="93" spans="1:8" s="21" customFormat="1" ht="25.5">
      <c r="A93" s="75" t="s">
        <v>70</v>
      </c>
      <c r="B93" s="75" t="s">
        <v>180</v>
      </c>
      <c r="C93" s="75" t="s">
        <v>41</v>
      </c>
      <c r="D93" s="77" t="s">
        <v>183</v>
      </c>
      <c r="E93" s="75" t="s">
        <v>17</v>
      </c>
      <c r="F93" s="86">
        <v>10.0039</v>
      </c>
      <c r="G93" s="98">
        <v>0.26</v>
      </c>
      <c r="H93" s="98">
        <f t="shared" si="11"/>
        <v>2.601014</v>
      </c>
    </row>
    <row r="94" spans="1:8" s="21" customFormat="1" ht="25.5">
      <c r="A94" s="75" t="s">
        <v>70</v>
      </c>
      <c r="B94" s="75" t="s">
        <v>181</v>
      </c>
      <c r="C94" s="75" t="s">
        <v>41</v>
      </c>
      <c r="D94" s="77" t="s">
        <v>184</v>
      </c>
      <c r="E94" s="75" t="s">
        <v>17</v>
      </c>
      <c r="F94" s="86">
        <v>0.8076</v>
      </c>
      <c r="G94" s="98">
        <v>0.27</v>
      </c>
      <c r="H94" s="98">
        <f t="shared" si="11"/>
        <v>0.21805200000000002</v>
      </c>
    </row>
    <row r="95" spans="1:8" s="21" customFormat="1" ht="25.5">
      <c r="A95" s="74" t="s">
        <v>71</v>
      </c>
      <c r="B95" s="75" t="s">
        <v>178</v>
      </c>
      <c r="C95" s="75" t="s">
        <v>41</v>
      </c>
      <c r="D95" s="77" t="s">
        <v>185</v>
      </c>
      <c r="E95" s="75" t="s">
        <v>61</v>
      </c>
      <c r="F95" s="86">
        <v>0.786</v>
      </c>
      <c r="G95" s="98">
        <v>27.32</v>
      </c>
      <c r="H95" s="98">
        <f t="shared" si="11"/>
        <v>21.47352</v>
      </c>
    </row>
    <row r="96" spans="1:8" s="21" customFormat="1" ht="14.25">
      <c r="A96" s="74" t="s">
        <v>71</v>
      </c>
      <c r="B96" s="75" t="s">
        <v>167</v>
      </c>
      <c r="C96" s="75" t="s">
        <v>41</v>
      </c>
      <c r="D96" s="77" t="s">
        <v>127</v>
      </c>
      <c r="E96" s="75" t="s">
        <v>61</v>
      </c>
      <c r="F96" s="86">
        <v>0.1965</v>
      </c>
      <c r="G96" s="98">
        <v>17.5</v>
      </c>
      <c r="H96" s="98">
        <f t="shared" si="11"/>
        <v>3.43875</v>
      </c>
    </row>
    <row r="97" spans="1:8" s="21" customFormat="1" ht="14.25">
      <c r="A97" s="75"/>
      <c r="B97" s="76"/>
      <c r="C97" s="75"/>
      <c r="D97" s="77"/>
      <c r="E97" s="75"/>
      <c r="F97" s="86"/>
      <c r="G97" s="78"/>
      <c r="H97" s="78"/>
    </row>
    <row r="98" spans="1:8" s="89" customFormat="1" ht="15">
      <c r="A98" s="88" t="s">
        <v>162</v>
      </c>
      <c r="B98" s="88" t="s">
        <v>6</v>
      </c>
      <c r="C98" s="88" t="s">
        <v>7</v>
      </c>
      <c r="D98" s="88" t="s">
        <v>8</v>
      </c>
      <c r="E98" s="88" t="s">
        <v>9</v>
      </c>
      <c r="F98" s="88" t="s">
        <v>10</v>
      </c>
      <c r="G98" s="88" t="s">
        <v>11</v>
      </c>
      <c r="H98" s="88" t="s">
        <v>12</v>
      </c>
    </row>
    <row r="99" spans="1:8" s="87" customFormat="1" ht="44.25" customHeight="1">
      <c r="A99" s="153" t="s">
        <v>71</v>
      </c>
      <c r="B99" s="153">
        <v>96360</v>
      </c>
      <c r="C99" s="159" t="s">
        <v>41</v>
      </c>
      <c r="D99" s="154" t="s">
        <v>360</v>
      </c>
      <c r="E99" s="153" t="s">
        <v>19</v>
      </c>
      <c r="F99" s="167"/>
      <c r="G99" s="156"/>
      <c r="H99" s="158">
        <f>SUM(H100:H110)</f>
        <v>135.38379200000003</v>
      </c>
    </row>
    <row r="100" spans="1:8" s="21" customFormat="1" ht="25.5">
      <c r="A100" s="75" t="s">
        <v>70</v>
      </c>
      <c r="B100" s="75" t="s">
        <v>176</v>
      </c>
      <c r="C100" s="75" t="s">
        <v>41</v>
      </c>
      <c r="D100" s="77" t="s">
        <v>177</v>
      </c>
      <c r="E100" s="75" t="s">
        <v>189</v>
      </c>
      <c r="F100" s="76">
        <v>0.0486</v>
      </c>
      <c r="G100" s="98">
        <v>47.55</v>
      </c>
      <c r="H100" s="98">
        <f aca="true" t="shared" si="13" ref="H100:H110">F100*G100</f>
        <v>2.31093</v>
      </c>
    </row>
    <row r="101" spans="1:8" s="21" customFormat="1" ht="25.5">
      <c r="A101" s="75" t="s">
        <v>70</v>
      </c>
      <c r="B101" s="75" t="s">
        <v>258</v>
      </c>
      <c r="C101" s="75" t="s">
        <v>41</v>
      </c>
      <c r="D101" s="77" t="s">
        <v>262</v>
      </c>
      <c r="E101" s="75" t="s">
        <v>19</v>
      </c>
      <c r="F101" s="76">
        <v>2.106</v>
      </c>
      <c r="G101" s="98">
        <v>19.45</v>
      </c>
      <c r="H101" s="98">
        <f t="shared" si="13"/>
        <v>40.96169999999999</v>
      </c>
    </row>
    <row r="102" spans="1:8" s="21" customFormat="1" ht="25.5">
      <c r="A102" s="75" t="s">
        <v>70</v>
      </c>
      <c r="B102" s="75" t="s">
        <v>172</v>
      </c>
      <c r="C102" s="75" t="s">
        <v>41</v>
      </c>
      <c r="D102" s="77" t="s">
        <v>173</v>
      </c>
      <c r="E102" s="75" t="s">
        <v>24</v>
      </c>
      <c r="F102" s="76">
        <v>1.5209</v>
      </c>
      <c r="G102" s="98">
        <v>9.84</v>
      </c>
      <c r="H102" s="98">
        <f t="shared" si="13"/>
        <v>14.965656</v>
      </c>
    </row>
    <row r="103" spans="1:8" s="21" customFormat="1" ht="25.5">
      <c r="A103" s="75" t="s">
        <v>70</v>
      </c>
      <c r="B103" s="75" t="s">
        <v>174</v>
      </c>
      <c r="C103" s="75" t="s">
        <v>41</v>
      </c>
      <c r="D103" s="77" t="s">
        <v>175</v>
      </c>
      <c r="E103" s="75" t="s">
        <v>24</v>
      </c>
      <c r="F103" s="76">
        <v>3.9819</v>
      </c>
      <c r="G103" s="98">
        <v>11.16</v>
      </c>
      <c r="H103" s="98">
        <f t="shared" si="13"/>
        <v>44.438004</v>
      </c>
    </row>
    <row r="104" spans="1:8" s="21" customFormat="1" ht="25.5">
      <c r="A104" s="75" t="s">
        <v>70</v>
      </c>
      <c r="B104" s="75" t="s">
        <v>259</v>
      </c>
      <c r="C104" s="75" t="s">
        <v>41</v>
      </c>
      <c r="D104" s="77" t="s">
        <v>263</v>
      </c>
      <c r="E104" s="75" t="s">
        <v>24</v>
      </c>
      <c r="F104" s="76">
        <v>2.5027</v>
      </c>
      <c r="G104" s="98">
        <v>0.3</v>
      </c>
      <c r="H104" s="98">
        <f t="shared" si="13"/>
        <v>0.75081</v>
      </c>
    </row>
    <row r="105" spans="1:8" s="21" customFormat="1" ht="25.5">
      <c r="A105" s="75" t="s">
        <v>70</v>
      </c>
      <c r="B105" s="75" t="s">
        <v>260</v>
      </c>
      <c r="C105" s="75" t="s">
        <v>41</v>
      </c>
      <c r="D105" s="77" t="s">
        <v>264</v>
      </c>
      <c r="E105" s="75" t="s">
        <v>24</v>
      </c>
      <c r="F105" s="76">
        <v>1.4815</v>
      </c>
      <c r="G105" s="98">
        <v>2.69</v>
      </c>
      <c r="H105" s="98">
        <f t="shared" si="13"/>
        <v>3.985235</v>
      </c>
    </row>
    <row r="106" spans="1:8" s="21" customFormat="1" ht="38.25">
      <c r="A106" s="75" t="s">
        <v>70</v>
      </c>
      <c r="B106" s="75" t="s">
        <v>261</v>
      </c>
      <c r="C106" s="75" t="s">
        <v>41</v>
      </c>
      <c r="D106" s="77" t="s">
        <v>265</v>
      </c>
      <c r="E106" s="75" t="s">
        <v>192</v>
      </c>
      <c r="F106" s="76">
        <v>1.0327</v>
      </c>
      <c r="G106" s="98">
        <v>3.37</v>
      </c>
      <c r="H106" s="98">
        <f t="shared" si="13"/>
        <v>3.480199</v>
      </c>
    </row>
    <row r="107" spans="1:8" s="21" customFormat="1" ht="25.5">
      <c r="A107" s="75" t="s">
        <v>70</v>
      </c>
      <c r="B107" s="75" t="s">
        <v>179</v>
      </c>
      <c r="C107" s="75" t="s">
        <v>41</v>
      </c>
      <c r="D107" s="77" t="s">
        <v>182</v>
      </c>
      <c r="E107" s="75" t="s">
        <v>17</v>
      </c>
      <c r="F107" s="76">
        <v>20.0077</v>
      </c>
      <c r="G107" s="98">
        <v>0.12</v>
      </c>
      <c r="H107" s="98">
        <f t="shared" si="13"/>
        <v>2.400924</v>
      </c>
    </row>
    <row r="108" spans="1:8" s="21" customFormat="1" ht="25.5">
      <c r="A108" s="75" t="s">
        <v>70</v>
      </c>
      <c r="B108" s="75" t="s">
        <v>181</v>
      </c>
      <c r="C108" s="75" t="s">
        <v>41</v>
      </c>
      <c r="D108" s="77" t="s">
        <v>184</v>
      </c>
      <c r="E108" s="75" t="s">
        <v>17</v>
      </c>
      <c r="F108" s="76">
        <v>0.8076</v>
      </c>
      <c r="G108" s="98">
        <v>0.27</v>
      </c>
      <c r="H108" s="98">
        <f t="shared" si="13"/>
        <v>0.21805200000000002</v>
      </c>
    </row>
    <row r="109" spans="1:8" s="21" customFormat="1" ht="25.5">
      <c r="A109" s="74" t="s">
        <v>71</v>
      </c>
      <c r="B109" s="75" t="s">
        <v>178</v>
      </c>
      <c r="C109" s="75" t="s">
        <v>41</v>
      </c>
      <c r="D109" s="77" t="s">
        <v>185</v>
      </c>
      <c r="E109" s="75" t="s">
        <v>61</v>
      </c>
      <c r="F109" s="76">
        <v>0.6901</v>
      </c>
      <c r="G109" s="98">
        <v>27.32</v>
      </c>
      <c r="H109" s="98">
        <f t="shared" si="13"/>
        <v>18.853532</v>
      </c>
    </row>
    <row r="110" spans="1:8" s="21" customFormat="1" ht="14.25">
      <c r="A110" s="74" t="s">
        <v>71</v>
      </c>
      <c r="B110" s="75" t="s">
        <v>167</v>
      </c>
      <c r="C110" s="75" t="s">
        <v>41</v>
      </c>
      <c r="D110" s="77" t="s">
        <v>127</v>
      </c>
      <c r="E110" s="75" t="s">
        <v>61</v>
      </c>
      <c r="F110" s="76">
        <v>0.1725</v>
      </c>
      <c r="G110" s="98">
        <v>17.5</v>
      </c>
      <c r="H110" s="98">
        <f t="shared" si="13"/>
        <v>3.01875</v>
      </c>
    </row>
    <row r="111" spans="1:8" s="21" customFormat="1" ht="14.25">
      <c r="A111" s="74"/>
      <c r="B111" s="75"/>
      <c r="C111" s="75"/>
      <c r="D111" s="77"/>
      <c r="E111" s="75"/>
      <c r="F111" s="86"/>
      <c r="G111" s="98"/>
      <c r="H111" s="98"/>
    </row>
    <row r="112" spans="1:8" s="89" customFormat="1" ht="15">
      <c r="A112" s="88" t="s">
        <v>195</v>
      </c>
      <c r="B112" s="88" t="s">
        <v>6</v>
      </c>
      <c r="C112" s="88" t="s">
        <v>7</v>
      </c>
      <c r="D112" s="88" t="s">
        <v>8</v>
      </c>
      <c r="E112" s="88" t="s">
        <v>9</v>
      </c>
      <c r="F112" s="88" t="s">
        <v>10</v>
      </c>
      <c r="G112" s="88" t="s">
        <v>11</v>
      </c>
      <c r="H112" s="88" t="s">
        <v>12</v>
      </c>
    </row>
    <row r="113" spans="1:8" s="87" customFormat="1" ht="15">
      <c r="A113" s="153" t="s">
        <v>71</v>
      </c>
      <c r="B113" s="153">
        <v>121530</v>
      </c>
      <c r="C113" s="159" t="s">
        <v>188</v>
      </c>
      <c r="D113" s="160" t="s">
        <v>196</v>
      </c>
      <c r="E113" s="153" t="s">
        <v>19</v>
      </c>
      <c r="F113" s="157"/>
      <c r="G113" s="158"/>
      <c r="H113" s="158">
        <f>SUM(H114:H118)</f>
        <v>372.88593000000003</v>
      </c>
    </row>
    <row r="114" spans="1:8" s="21" customFormat="1" ht="14.25">
      <c r="A114" s="75" t="s">
        <v>70</v>
      </c>
      <c r="B114" s="75">
        <v>5068</v>
      </c>
      <c r="C114" s="75" t="s">
        <v>41</v>
      </c>
      <c r="D114" s="77" t="s">
        <v>190</v>
      </c>
      <c r="E114" s="75" t="s">
        <v>192</v>
      </c>
      <c r="F114" s="168">
        <v>0.085</v>
      </c>
      <c r="G114" s="98">
        <v>22.89</v>
      </c>
      <c r="H114" s="98">
        <f aca="true" t="shared" si="14" ref="H114:H118">F114*G114</f>
        <v>1.94565</v>
      </c>
    </row>
    <row r="115" spans="1:8" s="21" customFormat="1" ht="25.5">
      <c r="A115" s="75" t="s">
        <v>70</v>
      </c>
      <c r="B115" s="75">
        <v>4460</v>
      </c>
      <c r="C115" s="75" t="s">
        <v>41</v>
      </c>
      <c r="D115" s="77" t="s">
        <v>191</v>
      </c>
      <c r="E115" s="75" t="s">
        <v>24</v>
      </c>
      <c r="F115" s="168">
        <v>2.16</v>
      </c>
      <c r="G115" s="98">
        <v>9.67</v>
      </c>
      <c r="H115" s="98">
        <f t="shared" si="14"/>
        <v>20.8872</v>
      </c>
    </row>
    <row r="116" spans="1:8" s="21" customFormat="1" ht="14.25">
      <c r="A116" s="75" t="s">
        <v>70</v>
      </c>
      <c r="B116" s="75">
        <v>6326</v>
      </c>
      <c r="C116" s="75" t="s">
        <v>32</v>
      </c>
      <c r="D116" s="77" t="s">
        <v>193</v>
      </c>
      <c r="E116" s="75" t="s">
        <v>19</v>
      </c>
      <c r="F116" s="168">
        <v>1.1</v>
      </c>
      <c r="G116" s="98">
        <v>249</v>
      </c>
      <c r="H116" s="98">
        <f t="shared" si="14"/>
        <v>273.90000000000003</v>
      </c>
    </row>
    <row r="117" spans="1:8" s="21" customFormat="1" ht="14.25">
      <c r="A117" s="74" t="s">
        <v>71</v>
      </c>
      <c r="B117" s="75">
        <v>88261</v>
      </c>
      <c r="C117" s="75" t="s">
        <v>41</v>
      </c>
      <c r="D117" s="77" t="s">
        <v>194</v>
      </c>
      <c r="E117" s="75" t="s">
        <v>61</v>
      </c>
      <c r="F117" s="168">
        <v>1.832</v>
      </c>
      <c r="G117" s="98">
        <v>22.76</v>
      </c>
      <c r="H117" s="98">
        <f t="shared" si="14"/>
        <v>41.69632000000001</v>
      </c>
    </row>
    <row r="118" spans="1:8" s="21" customFormat="1" ht="14.25">
      <c r="A118" s="74" t="s">
        <v>71</v>
      </c>
      <c r="B118" s="75">
        <v>88239</v>
      </c>
      <c r="C118" s="75" t="s">
        <v>41</v>
      </c>
      <c r="D118" s="77" t="s">
        <v>123</v>
      </c>
      <c r="E118" s="75" t="s">
        <v>61</v>
      </c>
      <c r="F118" s="168">
        <v>1.978</v>
      </c>
      <c r="G118" s="98">
        <v>17.42</v>
      </c>
      <c r="H118" s="98">
        <f t="shared" si="14"/>
        <v>34.45676</v>
      </c>
    </row>
    <row r="119" spans="1:8" s="21" customFormat="1" ht="14.25">
      <c r="A119" s="79"/>
      <c r="B119" s="80"/>
      <c r="C119" s="80"/>
      <c r="D119" s="80"/>
      <c r="E119" s="80"/>
      <c r="F119" s="218"/>
      <c r="G119" s="218"/>
      <c r="H119" s="81"/>
    </row>
    <row r="120" spans="1:8" s="127" customFormat="1" ht="15">
      <c r="A120" s="95">
        <v>3</v>
      </c>
      <c r="B120" s="59"/>
      <c r="C120" s="59"/>
      <c r="D120" s="96" t="s">
        <v>33</v>
      </c>
      <c r="E120" s="59"/>
      <c r="F120" s="59"/>
      <c r="G120" s="59"/>
      <c r="H120" s="59"/>
    </row>
    <row r="121" spans="1:8" s="130" customFormat="1" ht="15">
      <c r="A121" s="128" t="s">
        <v>200</v>
      </c>
      <c r="B121" s="97"/>
      <c r="C121" s="128"/>
      <c r="D121" s="129" t="s">
        <v>34</v>
      </c>
      <c r="E121" s="128"/>
      <c r="F121" s="128"/>
      <c r="G121" s="128"/>
      <c r="H121" s="128"/>
    </row>
    <row r="122" spans="1:8" s="89" customFormat="1" ht="15">
      <c r="A122" s="88" t="s">
        <v>201</v>
      </c>
      <c r="B122" s="88" t="s">
        <v>6</v>
      </c>
      <c r="C122" s="88" t="s">
        <v>7</v>
      </c>
      <c r="D122" s="88" t="s">
        <v>8</v>
      </c>
      <c r="E122" s="88" t="s">
        <v>9</v>
      </c>
      <c r="F122" s="88" t="s">
        <v>10</v>
      </c>
      <c r="G122" s="88" t="s">
        <v>11</v>
      </c>
      <c r="H122" s="88" t="s">
        <v>12</v>
      </c>
    </row>
    <row r="123" spans="1:8" s="87" customFormat="1" ht="25.5">
      <c r="A123" s="153" t="s">
        <v>71</v>
      </c>
      <c r="B123" s="153">
        <v>94342</v>
      </c>
      <c r="C123" s="153" t="s">
        <v>41</v>
      </c>
      <c r="D123" s="154" t="s">
        <v>202</v>
      </c>
      <c r="E123" s="153" t="s">
        <v>23</v>
      </c>
      <c r="F123" s="157"/>
      <c r="G123" s="158"/>
      <c r="H123" s="158">
        <f>SUM(H124:H129)</f>
        <v>111.34954</v>
      </c>
    </row>
    <row r="124" spans="1:8" s="21" customFormat="1" ht="25.5">
      <c r="A124" s="75" t="s">
        <v>70</v>
      </c>
      <c r="B124" s="75">
        <v>368</v>
      </c>
      <c r="C124" s="75" t="s">
        <v>41</v>
      </c>
      <c r="D124" s="77" t="s">
        <v>207</v>
      </c>
      <c r="E124" s="75" t="s">
        <v>23</v>
      </c>
      <c r="F124" s="168">
        <v>1.25</v>
      </c>
      <c r="G124" s="98">
        <v>64.97</v>
      </c>
      <c r="H124" s="78">
        <f aca="true" t="shared" si="15" ref="H124:H129">F124*G124</f>
        <v>81.2125</v>
      </c>
    </row>
    <row r="125" spans="1:8" s="21" customFormat="1" ht="51">
      <c r="A125" s="74" t="s">
        <v>71</v>
      </c>
      <c r="B125" s="75" t="s">
        <v>203</v>
      </c>
      <c r="C125" s="75" t="s">
        <v>41</v>
      </c>
      <c r="D125" s="77" t="s">
        <v>208</v>
      </c>
      <c r="E125" s="75" t="s">
        <v>212</v>
      </c>
      <c r="F125" s="168">
        <v>0.006</v>
      </c>
      <c r="G125" s="98">
        <v>278.96</v>
      </c>
      <c r="H125" s="78">
        <f t="shared" si="15"/>
        <v>1.67376</v>
      </c>
    </row>
    <row r="126" spans="1:8" s="21" customFormat="1" ht="51">
      <c r="A126" s="74" t="s">
        <v>71</v>
      </c>
      <c r="B126" s="75" t="s">
        <v>204</v>
      </c>
      <c r="C126" s="75" t="s">
        <v>41</v>
      </c>
      <c r="D126" s="77" t="s">
        <v>209</v>
      </c>
      <c r="E126" s="75" t="s">
        <v>213</v>
      </c>
      <c r="F126" s="168">
        <v>0.003</v>
      </c>
      <c r="G126" s="98">
        <v>58.2</v>
      </c>
      <c r="H126" s="78">
        <f t="shared" si="15"/>
        <v>0.1746</v>
      </c>
    </row>
    <row r="127" spans="1:8" s="21" customFormat="1" ht="14.25">
      <c r="A127" s="74" t="s">
        <v>71</v>
      </c>
      <c r="B127" s="75" t="s">
        <v>167</v>
      </c>
      <c r="C127" s="75" t="s">
        <v>41</v>
      </c>
      <c r="D127" s="169" t="s">
        <v>127</v>
      </c>
      <c r="E127" s="75" t="s">
        <v>61</v>
      </c>
      <c r="F127" s="168">
        <v>0.659</v>
      </c>
      <c r="G127" s="98">
        <v>17.5</v>
      </c>
      <c r="H127" s="78">
        <f t="shared" si="15"/>
        <v>11.5325</v>
      </c>
    </row>
    <row r="128" spans="1:8" s="21" customFormat="1" ht="25.5">
      <c r="A128" s="74" t="s">
        <v>71</v>
      </c>
      <c r="B128" s="75" t="s">
        <v>205</v>
      </c>
      <c r="C128" s="75" t="s">
        <v>41</v>
      </c>
      <c r="D128" s="77" t="s">
        <v>210</v>
      </c>
      <c r="E128" s="75" t="s">
        <v>212</v>
      </c>
      <c r="F128" s="168">
        <v>0.274</v>
      </c>
      <c r="G128" s="98">
        <v>35.55</v>
      </c>
      <c r="H128" s="78">
        <f t="shared" si="15"/>
        <v>9.7407</v>
      </c>
    </row>
    <row r="129" spans="1:8" s="21" customFormat="1" ht="25.5">
      <c r="A129" s="74" t="s">
        <v>71</v>
      </c>
      <c r="B129" s="75" t="s">
        <v>206</v>
      </c>
      <c r="C129" s="75" t="s">
        <v>41</v>
      </c>
      <c r="D129" s="77" t="s">
        <v>211</v>
      </c>
      <c r="E129" s="75" t="s">
        <v>213</v>
      </c>
      <c r="F129" s="168">
        <v>0.254</v>
      </c>
      <c r="G129" s="98">
        <v>27.62</v>
      </c>
      <c r="H129" s="78">
        <f t="shared" si="15"/>
        <v>7.01548</v>
      </c>
    </row>
    <row r="130" spans="1:8" s="21" customFormat="1" ht="14.25">
      <c r="A130" s="79"/>
      <c r="B130" s="80"/>
      <c r="C130" s="80"/>
      <c r="D130" s="80"/>
      <c r="E130" s="80"/>
      <c r="F130" s="81"/>
      <c r="G130" s="80"/>
      <c r="H130" s="81"/>
    </row>
    <row r="131" spans="1:8" s="21" customFormat="1" ht="15">
      <c r="A131" s="88" t="s">
        <v>221</v>
      </c>
      <c r="B131" s="88" t="s">
        <v>6</v>
      </c>
      <c r="C131" s="88" t="s">
        <v>7</v>
      </c>
      <c r="D131" s="88" t="s">
        <v>8</v>
      </c>
      <c r="E131" s="88" t="s">
        <v>9</v>
      </c>
      <c r="F131" s="88" t="s">
        <v>10</v>
      </c>
      <c r="G131" s="88" t="s">
        <v>11</v>
      </c>
      <c r="H131" s="88" t="s">
        <v>12</v>
      </c>
    </row>
    <row r="132" spans="1:8" s="87" customFormat="1" ht="25.5">
      <c r="A132" s="153" t="s">
        <v>71</v>
      </c>
      <c r="B132" s="153">
        <v>96622</v>
      </c>
      <c r="C132" s="159" t="s">
        <v>41</v>
      </c>
      <c r="D132" s="154" t="s">
        <v>214</v>
      </c>
      <c r="E132" s="153" t="s">
        <v>23</v>
      </c>
      <c r="F132" s="157"/>
      <c r="G132" s="158"/>
      <c r="H132" s="158">
        <f>SUM(H133:H137)</f>
        <v>127.97335000000001</v>
      </c>
    </row>
    <row r="133" spans="1:8" s="21" customFormat="1" ht="25.5">
      <c r="A133" s="75" t="s">
        <v>70</v>
      </c>
      <c r="B133" s="75" t="s">
        <v>215</v>
      </c>
      <c r="C133" s="75" t="s">
        <v>41</v>
      </c>
      <c r="D133" s="77" t="s">
        <v>218</v>
      </c>
      <c r="E133" s="75" t="s">
        <v>23</v>
      </c>
      <c r="F133" s="168">
        <v>1.13</v>
      </c>
      <c r="G133" s="98">
        <v>80.9</v>
      </c>
      <c r="H133" s="78">
        <f aca="true" t="shared" si="16" ref="H133:H137">F133*G133</f>
        <v>91.417</v>
      </c>
    </row>
    <row r="134" spans="1:8" s="21" customFormat="1" ht="14.25">
      <c r="A134" s="74" t="s">
        <v>71</v>
      </c>
      <c r="B134" s="75" t="s">
        <v>166</v>
      </c>
      <c r="C134" s="75" t="s">
        <v>41</v>
      </c>
      <c r="D134" s="77" t="s">
        <v>129</v>
      </c>
      <c r="E134" s="75" t="s">
        <v>61</v>
      </c>
      <c r="F134" s="168">
        <v>1.217</v>
      </c>
      <c r="G134" s="98">
        <v>24.07</v>
      </c>
      <c r="H134" s="78">
        <f t="shared" si="16"/>
        <v>29.293190000000003</v>
      </c>
    </row>
    <row r="135" spans="1:8" s="21" customFormat="1" ht="14.25">
      <c r="A135" s="74" t="s">
        <v>71</v>
      </c>
      <c r="B135" s="75" t="s">
        <v>167</v>
      </c>
      <c r="C135" s="75" t="s">
        <v>41</v>
      </c>
      <c r="D135" s="77" t="s">
        <v>127</v>
      </c>
      <c r="E135" s="75" t="s">
        <v>61</v>
      </c>
      <c r="F135" s="168">
        <v>0.394</v>
      </c>
      <c r="G135" s="98">
        <v>17.5</v>
      </c>
      <c r="H135" s="78">
        <f t="shared" si="16"/>
        <v>6.8950000000000005</v>
      </c>
    </row>
    <row r="136" spans="1:8" s="21" customFormat="1" ht="38.25">
      <c r="A136" s="74" t="s">
        <v>71</v>
      </c>
      <c r="B136" s="75" t="s">
        <v>216</v>
      </c>
      <c r="C136" s="75" t="s">
        <v>41</v>
      </c>
      <c r="D136" s="77" t="s">
        <v>219</v>
      </c>
      <c r="E136" s="75" t="s">
        <v>212</v>
      </c>
      <c r="F136" s="168">
        <v>0.032</v>
      </c>
      <c r="G136" s="98">
        <v>10.98</v>
      </c>
      <c r="H136" s="78">
        <f t="shared" si="16"/>
        <v>0.35136</v>
      </c>
    </row>
    <row r="137" spans="1:8" s="21" customFormat="1" ht="38.25">
      <c r="A137" s="74" t="s">
        <v>71</v>
      </c>
      <c r="B137" s="75" t="s">
        <v>217</v>
      </c>
      <c r="C137" s="75" t="s">
        <v>41</v>
      </c>
      <c r="D137" s="77" t="s">
        <v>220</v>
      </c>
      <c r="E137" s="75" t="s">
        <v>213</v>
      </c>
      <c r="F137" s="168">
        <v>0.03</v>
      </c>
      <c r="G137" s="98">
        <v>0.56</v>
      </c>
      <c r="H137" s="78">
        <f t="shared" si="16"/>
        <v>0.016800000000000002</v>
      </c>
    </row>
    <row r="138" spans="1:8" s="21" customFormat="1" ht="14.25">
      <c r="A138" s="79"/>
      <c r="B138" s="80"/>
      <c r="C138" s="80"/>
      <c r="D138" s="80"/>
      <c r="E138" s="80"/>
      <c r="F138" s="81"/>
      <c r="G138" s="80"/>
      <c r="H138" s="81"/>
    </row>
    <row r="139" spans="1:8" s="130" customFormat="1" ht="15">
      <c r="A139" s="128" t="s">
        <v>247</v>
      </c>
      <c r="B139" s="97"/>
      <c r="C139" s="128"/>
      <c r="D139" s="129" t="s">
        <v>35</v>
      </c>
      <c r="E139" s="128"/>
      <c r="F139" s="128"/>
      <c r="G139" s="128"/>
      <c r="H139" s="128"/>
    </row>
    <row r="140" spans="1:8" s="89" customFormat="1" ht="15">
      <c r="A140" s="88" t="s">
        <v>248</v>
      </c>
      <c r="B140" s="88" t="s">
        <v>6</v>
      </c>
      <c r="C140" s="88" t="s">
        <v>7</v>
      </c>
      <c r="D140" s="88" t="s">
        <v>8</v>
      </c>
      <c r="E140" s="88" t="s">
        <v>9</v>
      </c>
      <c r="F140" s="88" t="s">
        <v>10</v>
      </c>
      <c r="G140" s="88" t="s">
        <v>11</v>
      </c>
      <c r="H140" s="88" t="s">
        <v>12</v>
      </c>
    </row>
    <row r="141" spans="1:8" s="94" customFormat="1" ht="25.5">
      <c r="A141" s="153" t="s">
        <v>71</v>
      </c>
      <c r="B141" s="153">
        <v>101731</v>
      </c>
      <c r="C141" s="159" t="s">
        <v>41</v>
      </c>
      <c r="D141" s="154" t="s">
        <v>503</v>
      </c>
      <c r="E141" s="153" t="s">
        <v>19</v>
      </c>
      <c r="F141" s="167"/>
      <c r="G141" s="156"/>
      <c r="H141" s="170">
        <f>SUM(H142:H145)</f>
        <v>320.25062699999995</v>
      </c>
    </row>
    <row r="142" spans="1:8" s="21" customFormat="1" ht="38.25">
      <c r="A142" s="75" t="s">
        <v>70</v>
      </c>
      <c r="B142" s="75">
        <v>4710</v>
      </c>
      <c r="C142" s="75" t="s">
        <v>41</v>
      </c>
      <c r="D142" s="77" t="s">
        <v>231</v>
      </c>
      <c r="E142" s="171" t="s">
        <v>19</v>
      </c>
      <c r="F142" s="86">
        <v>1.075</v>
      </c>
      <c r="G142" s="98">
        <v>241.6</v>
      </c>
      <c r="H142" s="98">
        <f aca="true" t="shared" si="17" ref="H142:H145">F142*G142</f>
        <v>259.71999999999997</v>
      </c>
    </row>
    <row r="143" spans="1:8" s="21" customFormat="1" ht="38.25">
      <c r="A143" s="74" t="s">
        <v>71</v>
      </c>
      <c r="B143" s="75" t="s">
        <v>230</v>
      </c>
      <c r="C143" s="75" t="s">
        <v>41</v>
      </c>
      <c r="D143" s="77" t="s">
        <v>232</v>
      </c>
      <c r="E143" s="171" t="s">
        <v>23</v>
      </c>
      <c r="F143" s="86">
        <v>0.0307</v>
      </c>
      <c r="G143" s="98">
        <v>617.61</v>
      </c>
      <c r="H143" s="98">
        <f t="shared" si="17"/>
        <v>18.960627000000002</v>
      </c>
    </row>
    <row r="144" spans="1:8" s="21" customFormat="1" ht="14.25">
      <c r="A144" s="74" t="s">
        <v>71</v>
      </c>
      <c r="B144" s="75" t="s">
        <v>166</v>
      </c>
      <c r="C144" s="75" t="s">
        <v>41</v>
      </c>
      <c r="D144" s="77" t="s">
        <v>129</v>
      </c>
      <c r="E144" s="75" t="s">
        <v>61</v>
      </c>
      <c r="F144" s="86">
        <v>1</v>
      </c>
      <c r="G144" s="98">
        <v>24.07</v>
      </c>
      <c r="H144" s="98">
        <f t="shared" si="17"/>
        <v>24.07</v>
      </c>
    </row>
    <row r="145" spans="1:8" s="21" customFormat="1" ht="14.25">
      <c r="A145" s="74" t="s">
        <v>71</v>
      </c>
      <c r="B145" s="75" t="s">
        <v>167</v>
      </c>
      <c r="C145" s="75" t="s">
        <v>41</v>
      </c>
      <c r="D145" s="77" t="s">
        <v>127</v>
      </c>
      <c r="E145" s="75" t="s">
        <v>61</v>
      </c>
      <c r="F145" s="86">
        <v>1</v>
      </c>
      <c r="G145" s="98">
        <v>17.5</v>
      </c>
      <c r="H145" s="98">
        <f t="shared" si="17"/>
        <v>17.5</v>
      </c>
    </row>
    <row r="146" spans="1:8" s="21" customFormat="1" ht="14.25">
      <c r="A146" s="79"/>
      <c r="B146" s="80"/>
      <c r="C146" s="80"/>
      <c r="D146" s="80"/>
      <c r="E146" s="80"/>
      <c r="F146" s="218"/>
      <c r="G146" s="218"/>
      <c r="H146" s="134"/>
    </row>
    <row r="147" spans="1:8" s="89" customFormat="1" ht="15">
      <c r="A147" s="88" t="s">
        <v>187</v>
      </c>
      <c r="B147" s="88" t="s">
        <v>6</v>
      </c>
      <c r="C147" s="88" t="s">
        <v>7</v>
      </c>
      <c r="D147" s="88" t="s">
        <v>8</v>
      </c>
      <c r="E147" s="88" t="s">
        <v>9</v>
      </c>
      <c r="F147" s="88" t="s">
        <v>10</v>
      </c>
      <c r="G147" s="88" t="s">
        <v>11</v>
      </c>
      <c r="H147" s="88" t="s">
        <v>12</v>
      </c>
    </row>
    <row r="148" spans="1:8" s="94" customFormat="1" ht="15">
      <c r="A148" s="153" t="s">
        <v>71</v>
      </c>
      <c r="B148" s="153">
        <v>87263</v>
      </c>
      <c r="C148" s="159" t="s">
        <v>186</v>
      </c>
      <c r="D148" s="154" t="s">
        <v>239</v>
      </c>
      <c r="E148" s="153" t="s">
        <v>19</v>
      </c>
      <c r="F148" s="167"/>
      <c r="G148" s="156"/>
      <c r="H148" s="158">
        <f>SUM(H149:H153)</f>
        <v>100.0688</v>
      </c>
    </row>
    <row r="149" spans="1:8" s="21" customFormat="1" ht="14.25">
      <c r="A149" s="75" t="s">
        <v>70</v>
      </c>
      <c r="B149" s="75" t="s">
        <v>236</v>
      </c>
      <c r="C149" s="75" t="s">
        <v>41</v>
      </c>
      <c r="D149" s="77" t="s">
        <v>233</v>
      </c>
      <c r="E149" s="75" t="s">
        <v>192</v>
      </c>
      <c r="F149" s="168">
        <v>0.14</v>
      </c>
      <c r="G149" s="98">
        <v>3.75</v>
      </c>
      <c r="H149" s="98">
        <f aca="true" t="shared" si="18" ref="H149:H153">F149*G149</f>
        <v>0.525</v>
      </c>
    </row>
    <row r="150" spans="1:8" s="21" customFormat="1" ht="14.25">
      <c r="A150" s="75" t="s">
        <v>70</v>
      </c>
      <c r="B150" s="75" t="s">
        <v>237</v>
      </c>
      <c r="C150" s="75" t="s">
        <v>41</v>
      </c>
      <c r="D150" s="77" t="s">
        <v>234</v>
      </c>
      <c r="E150" s="75" t="s">
        <v>192</v>
      </c>
      <c r="F150" s="168">
        <v>8.62</v>
      </c>
      <c r="G150" s="98">
        <v>1.96</v>
      </c>
      <c r="H150" s="98">
        <f t="shared" si="18"/>
        <v>16.8952</v>
      </c>
    </row>
    <row r="151" spans="1:8" s="21" customFormat="1" ht="25.5">
      <c r="A151" s="75" t="s">
        <v>70</v>
      </c>
      <c r="B151" s="75">
        <v>170408</v>
      </c>
      <c r="C151" s="75" t="s">
        <v>32</v>
      </c>
      <c r="D151" s="77" t="s">
        <v>77</v>
      </c>
      <c r="E151" s="171" t="s">
        <v>19</v>
      </c>
      <c r="F151" s="168">
        <v>1.07</v>
      </c>
      <c r="G151" s="98">
        <v>63.9</v>
      </c>
      <c r="H151" s="98">
        <f t="shared" si="18"/>
        <v>68.373</v>
      </c>
    </row>
    <row r="152" spans="1:8" s="21" customFormat="1" ht="14.25">
      <c r="A152" s="74" t="s">
        <v>71</v>
      </c>
      <c r="B152" s="75" t="s">
        <v>238</v>
      </c>
      <c r="C152" s="75" t="s">
        <v>41</v>
      </c>
      <c r="D152" s="77" t="s">
        <v>235</v>
      </c>
      <c r="E152" s="75" t="s">
        <v>61</v>
      </c>
      <c r="F152" s="168">
        <v>0.44</v>
      </c>
      <c r="G152" s="98">
        <v>24.49</v>
      </c>
      <c r="H152" s="98">
        <f t="shared" si="18"/>
        <v>10.775599999999999</v>
      </c>
    </row>
    <row r="153" spans="1:8" s="21" customFormat="1" ht="14.25">
      <c r="A153" s="74" t="s">
        <v>71</v>
      </c>
      <c r="B153" s="75" t="s">
        <v>167</v>
      </c>
      <c r="C153" s="75" t="s">
        <v>41</v>
      </c>
      <c r="D153" s="77" t="s">
        <v>127</v>
      </c>
      <c r="E153" s="75" t="s">
        <v>61</v>
      </c>
      <c r="F153" s="168">
        <v>0.2</v>
      </c>
      <c r="G153" s="98">
        <v>17.5</v>
      </c>
      <c r="H153" s="98">
        <f t="shared" si="18"/>
        <v>3.5</v>
      </c>
    </row>
    <row r="154" spans="1:8" s="21" customFormat="1" ht="14.25">
      <c r="A154" s="79"/>
      <c r="B154" s="80"/>
      <c r="C154" s="80"/>
      <c r="D154" s="80"/>
      <c r="E154" s="80"/>
      <c r="F154" s="218"/>
      <c r="G154" s="218"/>
      <c r="H154" s="81"/>
    </row>
    <row r="155" spans="1:8" s="130" customFormat="1" ht="15">
      <c r="A155" s="128" t="s">
        <v>249</v>
      </c>
      <c r="B155" s="97"/>
      <c r="C155" s="128"/>
      <c r="D155" s="129" t="s">
        <v>36</v>
      </c>
      <c r="E155" s="128"/>
      <c r="F155" s="128"/>
      <c r="G155" s="128"/>
      <c r="H155" s="128"/>
    </row>
    <row r="156" spans="1:8" s="89" customFormat="1" ht="15">
      <c r="A156" s="88" t="s">
        <v>250</v>
      </c>
      <c r="B156" s="88" t="s">
        <v>6</v>
      </c>
      <c r="C156" s="88" t="s">
        <v>7</v>
      </c>
      <c r="D156" s="88" t="s">
        <v>8</v>
      </c>
      <c r="E156" s="88" t="s">
        <v>9</v>
      </c>
      <c r="F156" s="88" t="s">
        <v>10</v>
      </c>
      <c r="G156" s="88" t="s">
        <v>11</v>
      </c>
      <c r="H156" s="88" t="s">
        <v>12</v>
      </c>
    </row>
    <row r="157" spans="1:8" s="94" customFormat="1" ht="25.5">
      <c r="A157" s="153" t="s">
        <v>71</v>
      </c>
      <c r="B157" s="153">
        <v>101731</v>
      </c>
      <c r="C157" s="159" t="s">
        <v>41</v>
      </c>
      <c r="D157" s="154" t="s">
        <v>504</v>
      </c>
      <c r="E157" s="153" t="s">
        <v>19</v>
      </c>
      <c r="F157" s="167"/>
      <c r="G157" s="156"/>
      <c r="H157" s="170">
        <f>SUM(H158:H161)</f>
        <v>320.25062699999995</v>
      </c>
    </row>
    <row r="158" spans="1:8" s="21" customFormat="1" ht="38.25">
      <c r="A158" s="75" t="s">
        <v>70</v>
      </c>
      <c r="B158" s="75">
        <v>4710</v>
      </c>
      <c r="C158" s="75" t="s">
        <v>41</v>
      </c>
      <c r="D158" s="77" t="s">
        <v>231</v>
      </c>
      <c r="E158" s="171" t="s">
        <v>19</v>
      </c>
      <c r="F158" s="86">
        <v>1.075</v>
      </c>
      <c r="G158" s="98">
        <v>241.6</v>
      </c>
      <c r="H158" s="98">
        <f aca="true" t="shared" si="19" ref="H158:H161">F158*G158</f>
        <v>259.71999999999997</v>
      </c>
    </row>
    <row r="159" spans="1:8" s="21" customFormat="1" ht="38.25">
      <c r="A159" s="74" t="s">
        <v>71</v>
      </c>
      <c r="B159" s="75">
        <v>87298</v>
      </c>
      <c r="C159" s="75" t="s">
        <v>41</v>
      </c>
      <c r="D159" s="77" t="s">
        <v>232</v>
      </c>
      <c r="E159" s="171" t="s">
        <v>23</v>
      </c>
      <c r="F159" s="86">
        <v>0.0307</v>
      </c>
      <c r="G159" s="98">
        <v>617.61</v>
      </c>
      <c r="H159" s="98">
        <f t="shared" si="19"/>
        <v>18.960627000000002</v>
      </c>
    </row>
    <row r="160" spans="1:8" s="21" customFormat="1" ht="14.25">
      <c r="A160" s="74" t="s">
        <v>71</v>
      </c>
      <c r="B160" s="75" t="s">
        <v>166</v>
      </c>
      <c r="C160" s="75" t="s">
        <v>41</v>
      </c>
      <c r="D160" s="77" t="s">
        <v>129</v>
      </c>
      <c r="E160" s="75" t="s">
        <v>61</v>
      </c>
      <c r="F160" s="86">
        <v>1</v>
      </c>
      <c r="G160" s="98">
        <v>24.07</v>
      </c>
      <c r="H160" s="98">
        <f t="shared" si="19"/>
        <v>24.07</v>
      </c>
    </row>
    <row r="161" spans="1:8" s="21" customFormat="1" ht="14.25">
      <c r="A161" s="74" t="s">
        <v>71</v>
      </c>
      <c r="B161" s="75" t="s">
        <v>167</v>
      </c>
      <c r="C161" s="75" t="s">
        <v>41</v>
      </c>
      <c r="D161" s="77" t="s">
        <v>127</v>
      </c>
      <c r="E161" s="75" t="s">
        <v>61</v>
      </c>
      <c r="F161" s="86">
        <v>1</v>
      </c>
      <c r="G161" s="98">
        <v>17.5</v>
      </c>
      <c r="H161" s="98">
        <f t="shared" si="19"/>
        <v>17.5</v>
      </c>
    </row>
    <row r="162" spans="1:8" s="21" customFormat="1" ht="14.25">
      <c r="A162" s="79"/>
      <c r="B162" s="80"/>
      <c r="C162" s="80"/>
      <c r="D162" s="80"/>
      <c r="E162" s="80"/>
      <c r="F162" s="218"/>
      <c r="G162" s="218"/>
      <c r="H162" s="81"/>
    </row>
    <row r="163" spans="1:8" s="130" customFormat="1" ht="15">
      <c r="A163" s="128" t="s">
        <v>251</v>
      </c>
      <c r="B163" s="97"/>
      <c r="C163" s="128"/>
      <c r="D163" s="129" t="s">
        <v>240</v>
      </c>
      <c r="E163" s="128"/>
      <c r="F163" s="128"/>
      <c r="G163" s="128"/>
      <c r="H163" s="128"/>
    </row>
    <row r="164" spans="1:8" s="89" customFormat="1" ht="15">
      <c r="A164" s="88" t="s">
        <v>252</v>
      </c>
      <c r="B164" s="88" t="s">
        <v>6</v>
      </c>
      <c r="C164" s="88" t="s">
        <v>7</v>
      </c>
      <c r="D164" s="88" t="s">
        <v>8</v>
      </c>
      <c r="E164" s="88" t="s">
        <v>9</v>
      </c>
      <c r="F164" s="88" t="s">
        <v>10</v>
      </c>
      <c r="G164" s="88" t="s">
        <v>11</v>
      </c>
      <c r="H164" s="88" t="s">
        <v>12</v>
      </c>
    </row>
    <row r="165" spans="1:8" s="87" customFormat="1" ht="38.25">
      <c r="A165" s="153" t="s">
        <v>71</v>
      </c>
      <c r="B165" s="153">
        <v>94990</v>
      </c>
      <c r="C165" s="159" t="s">
        <v>41</v>
      </c>
      <c r="D165" s="172" t="s">
        <v>222</v>
      </c>
      <c r="E165" s="153" t="s">
        <v>23</v>
      </c>
      <c r="F165" s="173"/>
      <c r="G165" s="174"/>
      <c r="H165" s="174">
        <f>SUM(H166:H171)</f>
        <v>719.0332100000002</v>
      </c>
    </row>
    <row r="166" spans="1:8" s="21" customFormat="1" ht="25.5">
      <c r="A166" s="75" t="s">
        <v>70</v>
      </c>
      <c r="B166" s="75" t="s">
        <v>223</v>
      </c>
      <c r="C166" s="75" t="s">
        <v>41</v>
      </c>
      <c r="D166" s="77" t="s">
        <v>227</v>
      </c>
      <c r="E166" s="75" t="s">
        <v>24</v>
      </c>
      <c r="F166" s="175">
        <v>2.5</v>
      </c>
      <c r="G166" s="98">
        <v>9.67</v>
      </c>
      <c r="H166" s="78">
        <f aca="true" t="shared" si="20" ref="H166:H167">F166*G166</f>
        <v>24.175</v>
      </c>
    </row>
    <row r="167" spans="1:8" s="21" customFormat="1" ht="25.5">
      <c r="A167" s="75" t="s">
        <v>70</v>
      </c>
      <c r="B167" s="75" t="s">
        <v>224</v>
      </c>
      <c r="C167" s="75" t="s">
        <v>41</v>
      </c>
      <c r="D167" s="77" t="s">
        <v>228</v>
      </c>
      <c r="E167" s="75" t="s">
        <v>24</v>
      </c>
      <c r="F167" s="175">
        <v>2</v>
      </c>
      <c r="G167" s="98">
        <v>3.32</v>
      </c>
      <c r="H167" s="78">
        <f t="shared" si="20"/>
        <v>6.64</v>
      </c>
    </row>
    <row r="168" spans="1:8" s="21" customFormat="1" ht="38.25">
      <c r="A168" s="74" t="s">
        <v>71</v>
      </c>
      <c r="B168" s="75" t="s">
        <v>226</v>
      </c>
      <c r="C168" s="75" t="s">
        <v>41</v>
      </c>
      <c r="D168" s="77" t="s">
        <v>229</v>
      </c>
      <c r="E168" s="171" t="s">
        <v>23</v>
      </c>
      <c r="F168" s="175">
        <v>1.213</v>
      </c>
      <c r="G168" s="98">
        <v>422.58</v>
      </c>
      <c r="H168" s="78">
        <f>F168*G168</f>
        <v>512.58954</v>
      </c>
    </row>
    <row r="169" spans="1:8" s="21" customFormat="1" ht="14.25">
      <c r="A169" s="74" t="s">
        <v>71</v>
      </c>
      <c r="B169" s="75" t="s">
        <v>225</v>
      </c>
      <c r="C169" s="75" t="s">
        <v>41</v>
      </c>
      <c r="D169" s="77" t="s">
        <v>122</v>
      </c>
      <c r="E169" s="75" t="s">
        <v>61</v>
      </c>
      <c r="F169" s="175">
        <v>2.256</v>
      </c>
      <c r="G169" s="98">
        <v>23.81</v>
      </c>
      <c r="H169" s="78">
        <f aca="true" t="shared" si="21" ref="H169:H171">F169*G169</f>
        <v>53.71535999999999</v>
      </c>
    </row>
    <row r="170" spans="1:8" s="21" customFormat="1" ht="14.25">
      <c r="A170" s="74" t="s">
        <v>71</v>
      </c>
      <c r="B170" s="75" t="s">
        <v>166</v>
      </c>
      <c r="C170" s="75" t="s">
        <v>41</v>
      </c>
      <c r="D170" s="77" t="s">
        <v>129</v>
      </c>
      <c r="E170" s="75" t="s">
        <v>61</v>
      </c>
      <c r="F170" s="175">
        <v>1.983</v>
      </c>
      <c r="G170" s="98">
        <v>24.07</v>
      </c>
      <c r="H170" s="78">
        <f t="shared" si="21"/>
        <v>47.730810000000005</v>
      </c>
    </row>
    <row r="171" spans="1:8" s="21" customFormat="1" ht="14.25">
      <c r="A171" s="74" t="s">
        <v>71</v>
      </c>
      <c r="B171" s="75" t="s">
        <v>167</v>
      </c>
      <c r="C171" s="75" t="s">
        <v>41</v>
      </c>
      <c r="D171" s="77" t="s">
        <v>127</v>
      </c>
      <c r="E171" s="75" t="s">
        <v>61</v>
      </c>
      <c r="F171" s="175">
        <v>4.239</v>
      </c>
      <c r="G171" s="98">
        <v>17.5</v>
      </c>
      <c r="H171" s="78">
        <f t="shared" si="21"/>
        <v>74.1825</v>
      </c>
    </row>
    <row r="172" spans="1:8" s="21" customFormat="1" ht="14.25">
      <c r="A172" s="79"/>
      <c r="B172" s="80"/>
      <c r="C172" s="80"/>
      <c r="D172" s="80"/>
      <c r="E172" s="80"/>
      <c r="F172" s="81"/>
      <c r="G172" s="80"/>
      <c r="H172" s="81"/>
    </row>
    <row r="173" spans="1:8" s="89" customFormat="1" ht="15">
      <c r="A173" s="88" t="s">
        <v>253</v>
      </c>
      <c r="B173" s="88" t="s">
        <v>6</v>
      </c>
      <c r="C173" s="88" t="s">
        <v>7</v>
      </c>
      <c r="D173" s="88" t="s">
        <v>8</v>
      </c>
      <c r="E173" s="88" t="s">
        <v>9</v>
      </c>
      <c r="F173" s="88" t="s">
        <v>10</v>
      </c>
      <c r="G173" s="88" t="s">
        <v>11</v>
      </c>
      <c r="H173" s="88" t="s">
        <v>12</v>
      </c>
    </row>
    <row r="174" spans="1:8" s="87" customFormat="1" ht="25.5">
      <c r="A174" s="153" t="s">
        <v>71</v>
      </c>
      <c r="B174" s="153">
        <v>87632</v>
      </c>
      <c r="C174" s="159" t="s">
        <v>41</v>
      </c>
      <c r="D174" s="154" t="s">
        <v>241</v>
      </c>
      <c r="E174" s="153" t="s">
        <v>19</v>
      </c>
      <c r="F174" s="157"/>
      <c r="G174" s="158"/>
      <c r="H174" s="158">
        <f>SUM(H175:H179)</f>
        <v>39.021438</v>
      </c>
    </row>
    <row r="175" spans="1:8" s="21" customFormat="1" ht="14.25">
      <c r="A175" s="75" t="s">
        <v>70</v>
      </c>
      <c r="B175" s="75" t="s">
        <v>242</v>
      </c>
      <c r="C175" s="75" t="s">
        <v>41</v>
      </c>
      <c r="D175" s="77" t="s">
        <v>116</v>
      </c>
      <c r="E175" s="75" t="s">
        <v>192</v>
      </c>
      <c r="F175" s="86">
        <v>0.5</v>
      </c>
      <c r="G175" s="98">
        <v>0.59</v>
      </c>
      <c r="H175" s="98">
        <f aca="true" t="shared" si="22" ref="H175:H179">F175*G175</f>
        <v>0.295</v>
      </c>
    </row>
    <row r="176" spans="1:8" s="21" customFormat="1" ht="25.5">
      <c r="A176" s="75" t="s">
        <v>70</v>
      </c>
      <c r="B176" s="75" t="s">
        <v>243</v>
      </c>
      <c r="C176" s="75" t="s">
        <v>41</v>
      </c>
      <c r="D176" s="77" t="s">
        <v>245</v>
      </c>
      <c r="E176" s="75" t="s">
        <v>101</v>
      </c>
      <c r="F176" s="86">
        <v>0.21</v>
      </c>
      <c r="G176" s="98">
        <v>15.45</v>
      </c>
      <c r="H176" s="98">
        <f t="shared" si="22"/>
        <v>3.2445</v>
      </c>
    </row>
    <row r="177" spans="1:8" s="21" customFormat="1" ht="25.5">
      <c r="A177" s="74" t="s">
        <v>71</v>
      </c>
      <c r="B177" s="75" t="s">
        <v>244</v>
      </c>
      <c r="C177" s="75" t="s">
        <v>41</v>
      </c>
      <c r="D177" s="77" t="s">
        <v>246</v>
      </c>
      <c r="E177" s="171" t="s">
        <v>23</v>
      </c>
      <c r="F177" s="86">
        <v>0.0431</v>
      </c>
      <c r="G177" s="98">
        <v>636.48</v>
      </c>
      <c r="H177" s="98">
        <f t="shared" si="22"/>
        <v>27.432288</v>
      </c>
    </row>
    <row r="178" spans="1:8" s="21" customFormat="1" ht="14.25">
      <c r="A178" s="74" t="s">
        <v>71</v>
      </c>
      <c r="B178" s="75" t="s">
        <v>166</v>
      </c>
      <c r="C178" s="75" t="s">
        <v>41</v>
      </c>
      <c r="D178" s="77" t="s">
        <v>129</v>
      </c>
      <c r="E178" s="75" t="s">
        <v>61</v>
      </c>
      <c r="F178" s="86">
        <v>0.245</v>
      </c>
      <c r="G178" s="98">
        <v>24.07</v>
      </c>
      <c r="H178" s="98">
        <f t="shared" si="22"/>
        <v>5.89715</v>
      </c>
    </row>
    <row r="179" spans="1:8" s="21" customFormat="1" ht="14.25">
      <c r="A179" s="74" t="s">
        <v>71</v>
      </c>
      <c r="B179" s="75" t="s">
        <v>167</v>
      </c>
      <c r="C179" s="75" t="s">
        <v>41</v>
      </c>
      <c r="D179" s="77" t="s">
        <v>127</v>
      </c>
      <c r="E179" s="75" t="s">
        <v>61</v>
      </c>
      <c r="F179" s="86">
        <v>0.123</v>
      </c>
      <c r="G179" s="98">
        <v>17.5</v>
      </c>
      <c r="H179" s="98">
        <f t="shared" si="22"/>
        <v>2.1525</v>
      </c>
    </row>
    <row r="180" spans="1:8" s="21" customFormat="1" ht="14.25">
      <c r="A180" s="79"/>
      <c r="B180" s="80"/>
      <c r="C180" s="80"/>
      <c r="D180" s="80"/>
      <c r="E180" s="80"/>
      <c r="F180" s="81"/>
      <c r="G180" s="80"/>
      <c r="H180" s="81"/>
    </row>
    <row r="181" spans="1:8" s="127" customFormat="1" ht="15">
      <c r="A181" s="95">
        <v>4</v>
      </c>
      <c r="B181" s="59"/>
      <c r="C181" s="59"/>
      <c r="D181" s="96" t="s">
        <v>37</v>
      </c>
      <c r="E181" s="59"/>
      <c r="F181" s="59"/>
      <c r="G181" s="59"/>
      <c r="H181" s="59"/>
    </row>
    <row r="182" spans="1:8" s="130" customFormat="1" ht="15">
      <c r="A182" s="128" t="s">
        <v>278</v>
      </c>
      <c r="B182" s="97"/>
      <c r="C182" s="128"/>
      <c r="D182" s="129" t="s">
        <v>38</v>
      </c>
      <c r="E182" s="128"/>
      <c r="F182" s="128"/>
      <c r="G182" s="128"/>
      <c r="H182" s="128"/>
    </row>
    <row r="183" spans="1:8" s="89" customFormat="1" ht="15">
      <c r="A183" s="88" t="s">
        <v>279</v>
      </c>
      <c r="B183" s="88" t="s">
        <v>6</v>
      </c>
      <c r="C183" s="88" t="s">
        <v>7</v>
      </c>
      <c r="D183" s="88" t="s">
        <v>8</v>
      </c>
      <c r="E183" s="88" t="s">
        <v>9</v>
      </c>
      <c r="F183" s="88" t="s">
        <v>10</v>
      </c>
      <c r="G183" s="88" t="s">
        <v>11</v>
      </c>
      <c r="H183" s="88" t="s">
        <v>12</v>
      </c>
    </row>
    <row r="184" spans="1:8" s="94" customFormat="1" ht="15">
      <c r="A184" s="153" t="s">
        <v>71</v>
      </c>
      <c r="B184" s="153">
        <v>102235</v>
      </c>
      <c r="C184" s="159" t="s">
        <v>41</v>
      </c>
      <c r="D184" s="160" t="s">
        <v>199</v>
      </c>
      <c r="E184" s="153" t="s">
        <v>19</v>
      </c>
      <c r="F184" s="167"/>
      <c r="G184" s="156"/>
      <c r="H184" s="158">
        <f>SUM(H185:H193)</f>
        <v>351.86129999999997</v>
      </c>
    </row>
    <row r="185" spans="1:8" s="21" customFormat="1" ht="14.25">
      <c r="A185" s="75" t="s">
        <v>70</v>
      </c>
      <c r="B185" s="75" t="s">
        <v>272</v>
      </c>
      <c r="C185" s="75" t="s">
        <v>41</v>
      </c>
      <c r="D185" s="77" t="s">
        <v>267</v>
      </c>
      <c r="E185" s="75" t="s">
        <v>19</v>
      </c>
      <c r="F185" s="168">
        <v>0.987</v>
      </c>
      <c r="G185" s="98">
        <v>269.97</v>
      </c>
      <c r="H185" s="98">
        <f aca="true" t="shared" si="23" ref="H185:H193">F185*G185</f>
        <v>266.46039</v>
      </c>
    </row>
    <row r="186" spans="1:8" s="21" customFormat="1" ht="38.25">
      <c r="A186" s="75" t="s">
        <v>70</v>
      </c>
      <c r="B186" s="75" t="s">
        <v>273</v>
      </c>
      <c r="C186" s="75" t="s">
        <v>41</v>
      </c>
      <c r="D186" s="77" t="s">
        <v>78</v>
      </c>
      <c r="E186" s="75" t="s">
        <v>17</v>
      </c>
      <c r="F186" s="168">
        <v>2.37</v>
      </c>
      <c r="G186" s="98">
        <v>0.26</v>
      </c>
      <c r="H186" s="98">
        <f t="shared" si="23"/>
        <v>0.6162000000000001</v>
      </c>
    </row>
    <row r="187" spans="1:8" s="21" customFormat="1" ht="14.25">
      <c r="A187" s="75" t="s">
        <v>70</v>
      </c>
      <c r="B187" s="75" t="s">
        <v>274</v>
      </c>
      <c r="C187" s="75" t="s">
        <v>41</v>
      </c>
      <c r="D187" s="77" t="s">
        <v>268</v>
      </c>
      <c r="E187" s="75" t="s">
        <v>192</v>
      </c>
      <c r="F187" s="168">
        <v>0.284</v>
      </c>
      <c r="G187" s="98">
        <v>47.31</v>
      </c>
      <c r="H187" s="98">
        <f t="shared" si="23"/>
        <v>13.43604</v>
      </c>
    </row>
    <row r="188" spans="1:8" s="21" customFormat="1" ht="25.5">
      <c r="A188" s="75" t="s">
        <v>70</v>
      </c>
      <c r="B188" s="75" t="s">
        <v>260</v>
      </c>
      <c r="C188" s="75" t="s">
        <v>41</v>
      </c>
      <c r="D188" s="77" t="s">
        <v>264</v>
      </c>
      <c r="E188" s="75" t="s">
        <v>24</v>
      </c>
      <c r="F188" s="168">
        <v>1.47</v>
      </c>
      <c r="G188" s="98">
        <v>2.69</v>
      </c>
      <c r="H188" s="98">
        <f aca="true" t="shared" si="24" ref="H188">F188*G188</f>
        <v>3.9543</v>
      </c>
    </row>
    <row r="189" spans="1:8" s="21" customFormat="1" ht="14.25">
      <c r="A189" s="75" t="s">
        <v>70</v>
      </c>
      <c r="B189" s="75" t="s">
        <v>197</v>
      </c>
      <c r="C189" s="75" t="s">
        <v>41</v>
      </c>
      <c r="D189" s="77" t="s">
        <v>198</v>
      </c>
      <c r="E189" s="75" t="s">
        <v>42</v>
      </c>
      <c r="F189" s="168">
        <v>0.23</v>
      </c>
      <c r="G189" s="98">
        <v>22.53</v>
      </c>
      <c r="H189" s="98">
        <f aca="true" t="shared" si="25" ref="H189">F189*G189</f>
        <v>5.181900000000001</v>
      </c>
    </row>
    <row r="190" spans="1:8" s="21" customFormat="1" ht="14.25">
      <c r="A190" s="74" t="s">
        <v>71</v>
      </c>
      <c r="B190" s="75" t="s">
        <v>167</v>
      </c>
      <c r="C190" s="75" t="s">
        <v>41</v>
      </c>
      <c r="D190" s="77" t="s">
        <v>127</v>
      </c>
      <c r="E190" s="75" t="s">
        <v>61</v>
      </c>
      <c r="F190" s="168">
        <v>0.544</v>
      </c>
      <c r="G190" s="98">
        <v>17.5</v>
      </c>
      <c r="H190" s="98">
        <f aca="true" t="shared" si="26" ref="H190">F190*G190</f>
        <v>9.520000000000001</v>
      </c>
    </row>
    <row r="191" spans="1:8" s="21" customFormat="1" ht="14.25">
      <c r="A191" s="74" t="s">
        <v>71</v>
      </c>
      <c r="B191" s="75" t="s">
        <v>275</v>
      </c>
      <c r="C191" s="75" t="s">
        <v>41</v>
      </c>
      <c r="D191" s="176" t="s">
        <v>269</v>
      </c>
      <c r="E191" s="75" t="s">
        <v>61</v>
      </c>
      <c r="F191" s="168">
        <v>1.088</v>
      </c>
      <c r="G191" s="98">
        <v>21.42</v>
      </c>
      <c r="H191" s="98">
        <f t="shared" si="23"/>
        <v>23.304960000000005</v>
      </c>
    </row>
    <row r="192" spans="1:8" s="21" customFormat="1" ht="25.5">
      <c r="A192" s="74" t="s">
        <v>71</v>
      </c>
      <c r="B192" s="75" t="s">
        <v>276</v>
      </c>
      <c r="C192" s="75" t="s">
        <v>41</v>
      </c>
      <c r="D192" s="77" t="s">
        <v>270</v>
      </c>
      <c r="E192" s="75" t="s">
        <v>212</v>
      </c>
      <c r="F192" s="168">
        <v>0.095</v>
      </c>
      <c r="G192" s="98">
        <v>28.48</v>
      </c>
      <c r="H192" s="98">
        <f t="shared" si="23"/>
        <v>2.7056</v>
      </c>
    </row>
    <row r="193" spans="1:8" s="21" customFormat="1" ht="25.5">
      <c r="A193" s="74" t="s">
        <v>71</v>
      </c>
      <c r="B193" s="75" t="s">
        <v>277</v>
      </c>
      <c r="C193" s="75" t="s">
        <v>41</v>
      </c>
      <c r="D193" s="77" t="s">
        <v>271</v>
      </c>
      <c r="E193" s="75" t="s">
        <v>213</v>
      </c>
      <c r="F193" s="168">
        <v>0.993</v>
      </c>
      <c r="G193" s="98">
        <v>26.87</v>
      </c>
      <c r="H193" s="98">
        <f t="shared" si="23"/>
        <v>26.681910000000002</v>
      </c>
    </row>
    <row r="194" spans="1:8" s="21" customFormat="1" ht="14.25">
      <c r="A194" s="79"/>
      <c r="B194" s="80"/>
      <c r="C194" s="80"/>
      <c r="D194" s="80"/>
      <c r="E194" s="80"/>
      <c r="F194" s="81"/>
      <c r="G194" s="80"/>
      <c r="H194" s="81"/>
    </row>
    <row r="195" spans="1:8" s="127" customFormat="1" ht="15">
      <c r="A195" s="95">
        <v>5</v>
      </c>
      <c r="B195" s="59"/>
      <c r="C195" s="59"/>
      <c r="D195" s="96" t="s">
        <v>39</v>
      </c>
      <c r="E195" s="59"/>
      <c r="F195" s="59"/>
      <c r="G195" s="59"/>
      <c r="H195" s="59"/>
    </row>
    <row r="196" spans="1:8" s="130" customFormat="1" ht="15">
      <c r="A196" s="128" t="s">
        <v>283</v>
      </c>
      <c r="B196" s="97"/>
      <c r="C196" s="128"/>
      <c r="D196" s="129" t="s">
        <v>39</v>
      </c>
      <c r="E196" s="128"/>
      <c r="F196" s="128"/>
      <c r="G196" s="128"/>
      <c r="H196" s="128"/>
    </row>
    <row r="197" spans="1:8" s="89" customFormat="1" ht="15">
      <c r="A197" s="88" t="s">
        <v>292</v>
      </c>
      <c r="B197" s="88" t="s">
        <v>6</v>
      </c>
      <c r="C197" s="88" t="s">
        <v>7</v>
      </c>
      <c r="D197" s="88" t="s">
        <v>8</v>
      </c>
      <c r="E197" s="88" t="s">
        <v>9</v>
      </c>
      <c r="F197" s="88" t="s">
        <v>10</v>
      </c>
      <c r="G197" s="88" t="s">
        <v>11</v>
      </c>
      <c r="H197" s="88" t="s">
        <v>12</v>
      </c>
    </row>
    <row r="198" spans="1:8" s="87" customFormat="1" ht="38.25">
      <c r="A198" s="153" t="s">
        <v>71</v>
      </c>
      <c r="B198" s="153">
        <v>91926</v>
      </c>
      <c r="C198" s="159" t="s">
        <v>41</v>
      </c>
      <c r="D198" s="154" t="s">
        <v>284</v>
      </c>
      <c r="E198" s="153" t="s">
        <v>24</v>
      </c>
      <c r="F198" s="157"/>
      <c r="G198" s="158"/>
      <c r="H198" s="158">
        <f>SUM(H199:H202)</f>
        <v>3.87679</v>
      </c>
    </row>
    <row r="199" spans="1:8" s="21" customFormat="1" ht="25.5">
      <c r="A199" s="75" t="s">
        <v>70</v>
      </c>
      <c r="B199" s="75" t="s">
        <v>285</v>
      </c>
      <c r="C199" s="75" t="s">
        <v>41</v>
      </c>
      <c r="D199" s="77" t="s">
        <v>289</v>
      </c>
      <c r="E199" s="75" t="s">
        <v>24</v>
      </c>
      <c r="F199" s="168">
        <v>1.19</v>
      </c>
      <c r="G199" s="98">
        <v>2.15</v>
      </c>
      <c r="H199" s="98">
        <f aca="true" t="shared" si="27" ref="H199:H202">F199*G199</f>
        <v>2.5585</v>
      </c>
    </row>
    <row r="200" spans="1:8" s="21" customFormat="1" ht="25.5">
      <c r="A200" s="75" t="s">
        <v>70</v>
      </c>
      <c r="B200" s="75" t="s">
        <v>286</v>
      </c>
      <c r="C200" s="75" t="s">
        <v>41</v>
      </c>
      <c r="D200" s="77" t="s">
        <v>290</v>
      </c>
      <c r="E200" s="75" t="s">
        <v>17</v>
      </c>
      <c r="F200" s="168">
        <v>0.009</v>
      </c>
      <c r="G200" s="98">
        <v>2.91</v>
      </c>
      <c r="H200" s="98">
        <f t="shared" si="27"/>
        <v>0.026189999999999998</v>
      </c>
    </row>
    <row r="201" spans="1:8" s="21" customFormat="1" ht="14.25">
      <c r="A201" s="74" t="s">
        <v>71</v>
      </c>
      <c r="B201" s="75" t="s">
        <v>287</v>
      </c>
      <c r="C201" s="75" t="s">
        <v>41</v>
      </c>
      <c r="D201" s="77" t="s">
        <v>291</v>
      </c>
      <c r="E201" s="75" t="s">
        <v>61</v>
      </c>
      <c r="F201" s="168">
        <v>0.03</v>
      </c>
      <c r="G201" s="98">
        <v>18.75</v>
      </c>
      <c r="H201" s="98">
        <f t="shared" si="27"/>
        <v>0.5625</v>
      </c>
    </row>
    <row r="202" spans="1:8" s="21" customFormat="1" ht="14.25">
      <c r="A202" s="74" t="s">
        <v>71</v>
      </c>
      <c r="B202" s="75" t="s">
        <v>288</v>
      </c>
      <c r="C202" s="75" t="s">
        <v>41</v>
      </c>
      <c r="D202" s="77" t="s">
        <v>128</v>
      </c>
      <c r="E202" s="75" t="s">
        <v>61</v>
      </c>
      <c r="F202" s="168">
        <v>0.03</v>
      </c>
      <c r="G202" s="98">
        <v>24.32</v>
      </c>
      <c r="H202" s="98">
        <f t="shared" si="27"/>
        <v>0.7296</v>
      </c>
    </row>
    <row r="203" spans="1:8" s="21" customFormat="1" ht="14.25">
      <c r="A203" s="79"/>
      <c r="B203" s="80"/>
      <c r="C203" s="80"/>
      <c r="D203" s="80"/>
      <c r="E203" s="80"/>
      <c r="F203" s="81"/>
      <c r="G203" s="80"/>
      <c r="H203" s="81"/>
    </row>
    <row r="204" spans="1:8" s="89" customFormat="1" ht="15">
      <c r="A204" s="88" t="s">
        <v>293</v>
      </c>
      <c r="B204" s="88" t="s">
        <v>6</v>
      </c>
      <c r="C204" s="88" t="s">
        <v>7</v>
      </c>
      <c r="D204" s="88" t="s">
        <v>8</v>
      </c>
      <c r="E204" s="88" t="s">
        <v>9</v>
      </c>
      <c r="F204" s="88" t="s">
        <v>10</v>
      </c>
      <c r="G204" s="88" t="s">
        <v>11</v>
      </c>
      <c r="H204" s="88" t="s">
        <v>12</v>
      </c>
    </row>
    <row r="205" spans="1:8" s="87" customFormat="1" ht="38.25">
      <c r="A205" s="153" t="s">
        <v>71</v>
      </c>
      <c r="B205" s="153">
        <v>91930</v>
      </c>
      <c r="C205" s="159" t="s">
        <v>41</v>
      </c>
      <c r="D205" s="154" t="s">
        <v>294</v>
      </c>
      <c r="E205" s="153" t="s">
        <v>24</v>
      </c>
      <c r="F205" s="157"/>
      <c r="G205" s="158"/>
      <c r="H205" s="158">
        <f>SUM(H206:H209)</f>
        <v>8.65613</v>
      </c>
    </row>
    <row r="206" spans="1:8" s="21" customFormat="1" ht="25.5">
      <c r="A206" s="75" t="s">
        <v>70</v>
      </c>
      <c r="B206" s="75" t="s">
        <v>295</v>
      </c>
      <c r="C206" s="75" t="s">
        <v>41</v>
      </c>
      <c r="D206" s="77" t="s">
        <v>296</v>
      </c>
      <c r="E206" s="75" t="s">
        <v>24</v>
      </c>
      <c r="F206" s="168">
        <v>1.19</v>
      </c>
      <c r="G206" s="98">
        <v>5.37</v>
      </c>
      <c r="H206" s="98">
        <f aca="true" t="shared" si="28" ref="H206:H209">F206*G206</f>
        <v>6.3903</v>
      </c>
    </row>
    <row r="207" spans="1:8" s="21" customFormat="1" ht="25.5">
      <c r="A207" s="75" t="s">
        <v>70</v>
      </c>
      <c r="B207" s="75" t="s">
        <v>286</v>
      </c>
      <c r="C207" s="75" t="s">
        <v>41</v>
      </c>
      <c r="D207" s="77" t="s">
        <v>290</v>
      </c>
      <c r="E207" s="75" t="s">
        <v>17</v>
      </c>
      <c r="F207" s="168">
        <v>0.009</v>
      </c>
      <c r="G207" s="98">
        <v>2.91</v>
      </c>
      <c r="H207" s="98">
        <f t="shared" si="28"/>
        <v>0.026189999999999998</v>
      </c>
    </row>
    <row r="208" spans="1:8" s="21" customFormat="1" ht="14.25">
      <c r="A208" s="74" t="s">
        <v>71</v>
      </c>
      <c r="B208" s="75" t="s">
        <v>287</v>
      </c>
      <c r="C208" s="75" t="s">
        <v>41</v>
      </c>
      <c r="D208" s="77" t="s">
        <v>291</v>
      </c>
      <c r="E208" s="75" t="s">
        <v>61</v>
      </c>
      <c r="F208" s="168">
        <v>0.052</v>
      </c>
      <c r="G208" s="98">
        <v>18.75</v>
      </c>
      <c r="H208" s="98">
        <f t="shared" si="28"/>
        <v>0.975</v>
      </c>
    </row>
    <row r="209" spans="1:8" s="21" customFormat="1" ht="14.25">
      <c r="A209" s="74" t="s">
        <v>71</v>
      </c>
      <c r="B209" s="75" t="s">
        <v>288</v>
      </c>
      <c r="C209" s="75" t="s">
        <v>41</v>
      </c>
      <c r="D209" s="77" t="s">
        <v>128</v>
      </c>
      <c r="E209" s="75" t="s">
        <v>61</v>
      </c>
      <c r="F209" s="168">
        <v>0.052</v>
      </c>
      <c r="G209" s="98">
        <v>24.32</v>
      </c>
      <c r="H209" s="98">
        <f t="shared" si="28"/>
        <v>1.26464</v>
      </c>
    </row>
    <row r="210" spans="1:8" s="21" customFormat="1" ht="14.25">
      <c r="A210" s="79"/>
      <c r="B210" s="80"/>
      <c r="C210" s="80"/>
      <c r="D210" s="80"/>
      <c r="E210" s="80"/>
      <c r="F210" s="81"/>
      <c r="G210" s="80"/>
      <c r="H210" s="81"/>
    </row>
    <row r="211" spans="1:8" s="21" customFormat="1" ht="15">
      <c r="A211" s="88" t="s">
        <v>297</v>
      </c>
      <c r="B211" s="135" t="s">
        <v>6</v>
      </c>
      <c r="C211" s="136" t="s">
        <v>7</v>
      </c>
      <c r="D211" s="136" t="s">
        <v>8</v>
      </c>
      <c r="E211" s="88" t="s">
        <v>9</v>
      </c>
      <c r="F211" s="135" t="s">
        <v>10</v>
      </c>
      <c r="G211" s="135" t="s">
        <v>11</v>
      </c>
      <c r="H211" s="135" t="s">
        <v>12</v>
      </c>
    </row>
    <row r="212" spans="1:8" s="87" customFormat="1" ht="25.5">
      <c r="A212" s="153" t="s">
        <v>71</v>
      </c>
      <c r="B212" s="153">
        <v>92982</v>
      </c>
      <c r="C212" s="159" t="s">
        <v>41</v>
      </c>
      <c r="D212" s="154" t="s">
        <v>298</v>
      </c>
      <c r="E212" s="153" t="s">
        <v>24</v>
      </c>
      <c r="F212" s="157"/>
      <c r="G212" s="158"/>
      <c r="H212" s="158">
        <f>SUM(H213:H216)</f>
        <v>16.35346</v>
      </c>
    </row>
    <row r="213" spans="1:8" s="21" customFormat="1" ht="38.25">
      <c r="A213" s="75" t="s">
        <v>70</v>
      </c>
      <c r="B213" s="75">
        <v>995</v>
      </c>
      <c r="C213" s="75" t="s">
        <v>41</v>
      </c>
      <c r="D213" s="77" t="s">
        <v>299</v>
      </c>
      <c r="E213" s="75" t="s">
        <v>24</v>
      </c>
      <c r="F213" s="168">
        <v>1.027</v>
      </c>
      <c r="G213" s="98">
        <v>15.35</v>
      </c>
      <c r="H213" s="98">
        <f aca="true" t="shared" si="29" ref="H213:H216">F213*G213</f>
        <v>15.764449999999998</v>
      </c>
    </row>
    <row r="214" spans="1:8" s="21" customFormat="1" ht="25.5">
      <c r="A214" s="75" t="s">
        <v>70</v>
      </c>
      <c r="B214" s="75" t="s">
        <v>286</v>
      </c>
      <c r="C214" s="75" t="s">
        <v>41</v>
      </c>
      <c r="D214" s="77" t="s">
        <v>290</v>
      </c>
      <c r="E214" s="75" t="s">
        <v>17</v>
      </c>
      <c r="F214" s="168">
        <v>0.01</v>
      </c>
      <c r="G214" s="98">
        <v>2.91</v>
      </c>
      <c r="H214" s="98">
        <f t="shared" si="29"/>
        <v>0.0291</v>
      </c>
    </row>
    <row r="215" spans="1:8" s="21" customFormat="1" ht="14.25">
      <c r="A215" s="74" t="s">
        <v>71</v>
      </c>
      <c r="B215" s="75" t="s">
        <v>287</v>
      </c>
      <c r="C215" s="75" t="s">
        <v>41</v>
      </c>
      <c r="D215" s="77" t="s">
        <v>291</v>
      </c>
      <c r="E215" s="75" t="s">
        <v>61</v>
      </c>
      <c r="F215" s="168">
        <v>0.013</v>
      </c>
      <c r="G215" s="98">
        <v>18.75</v>
      </c>
      <c r="H215" s="98">
        <f t="shared" si="29"/>
        <v>0.24375</v>
      </c>
    </row>
    <row r="216" spans="1:8" s="21" customFormat="1" ht="14.25">
      <c r="A216" s="74" t="s">
        <v>71</v>
      </c>
      <c r="B216" s="75" t="s">
        <v>288</v>
      </c>
      <c r="C216" s="75" t="s">
        <v>41</v>
      </c>
      <c r="D216" s="77" t="s">
        <v>128</v>
      </c>
      <c r="E216" s="75" t="s">
        <v>61</v>
      </c>
      <c r="F216" s="168">
        <v>0.013</v>
      </c>
      <c r="G216" s="98">
        <v>24.32</v>
      </c>
      <c r="H216" s="98">
        <f t="shared" si="29"/>
        <v>0.31616</v>
      </c>
    </row>
    <row r="217" spans="1:8" s="21" customFormat="1" ht="14.25">
      <c r="A217" s="79"/>
      <c r="B217" s="80"/>
      <c r="C217" s="80"/>
      <c r="D217" s="80"/>
      <c r="E217" s="80"/>
      <c r="F217" s="81"/>
      <c r="G217" s="80"/>
      <c r="H217" s="81"/>
    </row>
    <row r="218" spans="1:8" s="89" customFormat="1" ht="15">
      <c r="A218" s="88" t="s">
        <v>304</v>
      </c>
      <c r="B218" s="88" t="s">
        <v>6</v>
      </c>
      <c r="C218" s="88" t="s">
        <v>7</v>
      </c>
      <c r="D218" s="88" t="s">
        <v>8</v>
      </c>
      <c r="E218" s="88" t="s">
        <v>9</v>
      </c>
      <c r="F218" s="88" t="s">
        <v>10</v>
      </c>
      <c r="G218" s="88" t="s">
        <v>11</v>
      </c>
      <c r="H218" s="88" t="s">
        <v>12</v>
      </c>
    </row>
    <row r="219" spans="1:8" s="87" customFormat="1" ht="25.5">
      <c r="A219" s="153" t="s">
        <v>71</v>
      </c>
      <c r="B219" s="153">
        <v>92984</v>
      </c>
      <c r="C219" s="159" t="s">
        <v>41</v>
      </c>
      <c r="D219" s="154" t="s">
        <v>301</v>
      </c>
      <c r="E219" s="153" t="s">
        <v>24</v>
      </c>
      <c r="F219" s="157"/>
      <c r="G219" s="158"/>
      <c r="H219" s="158">
        <f>SUM(H220:H223)</f>
        <v>26.365396</v>
      </c>
    </row>
    <row r="220" spans="1:8" s="21" customFormat="1" ht="38.25">
      <c r="A220" s="75" t="s">
        <v>70</v>
      </c>
      <c r="B220" s="75">
        <v>996</v>
      </c>
      <c r="C220" s="75" t="s">
        <v>41</v>
      </c>
      <c r="D220" s="77" t="s">
        <v>300</v>
      </c>
      <c r="E220" s="75" t="s">
        <v>24</v>
      </c>
      <c r="F220" s="168">
        <v>1.015</v>
      </c>
      <c r="G220" s="98">
        <v>23.37</v>
      </c>
      <c r="H220" s="98">
        <f aca="true" t="shared" si="30" ref="H220:H223">F220*G220</f>
        <v>23.72055</v>
      </c>
    </row>
    <row r="221" spans="1:8" s="21" customFormat="1" ht="25.5">
      <c r="A221" s="75" t="s">
        <v>70</v>
      </c>
      <c r="B221" s="75" t="s">
        <v>286</v>
      </c>
      <c r="C221" s="75" t="s">
        <v>41</v>
      </c>
      <c r="D221" s="77" t="s">
        <v>290</v>
      </c>
      <c r="E221" s="75" t="s">
        <v>17</v>
      </c>
      <c r="F221" s="168">
        <v>0.009</v>
      </c>
      <c r="G221" s="98">
        <v>2.91</v>
      </c>
      <c r="H221" s="98">
        <f t="shared" si="30"/>
        <v>0.026189999999999998</v>
      </c>
    </row>
    <row r="222" spans="1:8" s="21" customFormat="1" ht="14.25">
      <c r="A222" s="74" t="s">
        <v>71</v>
      </c>
      <c r="B222" s="75" t="s">
        <v>287</v>
      </c>
      <c r="C222" s="75" t="s">
        <v>41</v>
      </c>
      <c r="D222" s="77" t="s">
        <v>291</v>
      </c>
      <c r="E222" s="75" t="s">
        <v>61</v>
      </c>
      <c r="F222" s="86">
        <v>0.0608</v>
      </c>
      <c r="G222" s="98">
        <v>18.75</v>
      </c>
      <c r="H222" s="98">
        <f t="shared" si="30"/>
        <v>1.14</v>
      </c>
    </row>
    <row r="223" spans="1:8" s="21" customFormat="1" ht="14.25">
      <c r="A223" s="74" t="s">
        <v>71</v>
      </c>
      <c r="B223" s="75" t="s">
        <v>288</v>
      </c>
      <c r="C223" s="75" t="s">
        <v>41</v>
      </c>
      <c r="D223" s="77" t="s">
        <v>128</v>
      </c>
      <c r="E223" s="75" t="s">
        <v>61</v>
      </c>
      <c r="F223" s="86">
        <v>0.0608</v>
      </c>
      <c r="G223" s="98">
        <v>24.32</v>
      </c>
      <c r="H223" s="98">
        <f t="shared" si="30"/>
        <v>1.478656</v>
      </c>
    </row>
    <row r="224" spans="1:8" s="21" customFormat="1" ht="14.25">
      <c r="A224" s="99"/>
      <c r="B224" s="79"/>
      <c r="C224" s="79"/>
      <c r="D224" s="131"/>
      <c r="E224" s="79"/>
      <c r="F224" s="137"/>
      <c r="G224" s="100"/>
      <c r="H224" s="100"/>
    </row>
    <row r="225" spans="1:8" s="89" customFormat="1" ht="15">
      <c r="A225" s="88" t="s">
        <v>305</v>
      </c>
      <c r="B225" s="88" t="s">
        <v>6</v>
      </c>
      <c r="C225" s="88" t="s">
        <v>7</v>
      </c>
      <c r="D225" s="88" t="s">
        <v>8</v>
      </c>
      <c r="E225" s="88" t="s">
        <v>9</v>
      </c>
      <c r="F225" s="88" t="s">
        <v>10</v>
      </c>
      <c r="G225" s="88" t="s">
        <v>11</v>
      </c>
      <c r="H225" s="88" t="s">
        <v>12</v>
      </c>
    </row>
    <row r="226" spans="1:8" s="87" customFormat="1" ht="38.25">
      <c r="A226" s="153" t="s">
        <v>71</v>
      </c>
      <c r="B226" s="153">
        <v>95777</v>
      </c>
      <c r="C226" s="153" t="s">
        <v>41</v>
      </c>
      <c r="D226" s="154" t="s">
        <v>302</v>
      </c>
      <c r="E226" s="159" t="s">
        <v>17</v>
      </c>
      <c r="F226" s="157"/>
      <c r="G226" s="158"/>
      <c r="H226" s="158">
        <f>SUM(H227:H230)</f>
        <v>26.280238</v>
      </c>
    </row>
    <row r="227" spans="1:8" s="21" customFormat="1" ht="38.25">
      <c r="A227" s="75" t="s">
        <v>70</v>
      </c>
      <c r="B227" s="75" t="s">
        <v>273</v>
      </c>
      <c r="C227" s="75" t="s">
        <v>41</v>
      </c>
      <c r="D227" s="77" t="s">
        <v>78</v>
      </c>
      <c r="E227" s="75" t="s">
        <v>17</v>
      </c>
      <c r="F227" s="101">
        <v>2</v>
      </c>
      <c r="G227" s="98">
        <v>0.26</v>
      </c>
      <c r="H227" s="98">
        <f aca="true" t="shared" si="31" ref="H227:H230">F227*G227</f>
        <v>0.52</v>
      </c>
    </row>
    <row r="228" spans="1:8" s="21" customFormat="1" ht="25.5">
      <c r="A228" s="75" t="s">
        <v>70</v>
      </c>
      <c r="B228" s="75" t="s">
        <v>303</v>
      </c>
      <c r="C228" s="75" t="s">
        <v>41</v>
      </c>
      <c r="D228" s="77" t="s">
        <v>79</v>
      </c>
      <c r="E228" s="75" t="s">
        <v>17</v>
      </c>
      <c r="F228" s="101">
        <v>1</v>
      </c>
      <c r="G228" s="98">
        <v>10.97</v>
      </c>
      <c r="H228" s="98">
        <f t="shared" si="31"/>
        <v>10.97</v>
      </c>
    </row>
    <row r="229" spans="1:8" s="21" customFormat="1" ht="14.25">
      <c r="A229" s="74" t="s">
        <v>71</v>
      </c>
      <c r="B229" s="75" t="s">
        <v>287</v>
      </c>
      <c r="C229" s="75" t="s">
        <v>41</v>
      </c>
      <c r="D229" s="77" t="s">
        <v>291</v>
      </c>
      <c r="E229" s="75" t="s">
        <v>61</v>
      </c>
      <c r="F229" s="101">
        <v>0.3434</v>
      </c>
      <c r="G229" s="98">
        <v>18.75</v>
      </c>
      <c r="H229" s="98">
        <f t="shared" si="31"/>
        <v>6.43875</v>
      </c>
    </row>
    <row r="230" spans="1:8" s="21" customFormat="1" ht="14.25">
      <c r="A230" s="74" t="s">
        <v>71</v>
      </c>
      <c r="B230" s="75" t="s">
        <v>288</v>
      </c>
      <c r="C230" s="75" t="s">
        <v>41</v>
      </c>
      <c r="D230" s="77" t="s">
        <v>128</v>
      </c>
      <c r="E230" s="75" t="s">
        <v>61</v>
      </c>
      <c r="F230" s="101">
        <v>0.3434</v>
      </c>
      <c r="G230" s="98">
        <v>24.32</v>
      </c>
      <c r="H230" s="98">
        <f t="shared" si="31"/>
        <v>8.351488</v>
      </c>
    </row>
    <row r="231" spans="1:8" s="21" customFormat="1" ht="14.25">
      <c r="A231" s="138"/>
      <c r="B231" s="80"/>
      <c r="C231" s="80"/>
      <c r="D231" s="80"/>
      <c r="E231" s="80"/>
      <c r="F231" s="81"/>
      <c r="G231" s="80"/>
      <c r="H231" s="81"/>
    </row>
    <row r="232" spans="1:8" s="89" customFormat="1" ht="15">
      <c r="A232" s="88" t="s">
        <v>306</v>
      </c>
      <c r="B232" s="88" t="s">
        <v>6</v>
      </c>
      <c r="C232" s="88" t="s">
        <v>7</v>
      </c>
      <c r="D232" s="88" t="s">
        <v>8</v>
      </c>
      <c r="E232" s="88" t="s">
        <v>9</v>
      </c>
      <c r="F232" s="88" t="s">
        <v>10</v>
      </c>
      <c r="G232" s="88" t="s">
        <v>11</v>
      </c>
      <c r="H232" s="88" t="s">
        <v>12</v>
      </c>
    </row>
    <row r="233" spans="1:8" s="87" customFormat="1" ht="38.25">
      <c r="A233" s="153" t="s">
        <v>71</v>
      </c>
      <c r="B233" s="153">
        <v>95778</v>
      </c>
      <c r="C233" s="154" t="s">
        <v>41</v>
      </c>
      <c r="D233" s="154" t="s">
        <v>307</v>
      </c>
      <c r="E233" s="159" t="s">
        <v>17</v>
      </c>
      <c r="F233" s="157"/>
      <c r="G233" s="158"/>
      <c r="H233" s="158">
        <f>SUM(H234:H237)</f>
        <v>26.940238</v>
      </c>
    </row>
    <row r="234" spans="1:8" s="21" customFormat="1" ht="25.5">
      <c r="A234" s="75" t="s">
        <v>70</v>
      </c>
      <c r="B234" s="75" t="s">
        <v>308</v>
      </c>
      <c r="C234" s="75" t="s">
        <v>41</v>
      </c>
      <c r="D234" s="77" t="s">
        <v>80</v>
      </c>
      <c r="E234" s="75" t="s">
        <v>17</v>
      </c>
      <c r="F234" s="101">
        <v>1</v>
      </c>
      <c r="G234" s="98">
        <v>11.63</v>
      </c>
      <c r="H234" s="98">
        <f aca="true" t="shared" si="32" ref="H234:H237">F234*G234</f>
        <v>11.63</v>
      </c>
    </row>
    <row r="235" spans="1:8" s="21" customFormat="1" ht="38.25">
      <c r="A235" s="75" t="s">
        <v>70</v>
      </c>
      <c r="B235" s="75" t="s">
        <v>273</v>
      </c>
      <c r="C235" s="75" t="s">
        <v>41</v>
      </c>
      <c r="D235" s="77" t="s">
        <v>78</v>
      </c>
      <c r="E235" s="75" t="s">
        <v>17</v>
      </c>
      <c r="F235" s="101">
        <v>2</v>
      </c>
      <c r="G235" s="98">
        <v>0.26</v>
      </c>
      <c r="H235" s="98">
        <f t="shared" si="32"/>
        <v>0.52</v>
      </c>
    </row>
    <row r="236" spans="1:8" s="21" customFormat="1" ht="14.25">
      <c r="A236" s="74" t="s">
        <v>71</v>
      </c>
      <c r="B236" s="75" t="s">
        <v>287</v>
      </c>
      <c r="C236" s="75" t="s">
        <v>41</v>
      </c>
      <c r="D236" s="77" t="s">
        <v>291</v>
      </c>
      <c r="E236" s="75" t="s">
        <v>61</v>
      </c>
      <c r="F236" s="101">
        <v>0.3434</v>
      </c>
      <c r="G236" s="98">
        <v>18.75</v>
      </c>
      <c r="H236" s="98">
        <f t="shared" si="32"/>
        <v>6.43875</v>
      </c>
    </row>
    <row r="237" spans="1:8" s="21" customFormat="1" ht="14.25">
      <c r="A237" s="74" t="s">
        <v>71</v>
      </c>
      <c r="B237" s="75" t="s">
        <v>288</v>
      </c>
      <c r="C237" s="75" t="s">
        <v>41</v>
      </c>
      <c r="D237" s="77" t="s">
        <v>128</v>
      </c>
      <c r="E237" s="75" t="s">
        <v>61</v>
      </c>
      <c r="F237" s="101">
        <v>0.3434</v>
      </c>
      <c r="G237" s="98">
        <v>24.32</v>
      </c>
      <c r="H237" s="98">
        <f t="shared" si="32"/>
        <v>8.351488</v>
      </c>
    </row>
    <row r="238" spans="1:8" s="21" customFormat="1" ht="14.25">
      <c r="A238" s="138"/>
      <c r="B238" s="80"/>
      <c r="C238" s="80"/>
      <c r="D238" s="80"/>
      <c r="E238" s="80"/>
      <c r="F238" s="81"/>
      <c r="G238" s="80"/>
      <c r="H238" s="81"/>
    </row>
    <row r="239" spans="1:8" s="89" customFormat="1" ht="15">
      <c r="A239" s="88" t="s">
        <v>309</v>
      </c>
      <c r="B239" s="88" t="s">
        <v>6</v>
      </c>
      <c r="C239" s="88" t="s">
        <v>7</v>
      </c>
      <c r="D239" s="88" t="s">
        <v>8</v>
      </c>
      <c r="E239" s="88" t="s">
        <v>9</v>
      </c>
      <c r="F239" s="88" t="s">
        <v>10</v>
      </c>
      <c r="G239" s="88" t="s">
        <v>11</v>
      </c>
      <c r="H239" s="88" t="s">
        <v>12</v>
      </c>
    </row>
    <row r="240" spans="1:8" s="94" customFormat="1" ht="25.5">
      <c r="A240" s="153" t="s">
        <v>71</v>
      </c>
      <c r="B240" s="153">
        <v>95779</v>
      </c>
      <c r="C240" s="153" t="s">
        <v>41</v>
      </c>
      <c r="D240" s="154" t="s">
        <v>43</v>
      </c>
      <c r="E240" s="159" t="s">
        <v>17</v>
      </c>
      <c r="F240" s="167"/>
      <c r="G240" s="156"/>
      <c r="H240" s="158">
        <f>SUM(H241:H244)</f>
        <v>24.730238</v>
      </c>
    </row>
    <row r="241" spans="1:8" s="21" customFormat="1" ht="25.5">
      <c r="A241" s="75" t="s">
        <v>70</v>
      </c>
      <c r="B241" s="75" t="s">
        <v>310</v>
      </c>
      <c r="C241" s="75" t="s">
        <v>41</v>
      </c>
      <c r="D241" s="77" t="s">
        <v>81</v>
      </c>
      <c r="E241" s="75" t="s">
        <v>17</v>
      </c>
      <c r="F241" s="101">
        <v>1</v>
      </c>
      <c r="G241" s="98">
        <v>9.42</v>
      </c>
      <c r="H241" s="98">
        <f aca="true" t="shared" si="33" ref="H241:H244">F241*G241</f>
        <v>9.42</v>
      </c>
    </row>
    <row r="242" spans="1:8" s="21" customFormat="1" ht="38.25">
      <c r="A242" s="75" t="s">
        <v>70</v>
      </c>
      <c r="B242" s="75" t="s">
        <v>273</v>
      </c>
      <c r="C242" s="75" t="s">
        <v>41</v>
      </c>
      <c r="D242" s="77" t="s">
        <v>78</v>
      </c>
      <c r="E242" s="75" t="s">
        <v>17</v>
      </c>
      <c r="F242" s="101">
        <v>2</v>
      </c>
      <c r="G242" s="98">
        <v>0.26</v>
      </c>
      <c r="H242" s="98">
        <f t="shared" si="33"/>
        <v>0.52</v>
      </c>
    </row>
    <row r="243" spans="1:8" s="21" customFormat="1" ht="14.25">
      <c r="A243" s="74" t="s">
        <v>71</v>
      </c>
      <c r="B243" s="75" t="s">
        <v>287</v>
      </c>
      <c r="C243" s="75" t="s">
        <v>41</v>
      </c>
      <c r="D243" s="77" t="s">
        <v>291</v>
      </c>
      <c r="E243" s="75" t="s">
        <v>61</v>
      </c>
      <c r="F243" s="101">
        <v>0.3434</v>
      </c>
      <c r="G243" s="98">
        <v>18.75</v>
      </c>
      <c r="H243" s="98">
        <f t="shared" si="33"/>
        <v>6.43875</v>
      </c>
    </row>
    <row r="244" spans="1:8" s="21" customFormat="1" ht="14.25">
      <c r="A244" s="74" t="s">
        <v>71</v>
      </c>
      <c r="B244" s="75" t="s">
        <v>288</v>
      </c>
      <c r="C244" s="75" t="s">
        <v>41</v>
      </c>
      <c r="D244" s="77" t="s">
        <v>128</v>
      </c>
      <c r="E244" s="75" t="s">
        <v>61</v>
      </c>
      <c r="F244" s="101">
        <v>0.3434</v>
      </c>
      <c r="G244" s="98">
        <v>24.32</v>
      </c>
      <c r="H244" s="98">
        <f t="shared" si="33"/>
        <v>8.351488</v>
      </c>
    </row>
    <row r="245" spans="1:8" s="21" customFormat="1" ht="14.25">
      <c r="A245" s="138"/>
      <c r="B245" s="80"/>
      <c r="C245" s="80"/>
      <c r="D245" s="80"/>
      <c r="E245" s="80"/>
      <c r="F245" s="81"/>
      <c r="G245" s="80"/>
      <c r="H245" s="81"/>
    </row>
    <row r="246" spans="1:8" s="89" customFormat="1" ht="15">
      <c r="A246" s="88" t="s">
        <v>312</v>
      </c>
      <c r="B246" s="88" t="s">
        <v>6</v>
      </c>
      <c r="C246" s="88" t="s">
        <v>7</v>
      </c>
      <c r="D246" s="88" t="s">
        <v>8</v>
      </c>
      <c r="E246" s="88" t="s">
        <v>9</v>
      </c>
      <c r="F246" s="88" t="s">
        <v>10</v>
      </c>
      <c r="G246" s="88" t="s">
        <v>11</v>
      </c>
      <c r="H246" s="88" t="s">
        <v>12</v>
      </c>
    </row>
    <row r="247" spans="1:8" s="87" customFormat="1" ht="38.25">
      <c r="A247" s="153" t="s">
        <v>71</v>
      </c>
      <c r="B247" s="153">
        <v>95787</v>
      </c>
      <c r="C247" s="153" t="s">
        <v>41</v>
      </c>
      <c r="D247" s="154" t="s">
        <v>311</v>
      </c>
      <c r="E247" s="159" t="s">
        <v>17</v>
      </c>
      <c r="F247" s="157"/>
      <c r="G247" s="158"/>
      <c r="H247" s="158">
        <f>SUM(H248:H251)</f>
        <v>26.483083</v>
      </c>
    </row>
    <row r="248" spans="1:8" s="21" customFormat="1" ht="25.5">
      <c r="A248" s="75" t="s">
        <v>70</v>
      </c>
      <c r="B248" s="75">
        <v>2593</v>
      </c>
      <c r="C248" s="75" t="s">
        <v>41</v>
      </c>
      <c r="D248" s="77" t="s">
        <v>82</v>
      </c>
      <c r="E248" s="75" t="s">
        <v>17</v>
      </c>
      <c r="F248" s="101">
        <v>1</v>
      </c>
      <c r="G248" s="98">
        <v>9.73</v>
      </c>
      <c r="H248" s="98">
        <f aca="true" t="shared" si="34" ref="H248:H251">F248*G248</f>
        <v>9.73</v>
      </c>
    </row>
    <row r="249" spans="1:8" s="21" customFormat="1" ht="38.25">
      <c r="A249" s="75" t="s">
        <v>70</v>
      </c>
      <c r="B249" s="75" t="s">
        <v>273</v>
      </c>
      <c r="C249" s="75" t="s">
        <v>41</v>
      </c>
      <c r="D249" s="77" t="s">
        <v>78</v>
      </c>
      <c r="E249" s="75" t="s">
        <v>17</v>
      </c>
      <c r="F249" s="101">
        <v>2</v>
      </c>
      <c r="G249" s="98">
        <v>0.26</v>
      </c>
      <c r="H249" s="98">
        <f t="shared" si="34"/>
        <v>0.52</v>
      </c>
    </row>
    <row r="250" spans="1:8" s="21" customFormat="1" ht="14.25">
      <c r="A250" s="74" t="s">
        <v>71</v>
      </c>
      <c r="B250" s="75" t="s">
        <v>287</v>
      </c>
      <c r="C250" s="75" t="s">
        <v>41</v>
      </c>
      <c r="D250" s="77" t="s">
        <v>291</v>
      </c>
      <c r="E250" s="75" t="s">
        <v>61</v>
      </c>
      <c r="F250" s="101">
        <v>0.3769</v>
      </c>
      <c r="G250" s="98">
        <v>18.75</v>
      </c>
      <c r="H250" s="98">
        <f t="shared" si="34"/>
        <v>7.0668750000000005</v>
      </c>
    </row>
    <row r="251" spans="1:8" s="21" customFormat="1" ht="14.25">
      <c r="A251" s="74" t="s">
        <v>71</v>
      </c>
      <c r="B251" s="75" t="s">
        <v>288</v>
      </c>
      <c r="C251" s="75" t="s">
        <v>41</v>
      </c>
      <c r="D251" s="77" t="s">
        <v>128</v>
      </c>
      <c r="E251" s="75" t="s">
        <v>61</v>
      </c>
      <c r="F251" s="101">
        <v>0.3769</v>
      </c>
      <c r="G251" s="98">
        <v>24.32</v>
      </c>
      <c r="H251" s="98">
        <f t="shared" si="34"/>
        <v>9.166208000000001</v>
      </c>
    </row>
    <row r="252" spans="1:8" s="21" customFormat="1" ht="14.25">
      <c r="A252" s="79"/>
      <c r="B252" s="80"/>
      <c r="C252" s="80"/>
      <c r="D252" s="80"/>
      <c r="E252" s="80"/>
      <c r="F252" s="81"/>
      <c r="G252" s="80"/>
      <c r="H252" s="81"/>
    </row>
    <row r="253" spans="1:8" s="89" customFormat="1" ht="15">
      <c r="A253" s="88" t="s">
        <v>313</v>
      </c>
      <c r="B253" s="88" t="s">
        <v>6</v>
      </c>
      <c r="C253" s="88" t="s">
        <v>7</v>
      </c>
      <c r="D253" s="88" t="s">
        <v>8</v>
      </c>
      <c r="E253" s="88" t="s">
        <v>9</v>
      </c>
      <c r="F253" s="88" t="s">
        <v>10</v>
      </c>
      <c r="G253" s="88" t="s">
        <v>11</v>
      </c>
      <c r="H253" s="88" t="s">
        <v>12</v>
      </c>
    </row>
    <row r="254" spans="1:8" s="87" customFormat="1" ht="38.25">
      <c r="A254" s="153" t="s">
        <v>71</v>
      </c>
      <c r="B254" s="153">
        <v>95795</v>
      </c>
      <c r="C254" s="153" t="s">
        <v>41</v>
      </c>
      <c r="D254" s="154" t="s">
        <v>314</v>
      </c>
      <c r="E254" s="159" t="s">
        <v>17</v>
      </c>
      <c r="F254" s="157"/>
      <c r="G254" s="158"/>
      <c r="H254" s="158">
        <f>SUM(H255:H258)</f>
        <v>30.552976</v>
      </c>
    </row>
    <row r="255" spans="1:8" s="21" customFormat="1" ht="25.5">
      <c r="A255" s="75" t="s">
        <v>70</v>
      </c>
      <c r="B255" s="75" t="s">
        <v>315</v>
      </c>
      <c r="C255" s="75" t="s">
        <v>41</v>
      </c>
      <c r="D255" s="77" t="s">
        <v>83</v>
      </c>
      <c r="E255" s="75" t="s">
        <v>17</v>
      </c>
      <c r="F255" s="101">
        <v>1</v>
      </c>
      <c r="G255" s="76">
        <v>11.22</v>
      </c>
      <c r="H255" s="98">
        <f aca="true" t="shared" si="35" ref="H255:H258">F255*G255</f>
        <v>11.22</v>
      </c>
    </row>
    <row r="256" spans="1:8" s="21" customFormat="1" ht="38.25">
      <c r="A256" s="75" t="s">
        <v>70</v>
      </c>
      <c r="B256" s="75" t="s">
        <v>273</v>
      </c>
      <c r="C256" s="75" t="s">
        <v>41</v>
      </c>
      <c r="D256" s="77" t="s">
        <v>78</v>
      </c>
      <c r="E256" s="75" t="s">
        <v>17</v>
      </c>
      <c r="F256" s="101">
        <v>2</v>
      </c>
      <c r="G256" s="76">
        <v>0.26</v>
      </c>
      <c r="H256" s="98">
        <f t="shared" si="35"/>
        <v>0.52</v>
      </c>
    </row>
    <row r="257" spans="1:8" s="21" customFormat="1" ht="14.25">
      <c r="A257" s="74" t="s">
        <v>71</v>
      </c>
      <c r="B257" s="75" t="s">
        <v>287</v>
      </c>
      <c r="C257" s="75" t="s">
        <v>41</v>
      </c>
      <c r="D257" s="77" t="s">
        <v>291</v>
      </c>
      <c r="E257" s="75" t="s">
        <v>61</v>
      </c>
      <c r="F257" s="101">
        <v>0.4368</v>
      </c>
      <c r="G257" s="76">
        <v>18.75</v>
      </c>
      <c r="H257" s="98">
        <f t="shared" si="35"/>
        <v>8.190000000000001</v>
      </c>
    </row>
    <row r="258" spans="1:8" s="21" customFormat="1" ht="14.25">
      <c r="A258" s="74" t="s">
        <v>71</v>
      </c>
      <c r="B258" s="75" t="s">
        <v>288</v>
      </c>
      <c r="C258" s="75" t="s">
        <v>41</v>
      </c>
      <c r="D258" s="77" t="s">
        <v>128</v>
      </c>
      <c r="E258" s="75" t="s">
        <v>61</v>
      </c>
      <c r="F258" s="101">
        <v>0.4368</v>
      </c>
      <c r="G258" s="76">
        <v>24.32</v>
      </c>
      <c r="H258" s="98">
        <f t="shared" si="35"/>
        <v>10.622976000000001</v>
      </c>
    </row>
    <row r="259" spans="1:8" s="21" customFormat="1" ht="14.25">
      <c r="A259" s="138"/>
      <c r="B259" s="80"/>
      <c r="C259" s="80"/>
      <c r="D259" s="80"/>
      <c r="E259" s="80"/>
      <c r="F259" s="81"/>
      <c r="G259" s="80"/>
      <c r="H259" s="81"/>
    </row>
    <row r="260" spans="1:8" s="89" customFormat="1" ht="15">
      <c r="A260" s="88" t="s">
        <v>316</v>
      </c>
      <c r="B260" s="88" t="s">
        <v>6</v>
      </c>
      <c r="C260" s="88" t="s">
        <v>7</v>
      </c>
      <c r="D260" s="88" t="s">
        <v>8</v>
      </c>
      <c r="E260" s="88" t="s">
        <v>9</v>
      </c>
      <c r="F260" s="88" t="s">
        <v>10</v>
      </c>
      <c r="G260" s="88" t="s">
        <v>11</v>
      </c>
      <c r="H260" s="88" t="s">
        <v>12</v>
      </c>
    </row>
    <row r="261" spans="1:8" s="94" customFormat="1" ht="15">
      <c r="A261" s="153" t="s">
        <v>71</v>
      </c>
      <c r="B261" s="153">
        <v>71151</v>
      </c>
      <c r="C261" s="153" t="s">
        <v>115</v>
      </c>
      <c r="D261" s="154" t="s">
        <v>44</v>
      </c>
      <c r="E261" s="159" t="s">
        <v>17</v>
      </c>
      <c r="F261" s="167"/>
      <c r="G261" s="156"/>
      <c r="H261" s="158">
        <f>SUM(H262:H264)</f>
        <v>10.879100000000001</v>
      </c>
    </row>
    <row r="262" spans="1:8" s="21" customFormat="1" ht="25.5">
      <c r="A262" s="75" t="s">
        <v>70</v>
      </c>
      <c r="B262" s="75">
        <v>2633</v>
      </c>
      <c r="C262" s="75" t="s">
        <v>41</v>
      </c>
      <c r="D262" s="77" t="s">
        <v>317</v>
      </c>
      <c r="E262" s="75" t="s">
        <v>17</v>
      </c>
      <c r="F262" s="78">
        <v>1</v>
      </c>
      <c r="G262" s="78">
        <v>5.28</v>
      </c>
      <c r="H262" s="98">
        <f aca="true" t="shared" si="36" ref="H262:H264">F262*G262</f>
        <v>5.28</v>
      </c>
    </row>
    <row r="263" spans="1:8" s="21" customFormat="1" ht="14.25">
      <c r="A263" s="74" t="s">
        <v>71</v>
      </c>
      <c r="B263" s="75">
        <v>88247</v>
      </c>
      <c r="C263" s="75" t="s">
        <v>41</v>
      </c>
      <c r="D263" s="77" t="s">
        <v>291</v>
      </c>
      <c r="E263" s="75" t="s">
        <v>61</v>
      </c>
      <c r="F263" s="78">
        <v>0.13</v>
      </c>
      <c r="G263" s="76">
        <v>18.75</v>
      </c>
      <c r="H263" s="98">
        <f t="shared" si="36"/>
        <v>2.4375</v>
      </c>
    </row>
    <row r="264" spans="1:8" s="21" customFormat="1" ht="14.25">
      <c r="A264" s="74" t="s">
        <v>71</v>
      </c>
      <c r="B264" s="75">
        <v>88264</v>
      </c>
      <c r="C264" s="75" t="s">
        <v>41</v>
      </c>
      <c r="D264" s="77" t="s">
        <v>128</v>
      </c>
      <c r="E264" s="75" t="s">
        <v>61</v>
      </c>
      <c r="F264" s="78">
        <v>0.13</v>
      </c>
      <c r="G264" s="76">
        <v>24.32</v>
      </c>
      <c r="H264" s="98">
        <f t="shared" si="36"/>
        <v>3.1616</v>
      </c>
    </row>
    <row r="265" spans="1:8" s="21" customFormat="1" ht="14.25">
      <c r="A265" s="79"/>
      <c r="B265" s="80"/>
      <c r="C265" s="80"/>
      <c r="D265" s="80"/>
      <c r="E265" s="80"/>
      <c r="F265" s="81"/>
      <c r="G265" s="80"/>
      <c r="H265" s="81"/>
    </row>
    <row r="266" spans="1:8" s="89" customFormat="1" ht="15">
      <c r="A266" s="88" t="s">
        <v>342</v>
      </c>
      <c r="B266" s="88" t="s">
        <v>6</v>
      </c>
      <c r="C266" s="88" t="s">
        <v>7</v>
      </c>
      <c r="D266" s="88" t="s">
        <v>8</v>
      </c>
      <c r="E266" s="88" t="s">
        <v>9</v>
      </c>
      <c r="F266" s="88" t="s">
        <v>10</v>
      </c>
      <c r="G266" s="88" t="s">
        <v>11</v>
      </c>
      <c r="H266" s="88" t="s">
        <v>12</v>
      </c>
    </row>
    <row r="267" spans="1:8" s="94" customFormat="1" ht="38.25">
      <c r="A267" s="153" t="s">
        <v>71</v>
      </c>
      <c r="B267" s="153">
        <v>95757</v>
      </c>
      <c r="C267" s="153" t="s">
        <v>41</v>
      </c>
      <c r="D267" s="154" t="s">
        <v>343</v>
      </c>
      <c r="E267" s="159" t="s">
        <v>17</v>
      </c>
      <c r="F267" s="167"/>
      <c r="G267" s="156"/>
      <c r="H267" s="158">
        <f>SUM(H268:H270)</f>
        <v>9.858889000000001</v>
      </c>
    </row>
    <row r="268" spans="1:8" s="21" customFormat="1" ht="25.5">
      <c r="A268" s="75" t="s">
        <v>70</v>
      </c>
      <c r="B268" s="75" t="s">
        <v>344</v>
      </c>
      <c r="C268" s="75" t="s">
        <v>41</v>
      </c>
      <c r="D268" s="77" t="s">
        <v>345</v>
      </c>
      <c r="E268" s="75" t="s">
        <v>17</v>
      </c>
      <c r="F268" s="101">
        <v>1</v>
      </c>
      <c r="G268" s="78">
        <v>1.99</v>
      </c>
      <c r="H268" s="98">
        <f aca="true" t="shared" si="37" ref="H268:H270">F268*G268</f>
        <v>1.99</v>
      </c>
    </row>
    <row r="269" spans="1:8" s="21" customFormat="1" ht="14.25">
      <c r="A269" s="74" t="s">
        <v>71</v>
      </c>
      <c r="B269" s="75" t="s">
        <v>287</v>
      </c>
      <c r="C269" s="75" t="s">
        <v>41</v>
      </c>
      <c r="D269" s="77" t="s">
        <v>291</v>
      </c>
      <c r="E269" s="75" t="s">
        <v>61</v>
      </c>
      <c r="F269" s="101">
        <v>0.1827</v>
      </c>
      <c r="G269" s="76">
        <v>18.75</v>
      </c>
      <c r="H269" s="98">
        <f t="shared" si="37"/>
        <v>3.425625</v>
      </c>
    </row>
    <row r="270" spans="1:8" s="21" customFormat="1" ht="14.25">
      <c r="A270" s="74" t="s">
        <v>71</v>
      </c>
      <c r="B270" s="75" t="s">
        <v>288</v>
      </c>
      <c r="C270" s="75" t="s">
        <v>41</v>
      </c>
      <c r="D270" s="77" t="s">
        <v>128</v>
      </c>
      <c r="E270" s="75" t="s">
        <v>61</v>
      </c>
      <c r="F270" s="101">
        <v>0.1827</v>
      </c>
      <c r="G270" s="76">
        <v>24.32</v>
      </c>
      <c r="H270" s="98">
        <f t="shared" si="37"/>
        <v>4.443264</v>
      </c>
    </row>
    <row r="271" spans="1:8" s="21" customFormat="1" ht="14.25">
      <c r="A271" s="79"/>
      <c r="B271" s="80"/>
      <c r="C271" s="80"/>
      <c r="D271" s="80"/>
      <c r="E271" s="80"/>
      <c r="F271" s="81"/>
      <c r="G271" s="80"/>
      <c r="H271" s="81"/>
    </row>
    <row r="272" spans="1:8" s="89" customFormat="1" ht="15">
      <c r="A272" s="88" t="s">
        <v>323</v>
      </c>
      <c r="B272" s="88" t="s">
        <v>6</v>
      </c>
      <c r="C272" s="88" t="s">
        <v>7</v>
      </c>
      <c r="D272" s="88" t="s">
        <v>8</v>
      </c>
      <c r="E272" s="88" t="s">
        <v>9</v>
      </c>
      <c r="F272" s="88" t="s">
        <v>10</v>
      </c>
      <c r="G272" s="88" t="s">
        <v>11</v>
      </c>
      <c r="H272" s="88" t="s">
        <v>12</v>
      </c>
    </row>
    <row r="273" spans="1:8" s="87" customFormat="1" ht="25.5">
      <c r="A273" s="153" t="s">
        <v>71</v>
      </c>
      <c r="B273" s="153">
        <v>93668</v>
      </c>
      <c r="C273" s="160" t="s">
        <v>186</v>
      </c>
      <c r="D273" s="154" t="s">
        <v>318</v>
      </c>
      <c r="E273" s="159" t="s">
        <v>17</v>
      </c>
      <c r="F273" s="157"/>
      <c r="G273" s="158"/>
      <c r="H273" s="158">
        <f>SUM(H274:H277)</f>
        <v>68.790396</v>
      </c>
    </row>
    <row r="274" spans="1:8" s="21" customFormat="1" ht="25.5">
      <c r="A274" s="75" t="s">
        <v>70</v>
      </c>
      <c r="B274" s="75" t="s">
        <v>319</v>
      </c>
      <c r="C274" s="75" t="s">
        <v>41</v>
      </c>
      <c r="D274" s="77" t="s">
        <v>321</v>
      </c>
      <c r="E274" s="75" t="s">
        <v>17</v>
      </c>
      <c r="F274" s="168">
        <v>3</v>
      </c>
      <c r="G274" s="98">
        <v>0.87</v>
      </c>
      <c r="H274" s="98">
        <f aca="true" t="shared" si="38" ref="H274:H277">F274*G274</f>
        <v>2.61</v>
      </c>
    </row>
    <row r="275" spans="1:8" s="21" customFormat="1" ht="14.25">
      <c r="A275" s="75" t="s">
        <v>70</v>
      </c>
      <c r="B275" s="75" t="s">
        <v>320</v>
      </c>
      <c r="C275" s="75" t="s">
        <v>41</v>
      </c>
      <c r="D275" s="77" t="s">
        <v>322</v>
      </c>
      <c r="E275" s="75" t="s">
        <v>17</v>
      </c>
      <c r="F275" s="168">
        <v>1</v>
      </c>
      <c r="G275" s="98">
        <v>60.03</v>
      </c>
      <c r="H275" s="98">
        <f t="shared" si="38"/>
        <v>60.03</v>
      </c>
    </row>
    <row r="276" spans="1:8" s="21" customFormat="1" ht="14.25">
      <c r="A276" s="74" t="s">
        <v>71</v>
      </c>
      <c r="B276" s="75" t="s">
        <v>287</v>
      </c>
      <c r="C276" s="75" t="s">
        <v>41</v>
      </c>
      <c r="D276" s="77" t="s">
        <v>291</v>
      </c>
      <c r="E276" s="75" t="s">
        <v>61</v>
      </c>
      <c r="F276" s="86">
        <v>0.1428</v>
      </c>
      <c r="G276" s="98">
        <v>18.75</v>
      </c>
      <c r="H276" s="98">
        <f t="shared" si="38"/>
        <v>2.6775</v>
      </c>
    </row>
    <row r="277" spans="1:8" s="21" customFormat="1" ht="14.25">
      <c r="A277" s="74" t="s">
        <v>71</v>
      </c>
      <c r="B277" s="75" t="s">
        <v>288</v>
      </c>
      <c r="C277" s="75" t="s">
        <v>41</v>
      </c>
      <c r="D277" s="77" t="s">
        <v>128</v>
      </c>
      <c r="E277" s="75" t="s">
        <v>61</v>
      </c>
      <c r="F277" s="86">
        <v>0.1428</v>
      </c>
      <c r="G277" s="98">
        <v>24.32</v>
      </c>
      <c r="H277" s="98">
        <f t="shared" si="38"/>
        <v>3.4728960000000004</v>
      </c>
    </row>
    <row r="278" spans="1:8" s="21" customFormat="1" ht="14.25">
      <c r="A278" s="79"/>
      <c r="B278" s="80"/>
      <c r="C278" s="80"/>
      <c r="D278" s="80"/>
      <c r="E278" s="80"/>
      <c r="F278" s="81"/>
      <c r="G278" s="80"/>
      <c r="H278" s="81"/>
    </row>
    <row r="279" spans="1:8" s="89" customFormat="1" ht="15">
      <c r="A279" s="88" t="s">
        <v>324</v>
      </c>
      <c r="B279" s="88" t="s">
        <v>6</v>
      </c>
      <c r="C279" s="88" t="s">
        <v>7</v>
      </c>
      <c r="D279" s="88" t="s">
        <v>8</v>
      </c>
      <c r="E279" s="88" t="s">
        <v>9</v>
      </c>
      <c r="F279" s="88" t="s">
        <v>10</v>
      </c>
      <c r="G279" s="88" t="s">
        <v>11</v>
      </c>
      <c r="H279" s="88" t="s">
        <v>12</v>
      </c>
    </row>
    <row r="280" spans="1:8" s="87" customFormat="1" ht="15">
      <c r="A280" s="153" t="s">
        <v>71</v>
      </c>
      <c r="B280" s="153">
        <v>71175</v>
      </c>
      <c r="C280" s="153" t="s">
        <v>115</v>
      </c>
      <c r="D280" s="154" t="s">
        <v>46</v>
      </c>
      <c r="E280" s="159" t="s">
        <v>17</v>
      </c>
      <c r="F280" s="157"/>
      <c r="G280" s="158"/>
      <c r="H280" s="158">
        <f>SUM(H281:H283)</f>
        <v>247.243</v>
      </c>
    </row>
    <row r="281" spans="1:8" s="21" customFormat="1" ht="14.25">
      <c r="A281" s="75" t="s">
        <v>70</v>
      </c>
      <c r="B281" s="75">
        <v>3269</v>
      </c>
      <c r="C281" s="75" t="s">
        <v>109</v>
      </c>
      <c r="D281" s="77" t="s">
        <v>46</v>
      </c>
      <c r="E281" s="75" t="s">
        <v>17</v>
      </c>
      <c r="F281" s="177">
        <v>1</v>
      </c>
      <c r="G281" s="98">
        <v>208.48</v>
      </c>
      <c r="H281" s="98">
        <f aca="true" t="shared" si="39" ref="H281:H283">F281*G281</f>
        <v>208.48</v>
      </c>
    </row>
    <row r="282" spans="1:8" s="21" customFormat="1" ht="14.25">
      <c r="A282" s="74" t="s">
        <v>71</v>
      </c>
      <c r="B282" s="75" t="s">
        <v>287</v>
      </c>
      <c r="C282" s="75" t="s">
        <v>41</v>
      </c>
      <c r="D282" s="77" t="s">
        <v>291</v>
      </c>
      <c r="E282" s="75" t="s">
        <v>61</v>
      </c>
      <c r="F282" s="177">
        <v>0.9</v>
      </c>
      <c r="G282" s="98">
        <v>18.75</v>
      </c>
      <c r="H282" s="98">
        <f t="shared" si="39"/>
        <v>16.875</v>
      </c>
    </row>
    <row r="283" spans="1:8" s="21" customFormat="1" ht="14.25">
      <c r="A283" s="74" t="s">
        <v>71</v>
      </c>
      <c r="B283" s="75" t="s">
        <v>288</v>
      </c>
      <c r="C283" s="75" t="s">
        <v>41</v>
      </c>
      <c r="D283" s="77" t="s">
        <v>128</v>
      </c>
      <c r="E283" s="75" t="s">
        <v>61</v>
      </c>
      <c r="F283" s="177">
        <v>0.9</v>
      </c>
      <c r="G283" s="98">
        <v>24.32</v>
      </c>
      <c r="H283" s="98">
        <f t="shared" si="39"/>
        <v>21.888</v>
      </c>
    </row>
    <row r="284" spans="1:8" s="21" customFormat="1" ht="14.25">
      <c r="A284" s="79"/>
      <c r="B284" s="80"/>
      <c r="C284" s="80"/>
      <c r="D284" s="80"/>
      <c r="E284" s="80"/>
      <c r="F284" s="81"/>
      <c r="G284" s="80"/>
      <c r="H284" s="81"/>
    </row>
    <row r="285" spans="1:8" s="89" customFormat="1" ht="15">
      <c r="A285" s="88" t="s">
        <v>335</v>
      </c>
      <c r="B285" s="88" t="s">
        <v>6</v>
      </c>
      <c r="C285" s="88" t="s">
        <v>7</v>
      </c>
      <c r="D285" s="88" t="s">
        <v>8</v>
      </c>
      <c r="E285" s="88" t="s">
        <v>9</v>
      </c>
      <c r="F285" s="88" t="s">
        <v>10</v>
      </c>
      <c r="G285" s="88" t="s">
        <v>11</v>
      </c>
      <c r="H285" s="88" t="s">
        <v>12</v>
      </c>
    </row>
    <row r="286" spans="1:8" s="87" customFormat="1" ht="38.25">
      <c r="A286" s="153" t="s">
        <v>71</v>
      </c>
      <c r="B286" s="153">
        <v>91834</v>
      </c>
      <c r="C286" s="159" t="s">
        <v>41</v>
      </c>
      <c r="D286" s="154" t="s">
        <v>325</v>
      </c>
      <c r="E286" s="153" t="s">
        <v>24</v>
      </c>
      <c r="F286" s="157"/>
      <c r="G286" s="158"/>
      <c r="H286" s="158">
        <f>SUM(H287:H290)</f>
        <v>7.4049</v>
      </c>
    </row>
    <row r="287" spans="1:8" s="21" customFormat="1" ht="14.25">
      <c r="A287" s="75" t="s">
        <v>70</v>
      </c>
      <c r="B287" s="75" t="s">
        <v>326</v>
      </c>
      <c r="C287" s="75" t="s">
        <v>41</v>
      </c>
      <c r="D287" s="77" t="s">
        <v>328</v>
      </c>
      <c r="E287" s="75" t="s">
        <v>24</v>
      </c>
      <c r="F287" s="178">
        <v>1.1</v>
      </c>
      <c r="G287" s="98">
        <v>1.7</v>
      </c>
      <c r="H287" s="98">
        <f aca="true" t="shared" si="40" ref="H287:H290">F287*G287</f>
        <v>1.87</v>
      </c>
    </row>
    <row r="288" spans="1:8" s="21" customFormat="1" ht="14.25">
      <c r="A288" s="74" t="s">
        <v>71</v>
      </c>
      <c r="B288" s="75" t="s">
        <v>287</v>
      </c>
      <c r="C288" s="75" t="s">
        <v>41</v>
      </c>
      <c r="D288" s="77" t="s">
        <v>291</v>
      </c>
      <c r="E288" s="75" t="s">
        <v>61</v>
      </c>
      <c r="F288" s="178">
        <v>0.07</v>
      </c>
      <c r="G288" s="98">
        <v>18.75</v>
      </c>
      <c r="H288" s="98">
        <f t="shared" si="40"/>
        <v>1.3125000000000002</v>
      </c>
    </row>
    <row r="289" spans="1:8" s="21" customFormat="1" ht="14.25">
      <c r="A289" s="74" t="s">
        <v>71</v>
      </c>
      <c r="B289" s="75" t="s">
        <v>288</v>
      </c>
      <c r="C289" s="75" t="s">
        <v>41</v>
      </c>
      <c r="D289" s="77" t="s">
        <v>128</v>
      </c>
      <c r="E289" s="75" t="s">
        <v>61</v>
      </c>
      <c r="F289" s="178">
        <v>0.07</v>
      </c>
      <c r="G289" s="98">
        <v>24.32</v>
      </c>
      <c r="H289" s="98">
        <f t="shared" si="40"/>
        <v>1.7024000000000001</v>
      </c>
    </row>
    <row r="290" spans="1:8" s="21" customFormat="1" ht="51">
      <c r="A290" s="74" t="s">
        <v>71</v>
      </c>
      <c r="B290" s="75" t="s">
        <v>327</v>
      </c>
      <c r="C290" s="75" t="s">
        <v>41</v>
      </c>
      <c r="D290" s="77" t="s">
        <v>329</v>
      </c>
      <c r="E290" s="75" t="s">
        <v>24</v>
      </c>
      <c r="F290" s="178">
        <v>1</v>
      </c>
      <c r="G290" s="98">
        <v>2.52</v>
      </c>
      <c r="H290" s="98">
        <f t="shared" si="40"/>
        <v>2.52</v>
      </c>
    </row>
    <row r="291" spans="1:8" s="21" customFormat="1" ht="14.25">
      <c r="A291" s="79"/>
      <c r="B291" s="80"/>
      <c r="C291" s="80"/>
      <c r="D291" s="80"/>
      <c r="E291" s="80"/>
      <c r="F291" s="81"/>
      <c r="G291" s="80"/>
      <c r="H291" s="81"/>
    </row>
    <row r="292" spans="1:8" s="89" customFormat="1" ht="15">
      <c r="A292" s="88" t="s">
        <v>336</v>
      </c>
      <c r="B292" s="88" t="s">
        <v>6</v>
      </c>
      <c r="C292" s="88" t="s">
        <v>7</v>
      </c>
      <c r="D292" s="88" t="s">
        <v>8</v>
      </c>
      <c r="E292" s="88" t="s">
        <v>9</v>
      </c>
      <c r="F292" s="88" t="s">
        <v>10</v>
      </c>
      <c r="G292" s="88" t="s">
        <v>11</v>
      </c>
      <c r="H292" s="88" t="s">
        <v>12</v>
      </c>
    </row>
    <row r="293" spans="1:8" s="87" customFormat="1" ht="38.25">
      <c r="A293" s="153" t="s">
        <v>71</v>
      </c>
      <c r="B293" s="153">
        <v>95745</v>
      </c>
      <c r="C293" s="159" t="s">
        <v>41</v>
      </c>
      <c r="D293" s="154" t="s">
        <v>330</v>
      </c>
      <c r="E293" s="153" t="s">
        <v>24</v>
      </c>
      <c r="F293" s="157"/>
      <c r="G293" s="158"/>
      <c r="H293" s="158">
        <f>SUM(H294:H298)</f>
        <v>19.599249999999998</v>
      </c>
    </row>
    <row r="294" spans="1:8" s="87" customFormat="1" ht="25.5">
      <c r="A294" s="75" t="s">
        <v>70</v>
      </c>
      <c r="B294" s="171" t="s">
        <v>331</v>
      </c>
      <c r="C294" s="75" t="s">
        <v>41</v>
      </c>
      <c r="D294" s="179" t="s">
        <v>333</v>
      </c>
      <c r="E294" s="171" t="s">
        <v>24</v>
      </c>
      <c r="F294" s="180">
        <v>1.05</v>
      </c>
      <c r="G294" s="181">
        <v>10.81</v>
      </c>
      <c r="H294" s="98">
        <f aca="true" t="shared" si="41" ref="H294:H298">F294*G294</f>
        <v>11.3505</v>
      </c>
    </row>
    <row r="295" spans="1:8" s="21" customFormat="1" ht="38.25">
      <c r="A295" s="74" t="s">
        <v>71</v>
      </c>
      <c r="B295" s="75" t="s">
        <v>332</v>
      </c>
      <c r="C295" s="75" t="s">
        <v>41</v>
      </c>
      <c r="D295" s="165" t="s">
        <v>334</v>
      </c>
      <c r="E295" s="75" t="s">
        <v>17</v>
      </c>
      <c r="F295" s="182">
        <v>0.3333</v>
      </c>
      <c r="G295" s="183">
        <v>6.54</v>
      </c>
      <c r="H295" s="98">
        <f>F295*G295</f>
        <v>2.179782</v>
      </c>
    </row>
    <row r="296" spans="1:8" s="87" customFormat="1" ht="15">
      <c r="A296" s="74" t="s">
        <v>71</v>
      </c>
      <c r="B296" s="171" t="s">
        <v>287</v>
      </c>
      <c r="C296" s="75" t="s">
        <v>41</v>
      </c>
      <c r="D296" s="179" t="s">
        <v>291</v>
      </c>
      <c r="E296" s="171" t="s">
        <v>61</v>
      </c>
      <c r="F296" s="180">
        <v>0.0824</v>
      </c>
      <c r="G296" s="181">
        <v>18.75</v>
      </c>
      <c r="H296" s="98">
        <f t="shared" si="41"/>
        <v>1.545</v>
      </c>
    </row>
    <row r="297" spans="1:8" s="21" customFormat="1" ht="14.25">
      <c r="A297" s="74" t="s">
        <v>71</v>
      </c>
      <c r="B297" s="75" t="s">
        <v>288</v>
      </c>
      <c r="C297" s="75" t="s">
        <v>41</v>
      </c>
      <c r="D297" s="165" t="s">
        <v>128</v>
      </c>
      <c r="E297" s="164" t="s">
        <v>61</v>
      </c>
      <c r="F297" s="182">
        <v>0.0824</v>
      </c>
      <c r="G297" s="183">
        <v>24.32</v>
      </c>
      <c r="H297" s="98">
        <f t="shared" si="41"/>
        <v>2.003968</v>
      </c>
    </row>
    <row r="298" spans="1:8" s="21" customFormat="1" ht="51">
      <c r="A298" s="74" t="s">
        <v>71</v>
      </c>
      <c r="B298" s="75" t="s">
        <v>327</v>
      </c>
      <c r="C298" s="75" t="s">
        <v>41</v>
      </c>
      <c r="D298" s="165" t="s">
        <v>329</v>
      </c>
      <c r="E298" s="164" t="s">
        <v>24</v>
      </c>
      <c r="F298" s="182">
        <v>1</v>
      </c>
      <c r="G298" s="183">
        <v>2.52</v>
      </c>
      <c r="H298" s="98">
        <f t="shared" si="41"/>
        <v>2.52</v>
      </c>
    </row>
    <row r="299" spans="1:8" s="21" customFormat="1" ht="14.25">
      <c r="A299" s="79"/>
      <c r="B299" s="80"/>
      <c r="C299" s="80"/>
      <c r="D299" s="80"/>
      <c r="E299" s="80"/>
      <c r="F299" s="81"/>
      <c r="G299" s="80"/>
      <c r="H299" s="81"/>
    </row>
    <row r="300" spans="1:8" s="89" customFormat="1" ht="15">
      <c r="A300" s="88" t="s">
        <v>337</v>
      </c>
      <c r="B300" s="88" t="s">
        <v>6</v>
      </c>
      <c r="C300" s="88" t="s">
        <v>7</v>
      </c>
      <c r="D300" s="88" t="s">
        <v>8</v>
      </c>
      <c r="E300" s="88" t="s">
        <v>9</v>
      </c>
      <c r="F300" s="88" t="s">
        <v>10</v>
      </c>
      <c r="G300" s="88" t="s">
        <v>11</v>
      </c>
      <c r="H300" s="88" t="s">
        <v>12</v>
      </c>
    </row>
    <row r="301" spans="1:8" s="87" customFormat="1" ht="25.5">
      <c r="A301" s="153" t="s">
        <v>71</v>
      </c>
      <c r="B301" s="153">
        <v>71196</v>
      </c>
      <c r="C301" s="153" t="s">
        <v>115</v>
      </c>
      <c r="D301" s="154" t="s">
        <v>47</v>
      </c>
      <c r="E301" s="153" t="s">
        <v>40</v>
      </c>
      <c r="F301" s="157"/>
      <c r="G301" s="158"/>
      <c r="H301" s="158">
        <f>SUM(H302:H304)</f>
        <v>10.904</v>
      </c>
    </row>
    <row r="302" spans="1:8" s="21" customFormat="1" ht="25.5">
      <c r="A302" s="75" t="s">
        <v>70</v>
      </c>
      <c r="B302" s="75" t="s">
        <v>84</v>
      </c>
      <c r="C302" s="75" t="s">
        <v>109</v>
      </c>
      <c r="D302" s="77" t="s">
        <v>85</v>
      </c>
      <c r="E302" s="75" t="s">
        <v>24</v>
      </c>
      <c r="F302" s="78">
        <v>1</v>
      </c>
      <c r="G302" s="98">
        <v>2.29</v>
      </c>
      <c r="H302" s="98">
        <f aca="true" t="shared" si="42" ref="H302:H304">F302*G302</f>
        <v>2.29</v>
      </c>
    </row>
    <row r="303" spans="1:8" s="87" customFormat="1" ht="15">
      <c r="A303" s="74" t="s">
        <v>71</v>
      </c>
      <c r="B303" s="171" t="s">
        <v>287</v>
      </c>
      <c r="C303" s="75" t="s">
        <v>41</v>
      </c>
      <c r="D303" s="179" t="s">
        <v>291</v>
      </c>
      <c r="E303" s="171" t="s">
        <v>61</v>
      </c>
      <c r="F303" s="184">
        <v>0.2</v>
      </c>
      <c r="G303" s="181">
        <v>18.75</v>
      </c>
      <c r="H303" s="98">
        <f t="shared" si="42"/>
        <v>3.75</v>
      </c>
    </row>
    <row r="304" spans="1:8" s="21" customFormat="1" ht="14.25">
      <c r="A304" s="74" t="s">
        <v>71</v>
      </c>
      <c r="B304" s="75" t="s">
        <v>288</v>
      </c>
      <c r="C304" s="75" t="s">
        <v>41</v>
      </c>
      <c r="D304" s="165" t="s">
        <v>128</v>
      </c>
      <c r="E304" s="164" t="s">
        <v>61</v>
      </c>
      <c r="F304" s="162">
        <v>0.2</v>
      </c>
      <c r="G304" s="183">
        <v>24.32</v>
      </c>
      <c r="H304" s="98">
        <f t="shared" si="42"/>
        <v>4.864000000000001</v>
      </c>
    </row>
    <row r="305" spans="1:8" s="21" customFormat="1" ht="14.25">
      <c r="A305" s="79"/>
      <c r="B305" s="80"/>
      <c r="C305" s="80"/>
      <c r="D305" s="80"/>
      <c r="E305" s="80"/>
      <c r="F305" s="81"/>
      <c r="G305" s="80"/>
      <c r="H305" s="81"/>
    </row>
    <row r="306" spans="1:8" s="89" customFormat="1" ht="15">
      <c r="A306" s="88" t="s">
        <v>338</v>
      </c>
      <c r="B306" s="88" t="s">
        <v>6</v>
      </c>
      <c r="C306" s="88" t="s">
        <v>7</v>
      </c>
      <c r="D306" s="88" t="s">
        <v>8</v>
      </c>
      <c r="E306" s="88" t="s">
        <v>9</v>
      </c>
      <c r="F306" s="88" t="s">
        <v>10</v>
      </c>
      <c r="G306" s="88" t="s">
        <v>11</v>
      </c>
      <c r="H306" s="88" t="s">
        <v>12</v>
      </c>
    </row>
    <row r="307" spans="1:8" s="87" customFormat="1" ht="25.5">
      <c r="A307" s="153" t="s">
        <v>71</v>
      </c>
      <c r="B307" s="153">
        <v>71198</v>
      </c>
      <c r="C307" s="154" t="s">
        <v>115</v>
      </c>
      <c r="D307" s="154" t="s">
        <v>48</v>
      </c>
      <c r="E307" s="153" t="s">
        <v>24</v>
      </c>
      <c r="F307" s="157"/>
      <c r="G307" s="158"/>
      <c r="H307" s="158">
        <f>SUM(H308:H310)</f>
        <v>25.255000000000003</v>
      </c>
    </row>
    <row r="308" spans="1:8" s="21" customFormat="1" ht="25.5">
      <c r="A308" s="75" t="s">
        <v>70</v>
      </c>
      <c r="B308" s="75" t="s">
        <v>86</v>
      </c>
      <c r="C308" s="75" t="s">
        <v>109</v>
      </c>
      <c r="D308" s="77" t="s">
        <v>87</v>
      </c>
      <c r="E308" s="75" t="s">
        <v>24</v>
      </c>
      <c r="F308" s="78">
        <v>1</v>
      </c>
      <c r="G308" s="98">
        <v>3.72</v>
      </c>
      <c r="H308" s="98">
        <f aca="true" t="shared" si="43" ref="H308:H310">F308*G308</f>
        <v>3.72</v>
      </c>
    </row>
    <row r="309" spans="1:8" s="87" customFormat="1" ht="15">
      <c r="A309" s="74" t="s">
        <v>71</v>
      </c>
      <c r="B309" s="171" t="s">
        <v>287</v>
      </c>
      <c r="C309" s="75" t="s">
        <v>41</v>
      </c>
      <c r="D309" s="179" t="s">
        <v>291</v>
      </c>
      <c r="E309" s="171" t="s">
        <v>61</v>
      </c>
      <c r="F309" s="184">
        <v>0.5</v>
      </c>
      <c r="G309" s="181">
        <v>18.75</v>
      </c>
      <c r="H309" s="98">
        <f t="shared" si="43"/>
        <v>9.375</v>
      </c>
    </row>
    <row r="310" spans="1:8" s="21" customFormat="1" ht="14.25">
      <c r="A310" s="74" t="s">
        <v>71</v>
      </c>
      <c r="B310" s="75" t="s">
        <v>288</v>
      </c>
      <c r="C310" s="75" t="s">
        <v>41</v>
      </c>
      <c r="D310" s="165" t="s">
        <v>128</v>
      </c>
      <c r="E310" s="164" t="s">
        <v>61</v>
      </c>
      <c r="F310" s="162">
        <v>0.5</v>
      </c>
      <c r="G310" s="183">
        <v>24.32</v>
      </c>
      <c r="H310" s="98">
        <f t="shared" si="43"/>
        <v>12.16</v>
      </c>
    </row>
    <row r="311" spans="1:8" s="21" customFormat="1" ht="14.25">
      <c r="A311" s="79"/>
      <c r="B311" s="80"/>
      <c r="C311" s="80"/>
      <c r="D311" s="80"/>
      <c r="E311" s="80"/>
      <c r="F311" s="81"/>
      <c r="G311" s="80"/>
      <c r="H311" s="81"/>
    </row>
    <row r="312" spans="1:8" s="89" customFormat="1" ht="15">
      <c r="A312" s="88" t="s">
        <v>339</v>
      </c>
      <c r="B312" s="88" t="s">
        <v>6</v>
      </c>
      <c r="C312" s="88" t="s">
        <v>7</v>
      </c>
      <c r="D312" s="88" t="s">
        <v>8</v>
      </c>
      <c r="E312" s="88" t="s">
        <v>9</v>
      </c>
      <c r="F312" s="88" t="s">
        <v>10</v>
      </c>
      <c r="G312" s="88" t="s">
        <v>11</v>
      </c>
      <c r="H312" s="88" t="s">
        <v>12</v>
      </c>
    </row>
    <row r="313" spans="1:8" s="87" customFormat="1" ht="15">
      <c r="A313" s="153" t="s">
        <v>71</v>
      </c>
      <c r="B313" s="153">
        <v>71258</v>
      </c>
      <c r="C313" s="153" t="s">
        <v>115</v>
      </c>
      <c r="D313" s="154" t="s">
        <v>49</v>
      </c>
      <c r="E313" s="153" t="s">
        <v>24</v>
      </c>
      <c r="F313" s="157"/>
      <c r="G313" s="158"/>
      <c r="H313" s="158">
        <f>SUM(H314:H316)</f>
        <v>157.1</v>
      </c>
    </row>
    <row r="314" spans="1:8" s="21" customFormat="1" ht="14.25">
      <c r="A314" s="75" t="s">
        <v>70</v>
      </c>
      <c r="B314" s="75" t="s">
        <v>88</v>
      </c>
      <c r="C314" s="75" t="s">
        <v>109</v>
      </c>
      <c r="D314" s="77" t="s">
        <v>89</v>
      </c>
      <c r="E314" s="75" t="s">
        <v>24</v>
      </c>
      <c r="F314" s="78">
        <v>1</v>
      </c>
      <c r="G314" s="78">
        <v>70.96</v>
      </c>
      <c r="H314" s="98">
        <f aca="true" t="shared" si="44" ref="H314:H316">F314*G314</f>
        <v>70.96</v>
      </c>
    </row>
    <row r="315" spans="1:8" s="87" customFormat="1" ht="15">
      <c r="A315" s="74" t="s">
        <v>71</v>
      </c>
      <c r="B315" s="171" t="s">
        <v>287</v>
      </c>
      <c r="C315" s="75" t="s">
        <v>41</v>
      </c>
      <c r="D315" s="179" t="s">
        <v>291</v>
      </c>
      <c r="E315" s="171" t="s">
        <v>61</v>
      </c>
      <c r="F315" s="184">
        <v>2</v>
      </c>
      <c r="G315" s="181">
        <v>18.75</v>
      </c>
      <c r="H315" s="98">
        <f t="shared" si="44"/>
        <v>37.5</v>
      </c>
    </row>
    <row r="316" spans="1:8" s="21" customFormat="1" ht="14.25">
      <c r="A316" s="74" t="s">
        <v>71</v>
      </c>
      <c r="B316" s="75">
        <v>88264</v>
      </c>
      <c r="C316" s="75" t="s">
        <v>41</v>
      </c>
      <c r="D316" s="165" t="s">
        <v>128</v>
      </c>
      <c r="E316" s="164" t="s">
        <v>61</v>
      </c>
      <c r="F316" s="162">
        <v>2</v>
      </c>
      <c r="G316" s="183">
        <v>24.32</v>
      </c>
      <c r="H316" s="98">
        <f t="shared" si="44"/>
        <v>48.64</v>
      </c>
    </row>
    <row r="317" spans="1:8" s="21" customFormat="1" ht="14.25">
      <c r="A317" s="79"/>
      <c r="B317" s="80"/>
      <c r="C317" s="80"/>
      <c r="D317" s="80"/>
      <c r="E317" s="80"/>
      <c r="F317" s="81"/>
      <c r="G317" s="80"/>
      <c r="H317" s="81"/>
    </row>
    <row r="318" spans="1:8" s="89" customFormat="1" ht="15">
      <c r="A318" s="88" t="s">
        <v>340</v>
      </c>
      <c r="B318" s="88" t="s">
        <v>6</v>
      </c>
      <c r="C318" s="88" t="s">
        <v>7</v>
      </c>
      <c r="D318" s="88" t="s">
        <v>8</v>
      </c>
      <c r="E318" s="88" t="s">
        <v>9</v>
      </c>
      <c r="F318" s="88" t="s">
        <v>10</v>
      </c>
      <c r="G318" s="88" t="s">
        <v>11</v>
      </c>
      <c r="H318" s="88" t="s">
        <v>12</v>
      </c>
    </row>
    <row r="319" spans="1:8" s="87" customFormat="1" ht="25.5">
      <c r="A319" s="153" t="s">
        <v>71</v>
      </c>
      <c r="B319" s="153">
        <v>91967</v>
      </c>
      <c r="C319" s="153" t="s">
        <v>41</v>
      </c>
      <c r="D319" s="154" t="s">
        <v>50</v>
      </c>
      <c r="E319" s="159" t="s">
        <v>17</v>
      </c>
      <c r="F319" s="158"/>
      <c r="G319" s="158"/>
      <c r="H319" s="158">
        <f>SUM(H320:H321)</f>
        <v>45.81</v>
      </c>
    </row>
    <row r="320" spans="1:8" s="21" customFormat="1" ht="25.5">
      <c r="A320" s="75" t="s">
        <v>71</v>
      </c>
      <c r="B320" s="75" t="s">
        <v>90</v>
      </c>
      <c r="C320" s="75" t="s">
        <v>41</v>
      </c>
      <c r="D320" s="77" t="s">
        <v>91</v>
      </c>
      <c r="E320" s="75" t="s">
        <v>17</v>
      </c>
      <c r="F320" s="78">
        <v>1</v>
      </c>
      <c r="G320" s="78">
        <v>39.46</v>
      </c>
      <c r="H320" s="98">
        <f aca="true" t="shared" si="45" ref="H320:H321">F320*G320</f>
        <v>39.46</v>
      </c>
    </row>
    <row r="321" spans="1:8" s="21" customFormat="1" ht="38.25">
      <c r="A321" s="75" t="s">
        <v>71</v>
      </c>
      <c r="B321" s="75" t="s">
        <v>92</v>
      </c>
      <c r="C321" s="75" t="s">
        <v>41</v>
      </c>
      <c r="D321" s="77" t="s">
        <v>93</v>
      </c>
      <c r="E321" s="75" t="s">
        <v>17</v>
      </c>
      <c r="F321" s="78">
        <v>1</v>
      </c>
      <c r="G321" s="78">
        <v>6.35</v>
      </c>
      <c r="H321" s="98">
        <f t="shared" si="45"/>
        <v>6.35</v>
      </c>
    </row>
    <row r="322" spans="1:8" s="21" customFormat="1" ht="14.25">
      <c r="A322" s="138"/>
      <c r="B322" s="80"/>
      <c r="C322" s="80"/>
      <c r="D322" s="80"/>
      <c r="E322" s="80"/>
      <c r="F322" s="81"/>
      <c r="G322" s="80"/>
      <c r="H322" s="81"/>
    </row>
    <row r="323" spans="1:8" s="89" customFormat="1" ht="15">
      <c r="A323" s="88" t="s">
        <v>341</v>
      </c>
      <c r="B323" s="88" t="s">
        <v>6</v>
      </c>
      <c r="C323" s="88" t="s">
        <v>7</v>
      </c>
      <c r="D323" s="88" t="s">
        <v>8</v>
      </c>
      <c r="E323" s="88" t="s">
        <v>9</v>
      </c>
      <c r="F323" s="88" t="s">
        <v>10</v>
      </c>
      <c r="G323" s="88" t="s">
        <v>11</v>
      </c>
      <c r="H323" s="88" t="s">
        <v>12</v>
      </c>
    </row>
    <row r="324" spans="1:8" s="87" customFormat="1" ht="25.5">
      <c r="A324" s="153" t="s">
        <v>71</v>
      </c>
      <c r="B324" s="153">
        <v>91993</v>
      </c>
      <c r="C324" s="153" t="s">
        <v>41</v>
      </c>
      <c r="D324" s="154" t="s">
        <v>51</v>
      </c>
      <c r="E324" s="159" t="s">
        <v>17</v>
      </c>
      <c r="F324" s="157"/>
      <c r="G324" s="158"/>
      <c r="H324" s="158">
        <f>SUM(H325:H326)</f>
        <v>35.27</v>
      </c>
    </row>
    <row r="325" spans="1:8" s="21" customFormat="1" ht="25.5">
      <c r="A325" s="75" t="s">
        <v>71</v>
      </c>
      <c r="B325" s="75" t="s">
        <v>94</v>
      </c>
      <c r="C325" s="75" t="s">
        <v>41</v>
      </c>
      <c r="D325" s="77" t="s">
        <v>95</v>
      </c>
      <c r="E325" s="75" t="s">
        <v>17</v>
      </c>
      <c r="F325" s="78">
        <v>1</v>
      </c>
      <c r="G325" s="78">
        <v>28.92</v>
      </c>
      <c r="H325" s="98">
        <f aca="true" t="shared" si="46" ref="H325:H326">F325*G325</f>
        <v>28.92</v>
      </c>
    </row>
    <row r="326" spans="1:8" s="21" customFormat="1" ht="38.25">
      <c r="A326" s="75" t="s">
        <v>71</v>
      </c>
      <c r="B326" s="75" t="s">
        <v>92</v>
      </c>
      <c r="C326" s="75" t="s">
        <v>41</v>
      </c>
      <c r="D326" s="77" t="s">
        <v>93</v>
      </c>
      <c r="E326" s="75" t="s">
        <v>17</v>
      </c>
      <c r="F326" s="78">
        <v>1</v>
      </c>
      <c r="G326" s="78">
        <v>6.35</v>
      </c>
      <c r="H326" s="98">
        <f t="shared" si="46"/>
        <v>6.35</v>
      </c>
    </row>
    <row r="327" spans="1:8" s="21" customFormat="1" ht="14.25">
      <c r="A327" s="138"/>
      <c r="B327" s="80"/>
      <c r="C327" s="80"/>
      <c r="D327" s="80"/>
      <c r="E327" s="80"/>
      <c r="F327" s="81"/>
      <c r="G327" s="80"/>
      <c r="H327" s="81"/>
    </row>
    <row r="328" spans="1:8" s="89" customFormat="1" ht="15">
      <c r="A328" s="88" t="s">
        <v>346</v>
      </c>
      <c r="B328" s="88" t="s">
        <v>6</v>
      </c>
      <c r="C328" s="88" t="s">
        <v>7</v>
      </c>
      <c r="D328" s="88" t="s">
        <v>8</v>
      </c>
      <c r="E328" s="88" t="s">
        <v>9</v>
      </c>
      <c r="F328" s="88" t="s">
        <v>10</v>
      </c>
      <c r="G328" s="88" t="s">
        <v>11</v>
      </c>
      <c r="H328" s="88" t="s">
        <v>12</v>
      </c>
    </row>
    <row r="329" spans="1:8" s="87" customFormat="1" ht="25.5">
      <c r="A329" s="153" t="s">
        <v>71</v>
      </c>
      <c r="B329" s="153">
        <v>92001</v>
      </c>
      <c r="C329" s="153" t="s">
        <v>41</v>
      </c>
      <c r="D329" s="154" t="s">
        <v>52</v>
      </c>
      <c r="E329" s="159" t="s">
        <v>17</v>
      </c>
      <c r="F329" s="157"/>
      <c r="G329" s="158"/>
      <c r="H329" s="158">
        <f>SUM(H330:H331)</f>
        <v>24.020000000000003</v>
      </c>
    </row>
    <row r="330" spans="1:8" s="21" customFormat="1" ht="25.5">
      <c r="A330" s="75" t="s">
        <v>71</v>
      </c>
      <c r="B330" s="75" t="s">
        <v>96</v>
      </c>
      <c r="C330" s="75" t="s">
        <v>41</v>
      </c>
      <c r="D330" s="77" t="s">
        <v>97</v>
      </c>
      <c r="E330" s="75" t="s">
        <v>17</v>
      </c>
      <c r="F330" s="78">
        <v>1</v>
      </c>
      <c r="G330" s="78">
        <v>17.67</v>
      </c>
      <c r="H330" s="98">
        <f aca="true" t="shared" si="47" ref="H330:H331">F330*G330</f>
        <v>17.67</v>
      </c>
    </row>
    <row r="331" spans="1:8" s="21" customFormat="1" ht="38.25">
      <c r="A331" s="75" t="s">
        <v>71</v>
      </c>
      <c r="B331" s="75" t="s">
        <v>92</v>
      </c>
      <c r="C331" s="75" t="s">
        <v>41</v>
      </c>
      <c r="D331" s="77" t="s">
        <v>93</v>
      </c>
      <c r="E331" s="75" t="s">
        <v>17</v>
      </c>
      <c r="F331" s="78">
        <v>1</v>
      </c>
      <c r="G331" s="78">
        <v>6.35</v>
      </c>
      <c r="H331" s="98">
        <f t="shared" si="47"/>
        <v>6.35</v>
      </c>
    </row>
    <row r="332" spans="1:8" s="21" customFormat="1" ht="14.25">
      <c r="A332" s="138"/>
      <c r="B332" s="80"/>
      <c r="C332" s="80"/>
      <c r="D332" s="80"/>
      <c r="E332" s="80"/>
      <c r="F332" s="81"/>
      <c r="G332" s="80"/>
      <c r="H332" s="81"/>
    </row>
    <row r="333" spans="1:8" s="89" customFormat="1" ht="15">
      <c r="A333" s="88" t="s">
        <v>348</v>
      </c>
      <c r="B333" s="88" t="s">
        <v>6</v>
      </c>
      <c r="C333" s="88" t="s">
        <v>7</v>
      </c>
      <c r="D333" s="88" t="s">
        <v>8</v>
      </c>
      <c r="E333" s="88" t="s">
        <v>9</v>
      </c>
      <c r="F333" s="88" t="s">
        <v>10</v>
      </c>
      <c r="G333" s="88" t="s">
        <v>11</v>
      </c>
      <c r="H333" s="88" t="s">
        <v>12</v>
      </c>
    </row>
    <row r="334" spans="1:8" s="87" customFormat="1" ht="15">
      <c r="A334" s="153" t="s">
        <v>71</v>
      </c>
      <c r="B334" s="153">
        <v>60491</v>
      </c>
      <c r="C334" s="154" t="s">
        <v>188</v>
      </c>
      <c r="D334" s="154" t="s">
        <v>347</v>
      </c>
      <c r="E334" s="153" t="s">
        <v>17</v>
      </c>
      <c r="F334" s="157"/>
      <c r="G334" s="158"/>
      <c r="H334" s="158">
        <f>SUM(H335:H337)</f>
        <v>82.06553</v>
      </c>
    </row>
    <row r="335" spans="1:8" s="21" customFormat="1" ht="14.25">
      <c r="A335" s="75" t="s">
        <v>70</v>
      </c>
      <c r="B335" s="75">
        <v>44851</v>
      </c>
      <c r="C335" s="75" t="s">
        <v>32</v>
      </c>
      <c r="D335" s="77" t="s">
        <v>347</v>
      </c>
      <c r="E335" s="75" t="s">
        <v>17</v>
      </c>
      <c r="F335" s="185">
        <v>1</v>
      </c>
      <c r="G335" s="78">
        <v>39.9</v>
      </c>
      <c r="H335" s="98">
        <f aca="true" t="shared" si="48" ref="H335:H337">F335*G335</f>
        <v>39.9</v>
      </c>
    </row>
    <row r="336" spans="1:8" s="21" customFormat="1" ht="14.25">
      <c r="A336" s="75" t="s">
        <v>71</v>
      </c>
      <c r="B336" s="75" t="s">
        <v>287</v>
      </c>
      <c r="C336" s="75" t="s">
        <v>41</v>
      </c>
      <c r="D336" s="77" t="s">
        <v>291</v>
      </c>
      <c r="E336" s="75" t="s">
        <v>61</v>
      </c>
      <c r="F336" s="185">
        <v>0.979</v>
      </c>
      <c r="G336" s="78">
        <v>18.75</v>
      </c>
      <c r="H336" s="98">
        <f t="shared" si="48"/>
        <v>18.35625</v>
      </c>
    </row>
    <row r="337" spans="1:8" s="21" customFormat="1" ht="14.25">
      <c r="A337" s="75" t="s">
        <v>71</v>
      </c>
      <c r="B337" s="75" t="s">
        <v>288</v>
      </c>
      <c r="C337" s="75" t="s">
        <v>41</v>
      </c>
      <c r="D337" s="77" t="s">
        <v>128</v>
      </c>
      <c r="E337" s="75" t="s">
        <v>61</v>
      </c>
      <c r="F337" s="185">
        <v>0.979</v>
      </c>
      <c r="G337" s="78">
        <v>24.32</v>
      </c>
      <c r="H337" s="98">
        <f t="shared" si="48"/>
        <v>23.80928</v>
      </c>
    </row>
    <row r="338" spans="1:8" s="21" customFormat="1" ht="14.25">
      <c r="A338" s="79"/>
      <c r="B338" s="80"/>
      <c r="C338" s="80"/>
      <c r="D338" s="80"/>
      <c r="E338" s="80"/>
      <c r="F338" s="81"/>
      <c r="G338" s="80"/>
      <c r="H338" s="81"/>
    </row>
    <row r="339" spans="1:8" s="89" customFormat="1" ht="15">
      <c r="A339" s="88" t="s">
        <v>349</v>
      </c>
      <c r="B339" s="88" t="s">
        <v>6</v>
      </c>
      <c r="C339" s="88" t="s">
        <v>7</v>
      </c>
      <c r="D339" s="88" t="s">
        <v>8</v>
      </c>
      <c r="E339" s="88" t="s">
        <v>9</v>
      </c>
      <c r="F339" s="88" t="s">
        <v>10</v>
      </c>
      <c r="G339" s="88" t="s">
        <v>11</v>
      </c>
      <c r="H339" s="88" t="s">
        <v>12</v>
      </c>
    </row>
    <row r="340" spans="1:8" s="87" customFormat="1" ht="15">
      <c r="A340" s="159" t="s">
        <v>71</v>
      </c>
      <c r="B340" s="153">
        <v>60132</v>
      </c>
      <c r="C340" s="153" t="s">
        <v>188</v>
      </c>
      <c r="D340" s="186" t="s">
        <v>353</v>
      </c>
      <c r="E340" s="153" t="s">
        <v>24</v>
      </c>
      <c r="F340" s="157"/>
      <c r="G340" s="158"/>
      <c r="H340" s="158">
        <f>SUM(H341:H343)</f>
        <v>40.7340356</v>
      </c>
    </row>
    <row r="341" spans="1:8" s="21" customFormat="1" ht="14.25">
      <c r="A341" s="75" t="s">
        <v>71</v>
      </c>
      <c r="B341" s="75" t="s">
        <v>287</v>
      </c>
      <c r="C341" s="75" t="s">
        <v>41</v>
      </c>
      <c r="D341" s="77" t="s">
        <v>291</v>
      </c>
      <c r="E341" s="75" t="s">
        <v>61</v>
      </c>
      <c r="F341" s="187">
        <f>3.427/25</f>
        <v>0.13708</v>
      </c>
      <c r="G341" s="78">
        <v>18.75</v>
      </c>
      <c r="H341" s="98">
        <f aca="true" t="shared" si="49" ref="H341:H343">F341*G341</f>
        <v>2.57025</v>
      </c>
    </row>
    <row r="342" spans="1:8" s="21" customFormat="1" ht="14.25">
      <c r="A342" s="75" t="s">
        <v>71</v>
      </c>
      <c r="B342" s="75" t="s">
        <v>288</v>
      </c>
      <c r="C342" s="75" t="s">
        <v>41</v>
      </c>
      <c r="D342" s="77" t="s">
        <v>128</v>
      </c>
      <c r="E342" s="75" t="s">
        <v>61</v>
      </c>
      <c r="F342" s="187">
        <f>3.427/25</f>
        <v>0.13708</v>
      </c>
      <c r="G342" s="78">
        <v>24.32</v>
      </c>
      <c r="H342" s="98">
        <f t="shared" si="49"/>
        <v>3.3337856</v>
      </c>
    </row>
    <row r="343" spans="1:8" s="21" customFormat="1" ht="14.25">
      <c r="A343" s="75" t="s">
        <v>70</v>
      </c>
      <c r="B343" s="79">
        <v>221</v>
      </c>
      <c r="C343" s="79" t="s">
        <v>32</v>
      </c>
      <c r="D343" s="102" t="s">
        <v>353</v>
      </c>
      <c r="E343" s="75" t="s">
        <v>24</v>
      </c>
      <c r="F343" s="187">
        <v>1</v>
      </c>
      <c r="G343" s="78">
        <v>34.83</v>
      </c>
      <c r="H343" s="98">
        <f t="shared" si="49"/>
        <v>34.83</v>
      </c>
    </row>
    <row r="344" spans="1:8" s="21" customFormat="1" ht="14.25">
      <c r="A344" s="79"/>
      <c r="B344" s="80"/>
      <c r="C344" s="80"/>
      <c r="D344" s="80"/>
      <c r="E344" s="80"/>
      <c r="F344" s="218"/>
      <c r="G344" s="218"/>
      <c r="H344" s="81"/>
    </row>
    <row r="345" spans="1:8" s="89" customFormat="1" ht="15">
      <c r="A345" s="88" t="s">
        <v>354</v>
      </c>
      <c r="B345" s="88" t="s">
        <v>6</v>
      </c>
      <c r="C345" s="88" t="s">
        <v>7</v>
      </c>
      <c r="D345" s="88" t="s">
        <v>8</v>
      </c>
      <c r="E345" s="88" t="s">
        <v>9</v>
      </c>
      <c r="F345" s="88" t="s">
        <v>10</v>
      </c>
      <c r="G345" s="88" t="s">
        <v>11</v>
      </c>
      <c r="H345" s="88" t="s">
        <v>12</v>
      </c>
    </row>
    <row r="346" spans="1:8" s="87" customFormat="1" ht="15">
      <c r="A346" s="159" t="s">
        <v>71</v>
      </c>
      <c r="B346" s="153" t="s">
        <v>53</v>
      </c>
      <c r="C346" s="153" t="s">
        <v>188</v>
      </c>
      <c r="D346" s="154" t="s">
        <v>357</v>
      </c>
      <c r="E346" s="153" t="s">
        <v>24</v>
      </c>
      <c r="F346" s="157"/>
      <c r="G346" s="158"/>
      <c r="H346" s="158">
        <f>SUM(H347:H349)</f>
        <v>40.7340356</v>
      </c>
    </row>
    <row r="347" spans="1:8" s="21" customFormat="1" ht="14.25">
      <c r="A347" s="75" t="s">
        <v>71</v>
      </c>
      <c r="B347" s="75" t="s">
        <v>287</v>
      </c>
      <c r="C347" s="75" t="s">
        <v>41</v>
      </c>
      <c r="D347" s="77" t="s">
        <v>291</v>
      </c>
      <c r="E347" s="75" t="s">
        <v>61</v>
      </c>
      <c r="F347" s="187">
        <f>3.427/25</f>
        <v>0.13708</v>
      </c>
      <c r="G347" s="98">
        <v>18.75</v>
      </c>
      <c r="H347" s="98">
        <f aca="true" t="shared" si="50" ref="H347:H349">F347*G347</f>
        <v>2.57025</v>
      </c>
    </row>
    <row r="348" spans="1:8" s="21" customFormat="1" ht="14.25">
      <c r="A348" s="75" t="s">
        <v>71</v>
      </c>
      <c r="B348" s="75" t="s">
        <v>288</v>
      </c>
      <c r="C348" s="75" t="s">
        <v>41</v>
      </c>
      <c r="D348" s="77" t="s">
        <v>128</v>
      </c>
      <c r="E348" s="75" t="s">
        <v>61</v>
      </c>
      <c r="F348" s="187">
        <f>3.427/25</f>
        <v>0.13708</v>
      </c>
      <c r="G348" s="98">
        <v>24.32</v>
      </c>
      <c r="H348" s="98">
        <f t="shared" si="50"/>
        <v>3.3337856</v>
      </c>
    </row>
    <row r="349" spans="1:8" s="21" customFormat="1" ht="14.25">
      <c r="A349" s="75" t="s">
        <v>70</v>
      </c>
      <c r="B349" s="79">
        <v>221</v>
      </c>
      <c r="C349" s="79" t="s">
        <v>32</v>
      </c>
      <c r="D349" s="102" t="s">
        <v>353</v>
      </c>
      <c r="E349" s="75" t="s">
        <v>24</v>
      </c>
      <c r="F349" s="187">
        <v>1</v>
      </c>
      <c r="G349" s="78">
        <v>34.83</v>
      </c>
      <c r="H349" s="98">
        <f t="shared" si="50"/>
        <v>34.83</v>
      </c>
    </row>
    <row r="350" spans="1:8" s="21" customFormat="1" ht="14.25">
      <c r="A350" s="138"/>
      <c r="B350" s="80"/>
      <c r="C350" s="80"/>
      <c r="D350" s="139"/>
      <c r="E350" s="80"/>
      <c r="F350" s="81"/>
      <c r="G350" s="80"/>
      <c r="H350" s="81"/>
    </row>
    <row r="351" spans="1:8" s="89" customFormat="1" ht="15">
      <c r="A351" s="103" t="s">
        <v>355</v>
      </c>
      <c r="B351" s="88" t="s">
        <v>6</v>
      </c>
      <c r="C351" s="88" t="s">
        <v>7</v>
      </c>
      <c r="D351" s="88" t="s">
        <v>8</v>
      </c>
      <c r="E351" s="88" t="s">
        <v>9</v>
      </c>
      <c r="F351" s="88" t="s">
        <v>10</v>
      </c>
      <c r="G351" s="88" t="s">
        <v>11</v>
      </c>
      <c r="H351" s="88" t="s">
        <v>12</v>
      </c>
    </row>
    <row r="352" spans="1:8" s="87" customFormat="1" ht="25.5">
      <c r="A352" s="153" t="s">
        <v>71</v>
      </c>
      <c r="B352" s="153">
        <v>97592</v>
      </c>
      <c r="C352" s="153" t="s">
        <v>186</v>
      </c>
      <c r="D352" s="154" t="s">
        <v>54</v>
      </c>
      <c r="E352" s="153" t="s">
        <v>45</v>
      </c>
      <c r="F352" s="157"/>
      <c r="G352" s="158"/>
      <c r="H352" s="158">
        <f>SUM(H353:H355)</f>
        <v>117.456485</v>
      </c>
    </row>
    <row r="353" spans="1:8" s="21" customFormat="1" ht="25.5">
      <c r="A353" s="75" t="s">
        <v>70</v>
      </c>
      <c r="B353" s="75">
        <v>3987</v>
      </c>
      <c r="C353" s="75" t="s">
        <v>109</v>
      </c>
      <c r="D353" s="77" t="s">
        <v>54</v>
      </c>
      <c r="E353" s="75" t="s">
        <v>17</v>
      </c>
      <c r="F353" s="101">
        <v>1</v>
      </c>
      <c r="G353" s="98">
        <v>100.25</v>
      </c>
      <c r="H353" s="98">
        <f aca="true" t="shared" si="51" ref="H353:H355">F353*G353</f>
        <v>100.25</v>
      </c>
    </row>
    <row r="354" spans="1:8" s="21" customFormat="1" ht="14.25">
      <c r="A354" s="75" t="s">
        <v>71</v>
      </c>
      <c r="B354" s="75" t="s">
        <v>287</v>
      </c>
      <c r="C354" s="74" t="s">
        <v>41</v>
      </c>
      <c r="D354" s="77" t="s">
        <v>291</v>
      </c>
      <c r="E354" s="75" t="s">
        <v>61</v>
      </c>
      <c r="F354" s="101">
        <v>0.2231</v>
      </c>
      <c r="G354" s="98">
        <v>18.75</v>
      </c>
      <c r="H354" s="98">
        <f t="shared" si="51"/>
        <v>4.1831249999999995</v>
      </c>
    </row>
    <row r="355" spans="1:8" s="21" customFormat="1" ht="14.25">
      <c r="A355" s="75" t="s">
        <v>71</v>
      </c>
      <c r="B355" s="75" t="s">
        <v>288</v>
      </c>
      <c r="C355" s="74" t="s">
        <v>41</v>
      </c>
      <c r="D355" s="77" t="s">
        <v>128</v>
      </c>
      <c r="E355" s="75" t="s">
        <v>61</v>
      </c>
      <c r="F355" s="101">
        <v>0.5355</v>
      </c>
      <c r="G355" s="98">
        <v>24.32</v>
      </c>
      <c r="H355" s="98">
        <f t="shared" si="51"/>
        <v>13.02336</v>
      </c>
    </row>
    <row r="356" spans="1:8" s="21" customFormat="1" ht="14.25">
      <c r="A356" s="79"/>
      <c r="B356" s="80"/>
      <c r="C356" s="80"/>
      <c r="D356" s="80"/>
      <c r="E356" s="80"/>
      <c r="F356" s="81"/>
      <c r="G356" s="80"/>
      <c r="H356" s="81"/>
    </row>
    <row r="357" spans="1:8" s="89" customFormat="1" ht="15">
      <c r="A357" s="88" t="s">
        <v>356</v>
      </c>
      <c r="B357" s="88" t="s">
        <v>6</v>
      </c>
      <c r="C357" s="88" t="s">
        <v>7</v>
      </c>
      <c r="D357" s="88" t="s">
        <v>8</v>
      </c>
      <c r="E357" s="88" t="s">
        <v>9</v>
      </c>
      <c r="F357" s="88" t="s">
        <v>10</v>
      </c>
      <c r="G357" s="88" t="s">
        <v>11</v>
      </c>
      <c r="H357" s="88" t="s">
        <v>12</v>
      </c>
    </row>
    <row r="358" spans="1:8" s="87" customFormat="1" ht="25.5">
      <c r="A358" s="153" t="s">
        <v>71</v>
      </c>
      <c r="B358" s="153">
        <v>97599</v>
      </c>
      <c r="C358" s="153" t="s">
        <v>41</v>
      </c>
      <c r="D358" s="154" t="s">
        <v>350</v>
      </c>
      <c r="E358" s="153" t="s">
        <v>17</v>
      </c>
      <c r="F358" s="157"/>
      <c r="G358" s="158"/>
      <c r="H358" s="158">
        <f>SUM(H359:H361)</f>
        <v>25.757939999999998</v>
      </c>
    </row>
    <row r="359" spans="1:8" s="21" customFormat="1" ht="25.5">
      <c r="A359" s="75" t="s">
        <v>70</v>
      </c>
      <c r="B359" s="75" t="s">
        <v>351</v>
      </c>
      <c r="C359" s="74" t="s">
        <v>41</v>
      </c>
      <c r="D359" s="77" t="s">
        <v>352</v>
      </c>
      <c r="E359" s="75" t="s">
        <v>17</v>
      </c>
      <c r="F359" s="101">
        <v>1</v>
      </c>
      <c r="G359" s="98">
        <v>19.99</v>
      </c>
      <c r="H359" s="98">
        <f aca="true" t="shared" si="52" ref="H359:H361">F359*G359</f>
        <v>19.99</v>
      </c>
    </row>
    <row r="360" spans="1:8" s="21" customFormat="1" ht="14.25">
      <c r="A360" s="75" t="s">
        <v>71</v>
      </c>
      <c r="B360" s="75" t="s">
        <v>287</v>
      </c>
      <c r="C360" s="74" t="s">
        <v>41</v>
      </c>
      <c r="D360" s="77" t="s">
        <v>291</v>
      </c>
      <c r="E360" s="75" t="s">
        <v>61</v>
      </c>
      <c r="F360" s="101">
        <v>0.0748</v>
      </c>
      <c r="G360" s="98">
        <v>18.75</v>
      </c>
      <c r="H360" s="98">
        <f t="shared" si="52"/>
        <v>1.4025</v>
      </c>
    </row>
    <row r="361" spans="1:8" s="21" customFormat="1" ht="14.25">
      <c r="A361" s="75" t="s">
        <v>71</v>
      </c>
      <c r="B361" s="75" t="s">
        <v>288</v>
      </c>
      <c r="C361" s="74" t="s">
        <v>41</v>
      </c>
      <c r="D361" s="77" t="s">
        <v>128</v>
      </c>
      <c r="E361" s="75" t="s">
        <v>61</v>
      </c>
      <c r="F361" s="101">
        <v>0.1795</v>
      </c>
      <c r="G361" s="98">
        <v>24.32</v>
      </c>
      <c r="H361" s="98">
        <f t="shared" si="52"/>
        <v>4.3654399999999995</v>
      </c>
    </row>
    <row r="362" spans="1:8" s="21" customFormat="1" ht="14.25">
      <c r="A362" s="79"/>
      <c r="B362" s="80"/>
      <c r="C362" s="80"/>
      <c r="D362" s="80"/>
      <c r="E362" s="80"/>
      <c r="F362" s="81"/>
      <c r="G362" s="80"/>
      <c r="H362" s="81"/>
    </row>
    <row r="363" spans="1:8" s="89" customFormat="1" ht="15">
      <c r="A363" s="88" t="s">
        <v>358</v>
      </c>
      <c r="B363" s="88" t="s">
        <v>6</v>
      </c>
      <c r="C363" s="88" t="s">
        <v>7</v>
      </c>
      <c r="D363" s="88" t="s">
        <v>8</v>
      </c>
      <c r="E363" s="88" t="s">
        <v>9</v>
      </c>
      <c r="F363" s="88" t="s">
        <v>10</v>
      </c>
      <c r="G363" s="88" t="s">
        <v>11</v>
      </c>
      <c r="H363" s="88" t="s">
        <v>12</v>
      </c>
    </row>
    <row r="364" spans="1:8" s="87" customFormat="1" ht="15">
      <c r="A364" s="153" t="s">
        <v>71</v>
      </c>
      <c r="B364" s="153">
        <v>71330</v>
      </c>
      <c r="C364" s="153" t="s">
        <v>115</v>
      </c>
      <c r="D364" s="154" t="s">
        <v>55</v>
      </c>
      <c r="E364" s="153" t="s">
        <v>17</v>
      </c>
      <c r="F364" s="157"/>
      <c r="G364" s="158"/>
      <c r="H364" s="158">
        <f>SUM(H365:H367)</f>
        <v>14.374</v>
      </c>
    </row>
    <row r="365" spans="1:8" s="21" customFormat="1" ht="14.25">
      <c r="A365" s="75" t="s">
        <v>70</v>
      </c>
      <c r="B365" s="75" t="s">
        <v>98</v>
      </c>
      <c r="C365" s="75" t="s">
        <v>109</v>
      </c>
      <c r="D365" s="77" t="s">
        <v>55</v>
      </c>
      <c r="E365" s="75" t="s">
        <v>17</v>
      </c>
      <c r="F365" s="78">
        <v>1</v>
      </c>
      <c r="G365" s="78">
        <v>5.76</v>
      </c>
      <c r="H365" s="98">
        <f aca="true" t="shared" si="53" ref="H365:H367">F365*G365</f>
        <v>5.76</v>
      </c>
    </row>
    <row r="366" spans="1:8" s="21" customFormat="1" ht="14.25">
      <c r="A366" s="75" t="s">
        <v>71</v>
      </c>
      <c r="B366" s="75" t="s">
        <v>287</v>
      </c>
      <c r="C366" s="74" t="s">
        <v>41</v>
      </c>
      <c r="D366" s="77" t="s">
        <v>291</v>
      </c>
      <c r="E366" s="75" t="s">
        <v>61</v>
      </c>
      <c r="F366" s="78">
        <v>0.2</v>
      </c>
      <c r="G366" s="98">
        <v>18.75</v>
      </c>
      <c r="H366" s="98">
        <f t="shared" si="53"/>
        <v>3.75</v>
      </c>
    </row>
    <row r="367" spans="1:8" s="21" customFormat="1" ht="14.25">
      <c r="A367" s="75" t="s">
        <v>71</v>
      </c>
      <c r="B367" s="75" t="s">
        <v>288</v>
      </c>
      <c r="C367" s="74" t="s">
        <v>41</v>
      </c>
      <c r="D367" s="77" t="s">
        <v>128</v>
      </c>
      <c r="E367" s="75" t="s">
        <v>61</v>
      </c>
      <c r="F367" s="78">
        <v>0.2</v>
      </c>
      <c r="G367" s="98">
        <v>24.32</v>
      </c>
      <c r="H367" s="98">
        <f t="shared" si="53"/>
        <v>4.864000000000001</v>
      </c>
    </row>
    <row r="368" spans="1:8" s="21" customFormat="1" ht="14.25">
      <c r="A368" s="79"/>
      <c r="B368" s="80"/>
      <c r="C368" s="80"/>
      <c r="D368" s="80"/>
      <c r="E368" s="80"/>
      <c r="F368" s="81"/>
      <c r="G368" s="80"/>
      <c r="H368" s="81"/>
    </row>
    <row r="369" spans="1:8" s="89" customFormat="1" ht="15">
      <c r="A369" s="88" t="s">
        <v>359</v>
      </c>
      <c r="B369" s="88" t="s">
        <v>6</v>
      </c>
      <c r="C369" s="88" t="s">
        <v>7</v>
      </c>
      <c r="D369" s="88" t="s">
        <v>8</v>
      </c>
      <c r="E369" s="88" t="s">
        <v>9</v>
      </c>
      <c r="F369" s="88" t="s">
        <v>10</v>
      </c>
      <c r="G369" s="88" t="s">
        <v>11</v>
      </c>
      <c r="H369" s="88" t="s">
        <v>12</v>
      </c>
    </row>
    <row r="370" spans="1:8" s="87" customFormat="1" ht="15">
      <c r="A370" s="153" t="s">
        <v>71</v>
      </c>
      <c r="B370" s="153">
        <v>71321</v>
      </c>
      <c r="C370" s="153" t="s">
        <v>115</v>
      </c>
      <c r="D370" s="154" t="s">
        <v>56</v>
      </c>
      <c r="E370" s="153" t="s">
        <v>17</v>
      </c>
      <c r="F370" s="157"/>
      <c r="G370" s="158"/>
      <c r="H370" s="158">
        <f>SUM(H371:H373)</f>
        <v>21.064</v>
      </c>
    </row>
    <row r="371" spans="1:8" s="21" customFormat="1" ht="14.25">
      <c r="A371" s="75" t="s">
        <v>70</v>
      </c>
      <c r="B371" s="75" t="s">
        <v>99</v>
      </c>
      <c r="C371" s="75" t="s">
        <v>109</v>
      </c>
      <c r="D371" s="77" t="s">
        <v>100</v>
      </c>
      <c r="E371" s="75" t="s">
        <v>17</v>
      </c>
      <c r="F371" s="98">
        <v>1</v>
      </c>
      <c r="G371" s="78">
        <v>12.45</v>
      </c>
      <c r="H371" s="98">
        <f aca="true" t="shared" si="54" ref="H371:H373">F371*G371</f>
        <v>12.45</v>
      </c>
    </row>
    <row r="372" spans="1:8" s="21" customFormat="1" ht="14.25">
      <c r="A372" s="75" t="s">
        <v>71</v>
      </c>
      <c r="B372" s="75">
        <v>88247</v>
      </c>
      <c r="C372" s="74" t="s">
        <v>41</v>
      </c>
      <c r="D372" s="77" t="s">
        <v>291</v>
      </c>
      <c r="E372" s="75" t="s">
        <v>61</v>
      </c>
      <c r="F372" s="98">
        <v>0.2</v>
      </c>
      <c r="G372" s="98">
        <v>18.75</v>
      </c>
      <c r="H372" s="98">
        <f t="shared" si="54"/>
        <v>3.75</v>
      </c>
    </row>
    <row r="373" spans="1:8" s="21" customFormat="1" ht="14.25">
      <c r="A373" s="75" t="s">
        <v>71</v>
      </c>
      <c r="B373" s="75">
        <v>88264</v>
      </c>
      <c r="C373" s="74" t="s">
        <v>41</v>
      </c>
      <c r="D373" s="77" t="s">
        <v>128</v>
      </c>
      <c r="E373" s="75" t="s">
        <v>61</v>
      </c>
      <c r="F373" s="98">
        <v>0.2</v>
      </c>
      <c r="G373" s="98">
        <v>24.32</v>
      </c>
      <c r="H373" s="98">
        <f t="shared" si="54"/>
        <v>4.864000000000001</v>
      </c>
    </row>
    <row r="374" spans="1:8" s="21" customFormat="1" ht="14.25">
      <c r="A374" s="79"/>
      <c r="B374" s="80"/>
      <c r="C374" s="80"/>
      <c r="D374" s="80"/>
      <c r="E374" s="80"/>
      <c r="F374" s="81"/>
      <c r="G374" s="80"/>
      <c r="H374" s="81"/>
    </row>
    <row r="375" spans="1:8" s="127" customFormat="1" ht="15">
      <c r="A375" s="95">
        <v>6</v>
      </c>
      <c r="B375" s="59"/>
      <c r="C375" s="59"/>
      <c r="D375" s="96" t="s">
        <v>57</v>
      </c>
      <c r="E375" s="59"/>
      <c r="F375" s="59"/>
      <c r="G375" s="59"/>
      <c r="H375" s="59"/>
    </row>
    <row r="376" spans="1:8" s="89" customFormat="1" ht="15">
      <c r="A376" s="88" t="s">
        <v>365</v>
      </c>
      <c r="B376" s="88" t="s">
        <v>6</v>
      </c>
      <c r="C376" s="88" t="s">
        <v>7</v>
      </c>
      <c r="D376" s="88" t="s">
        <v>8</v>
      </c>
      <c r="E376" s="88" t="s">
        <v>9</v>
      </c>
      <c r="F376" s="88" t="s">
        <v>10</v>
      </c>
      <c r="G376" s="88" t="s">
        <v>11</v>
      </c>
      <c r="H376" s="88" t="s">
        <v>12</v>
      </c>
    </row>
    <row r="377" spans="1:8" s="87" customFormat="1" ht="15">
      <c r="A377" s="153" t="s">
        <v>71</v>
      </c>
      <c r="B377" s="153">
        <v>1947</v>
      </c>
      <c r="C377" s="153" t="s">
        <v>362</v>
      </c>
      <c r="D377" s="154" t="s">
        <v>364</v>
      </c>
      <c r="E377" s="153" t="s">
        <v>19</v>
      </c>
      <c r="F377" s="157"/>
      <c r="G377" s="158"/>
      <c r="H377" s="158">
        <f>SUM(H378:H382)</f>
        <v>287.79879999999997</v>
      </c>
    </row>
    <row r="378" spans="1:8" s="110" customFormat="1" ht="14.25">
      <c r="A378" s="75" t="s">
        <v>70</v>
      </c>
      <c r="B378" s="171">
        <v>1020</v>
      </c>
      <c r="C378" s="171" t="s">
        <v>363</v>
      </c>
      <c r="D378" s="179" t="s">
        <v>361</v>
      </c>
      <c r="E378" s="171" t="s">
        <v>19</v>
      </c>
      <c r="F378" s="184">
        <v>1.05</v>
      </c>
      <c r="G378" s="184">
        <v>199.9</v>
      </c>
      <c r="H378" s="183">
        <f aca="true" t="shared" si="55" ref="H378">F378*G378</f>
        <v>209.895</v>
      </c>
    </row>
    <row r="379" spans="1:8" s="21" customFormat="1" ht="25.5">
      <c r="A379" s="75" t="s">
        <v>70</v>
      </c>
      <c r="B379" s="75">
        <v>4460</v>
      </c>
      <c r="C379" s="74" t="s">
        <v>41</v>
      </c>
      <c r="D379" s="77" t="s">
        <v>191</v>
      </c>
      <c r="E379" s="75" t="s">
        <v>24</v>
      </c>
      <c r="F379" s="78">
        <v>2.2</v>
      </c>
      <c r="G379" s="78">
        <v>9.67</v>
      </c>
      <c r="H379" s="98">
        <f>F379*G379</f>
        <v>21.274</v>
      </c>
    </row>
    <row r="380" spans="1:8" s="21" customFormat="1" ht="14.25">
      <c r="A380" s="75" t="s">
        <v>70</v>
      </c>
      <c r="B380" s="75">
        <v>5067</v>
      </c>
      <c r="C380" s="74" t="s">
        <v>41</v>
      </c>
      <c r="D380" s="77" t="s">
        <v>366</v>
      </c>
      <c r="E380" s="75" t="s">
        <v>192</v>
      </c>
      <c r="F380" s="78">
        <v>0.12</v>
      </c>
      <c r="G380" s="78">
        <v>24.39</v>
      </c>
      <c r="H380" s="98">
        <f aca="true" t="shared" si="56" ref="H380">F380*G380</f>
        <v>2.9268</v>
      </c>
    </row>
    <row r="381" spans="1:8" s="21" customFormat="1" ht="14.25">
      <c r="A381" s="75" t="s">
        <v>71</v>
      </c>
      <c r="B381" s="75">
        <v>88262</v>
      </c>
      <c r="C381" s="74" t="s">
        <v>41</v>
      </c>
      <c r="D381" s="77" t="s">
        <v>122</v>
      </c>
      <c r="E381" s="75" t="s">
        <v>61</v>
      </c>
      <c r="F381" s="78">
        <v>1.3</v>
      </c>
      <c r="G381" s="78">
        <v>23.81</v>
      </c>
      <c r="H381" s="98">
        <f aca="true" t="shared" si="57" ref="H381:H382">F381*G381</f>
        <v>30.953</v>
      </c>
    </row>
    <row r="382" spans="1:8" s="21" customFormat="1" ht="14.25">
      <c r="A382" s="74" t="s">
        <v>71</v>
      </c>
      <c r="B382" s="75">
        <v>88316</v>
      </c>
      <c r="C382" s="75" t="s">
        <v>41</v>
      </c>
      <c r="D382" s="77" t="s">
        <v>127</v>
      </c>
      <c r="E382" s="75" t="s">
        <v>61</v>
      </c>
      <c r="F382" s="78">
        <v>1.3</v>
      </c>
      <c r="G382" s="78">
        <v>17.5</v>
      </c>
      <c r="H382" s="98">
        <f t="shared" si="57"/>
        <v>22.75</v>
      </c>
    </row>
    <row r="383" spans="1:8" s="21" customFormat="1" ht="14.25">
      <c r="A383" s="79"/>
      <c r="B383" s="80"/>
      <c r="C383" s="80"/>
      <c r="D383" s="80"/>
      <c r="E383" s="80"/>
      <c r="F383" s="81"/>
      <c r="G383" s="80"/>
      <c r="H383" s="81"/>
    </row>
    <row r="384" spans="1:8" s="127" customFormat="1" ht="15">
      <c r="A384" s="95">
        <v>7</v>
      </c>
      <c r="B384" s="59"/>
      <c r="C384" s="59"/>
      <c r="D384" s="96" t="s">
        <v>58</v>
      </c>
      <c r="E384" s="59"/>
      <c r="F384" s="59"/>
      <c r="G384" s="59"/>
      <c r="H384" s="59"/>
    </row>
    <row r="385" spans="1:8" s="130" customFormat="1" ht="15">
      <c r="A385" s="128" t="s">
        <v>367</v>
      </c>
      <c r="B385" s="97"/>
      <c r="C385" s="128"/>
      <c r="D385" s="129" t="s">
        <v>371</v>
      </c>
      <c r="E385" s="128"/>
      <c r="F385" s="128"/>
      <c r="G385" s="128"/>
      <c r="H385" s="128"/>
    </row>
    <row r="386" spans="1:8" s="89" customFormat="1" ht="15">
      <c r="A386" s="88" t="s">
        <v>372</v>
      </c>
      <c r="B386" s="88" t="s">
        <v>6</v>
      </c>
      <c r="C386" s="88" t="s">
        <v>7</v>
      </c>
      <c r="D386" s="88" t="s">
        <v>8</v>
      </c>
      <c r="E386" s="88" t="s">
        <v>9</v>
      </c>
      <c r="F386" s="88" t="s">
        <v>10</v>
      </c>
      <c r="G386" s="88" t="s">
        <v>11</v>
      </c>
      <c r="H386" s="88" t="s">
        <v>12</v>
      </c>
    </row>
    <row r="387" spans="1:8" s="94" customFormat="1" ht="15">
      <c r="A387" s="153" t="s">
        <v>71</v>
      </c>
      <c r="B387" s="153">
        <v>88494</v>
      </c>
      <c r="C387" s="159" t="s">
        <v>41</v>
      </c>
      <c r="D387" s="154" t="s">
        <v>369</v>
      </c>
      <c r="E387" s="153" t="s">
        <v>19</v>
      </c>
      <c r="F387" s="167"/>
      <c r="G387" s="156"/>
      <c r="H387" s="158">
        <f>SUM(H388:H391)</f>
        <v>18.1518248</v>
      </c>
    </row>
    <row r="388" spans="1:8" s="21" customFormat="1" ht="25.5">
      <c r="A388" s="75" t="s">
        <v>70</v>
      </c>
      <c r="B388" s="75">
        <v>3767</v>
      </c>
      <c r="C388" s="75" t="s">
        <v>41</v>
      </c>
      <c r="D388" s="77" t="s">
        <v>380</v>
      </c>
      <c r="E388" s="75" t="s">
        <v>17</v>
      </c>
      <c r="F388" s="187">
        <v>0.06</v>
      </c>
      <c r="G388" s="98">
        <v>0.71</v>
      </c>
      <c r="H388" s="98">
        <f aca="true" t="shared" si="58" ref="H388:H391">F388*G388</f>
        <v>0.0426</v>
      </c>
    </row>
    <row r="389" spans="1:8" s="21" customFormat="1" ht="14.25">
      <c r="A389" s="75" t="s">
        <v>70</v>
      </c>
      <c r="B389" s="75">
        <v>43626</v>
      </c>
      <c r="C389" s="75" t="s">
        <v>41</v>
      </c>
      <c r="D389" s="77" t="s">
        <v>381</v>
      </c>
      <c r="E389" s="75" t="s">
        <v>192</v>
      </c>
      <c r="F389" s="187">
        <v>1.04304</v>
      </c>
      <c r="G389" s="98">
        <v>2.12</v>
      </c>
      <c r="H389" s="98">
        <f t="shared" si="58"/>
        <v>2.2112448000000002</v>
      </c>
    </row>
    <row r="390" spans="1:8" s="21" customFormat="1" ht="14.25">
      <c r="A390" s="75" t="s">
        <v>71</v>
      </c>
      <c r="B390" s="75">
        <v>88310</v>
      </c>
      <c r="C390" s="75" t="s">
        <v>41</v>
      </c>
      <c r="D390" s="77" t="s">
        <v>382</v>
      </c>
      <c r="E390" s="75" t="s">
        <v>61</v>
      </c>
      <c r="F390" s="187">
        <v>0.504</v>
      </c>
      <c r="G390" s="98">
        <v>25.12</v>
      </c>
      <c r="H390" s="98">
        <f t="shared" si="58"/>
        <v>12.66048</v>
      </c>
    </row>
    <row r="391" spans="1:8" s="21" customFormat="1" ht="14.25">
      <c r="A391" s="74" t="s">
        <v>71</v>
      </c>
      <c r="B391" s="75" t="s">
        <v>167</v>
      </c>
      <c r="C391" s="75" t="s">
        <v>41</v>
      </c>
      <c r="D391" s="77" t="s">
        <v>127</v>
      </c>
      <c r="E391" s="75" t="s">
        <v>61</v>
      </c>
      <c r="F391" s="187">
        <v>0.185</v>
      </c>
      <c r="G391" s="98">
        <v>17.5</v>
      </c>
      <c r="H391" s="98">
        <f t="shared" si="58"/>
        <v>3.2375</v>
      </c>
    </row>
    <row r="392" spans="1:8" s="21" customFormat="1" ht="14.25">
      <c r="A392" s="79"/>
      <c r="B392" s="80"/>
      <c r="C392" s="80"/>
      <c r="D392" s="80"/>
      <c r="E392" s="80"/>
      <c r="F392" s="81"/>
      <c r="G392" s="80"/>
      <c r="H392" s="81"/>
    </row>
    <row r="393" spans="1:8" s="89" customFormat="1" ht="15">
      <c r="A393" s="88" t="s">
        <v>373</v>
      </c>
      <c r="B393" s="88" t="s">
        <v>6</v>
      </c>
      <c r="C393" s="88" t="s">
        <v>7</v>
      </c>
      <c r="D393" s="88" t="s">
        <v>8</v>
      </c>
      <c r="E393" s="88" t="s">
        <v>9</v>
      </c>
      <c r="F393" s="88" t="s">
        <v>10</v>
      </c>
      <c r="G393" s="88" t="s">
        <v>11</v>
      </c>
      <c r="H393" s="88" t="s">
        <v>12</v>
      </c>
    </row>
    <row r="394" spans="1:8" s="87" customFormat="1" ht="15">
      <c r="A394" s="153" t="s">
        <v>71</v>
      </c>
      <c r="B394" s="153">
        <v>95622</v>
      </c>
      <c r="C394" s="159" t="s">
        <v>41</v>
      </c>
      <c r="D394" s="154" t="s">
        <v>370</v>
      </c>
      <c r="E394" s="153" t="s">
        <v>19</v>
      </c>
      <c r="F394" s="157"/>
      <c r="G394" s="158"/>
      <c r="H394" s="158">
        <f>SUM(H395:H397)</f>
        <v>13.779580000000001</v>
      </c>
    </row>
    <row r="395" spans="1:8" s="21" customFormat="1" ht="14.25">
      <c r="A395" s="75" t="s">
        <v>70</v>
      </c>
      <c r="B395" s="75" t="s">
        <v>383</v>
      </c>
      <c r="C395" s="75" t="s">
        <v>41</v>
      </c>
      <c r="D395" s="77" t="s">
        <v>384</v>
      </c>
      <c r="E395" s="75" t="s">
        <v>101</v>
      </c>
      <c r="F395" s="185">
        <v>0.2</v>
      </c>
      <c r="G395" s="98">
        <v>23.35</v>
      </c>
      <c r="H395" s="98">
        <f aca="true" t="shared" si="59" ref="H395:H397">F395*G395</f>
        <v>4.670000000000001</v>
      </c>
    </row>
    <row r="396" spans="1:8" s="21" customFormat="1" ht="14.25">
      <c r="A396" s="75" t="s">
        <v>71</v>
      </c>
      <c r="B396" s="75" t="s">
        <v>379</v>
      </c>
      <c r="C396" s="75" t="s">
        <v>41</v>
      </c>
      <c r="D396" s="77" t="s">
        <v>382</v>
      </c>
      <c r="E396" s="75" t="s">
        <v>61</v>
      </c>
      <c r="F396" s="185">
        <v>0.309</v>
      </c>
      <c r="G396" s="98">
        <v>25.12</v>
      </c>
      <c r="H396" s="98">
        <f t="shared" si="59"/>
        <v>7.76208</v>
      </c>
    </row>
    <row r="397" spans="1:8" s="21" customFormat="1" ht="14.25">
      <c r="A397" s="74" t="s">
        <v>71</v>
      </c>
      <c r="B397" s="75" t="s">
        <v>167</v>
      </c>
      <c r="C397" s="75" t="s">
        <v>41</v>
      </c>
      <c r="D397" s="77" t="s">
        <v>127</v>
      </c>
      <c r="E397" s="75" t="s">
        <v>61</v>
      </c>
      <c r="F397" s="185">
        <v>0.077</v>
      </c>
      <c r="G397" s="98">
        <v>17.5</v>
      </c>
      <c r="H397" s="98">
        <f t="shared" si="59"/>
        <v>1.3475</v>
      </c>
    </row>
    <row r="398" spans="1:8" s="21" customFormat="1" ht="14.25">
      <c r="A398" s="79"/>
      <c r="B398" s="80"/>
      <c r="C398" s="80"/>
      <c r="D398" s="80"/>
      <c r="E398" s="80"/>
      <c r="F398" s="81"/>
      <c r="G398" s="80"/>
      <c r="H398" s="81"/>
    </row>
    <row r="399" spans="1:8" s="130" customFormat="1" ht="15">
      <c r="A399" s="128" t="s">
        <v>374</v>
      </c>
      <c r="B399" s="97"/>
      <c r="C399" s="128"/>
      <c r="D399" s="129" t="s">
        <v>368</v>
      </c>
      <c r="E399" s="128"/>
      <c r="F399" s="128"/>
      <c r="G399" s="128"/>
      <c r="H399" s="128">
        <v>13037.12</v>
      </c>
    </row>
    <row r="400" spans="1:8" s="89" customFormat="1" ht="15">
      <c r="A400" s="88" t="s">
        <v>375</v>
      </c>
      <c r="B400" s="88" t="s">
        <v>6</v>
      </c>
      <c r="C400" s="88" t="s">
        <v>7</v>
      </c>
      <c r="D400" s="88" t="s">
        <v>8</v>
      </c>
      <c r="E400" s="88" t="s">
        <v>9</v>
      </c>
      <c r="F400" s="88" t="s">
        <v>10</v>
      </c>
      <c r="G400" s="88" t="s">
        <v>11</v>
      </c>
      <c r="H400" s="88" t="s">
        <v>12</v>
      </c>
    </row>
    <row r="401" spans="1:8" s="87" customFormat="1" ht="15">
      <c r="A401" s="153" t="s">
        <v>71</v>
      </c>
      <c r="B401" s="153">
        <v>260104</v>
      </c>
      <c r="C401" s="153" t="s">
        <v>115</v>
      </c>
      <c r="D401" s="154" t="s">
        <v>376</v>
      </c>
      <c r="E401" s="153" t="s">
        <v>19</v>
      </c>
      <c r="F401" s="157"/>
      <c r="G401" s="158"/>
      <c r="H401" s="158">
        <f>SUM(H402)</f>
        <v>7</v>
      </c>
    </row>
    <row r="402" spans="1:8" s="21" customFormat="1" ht="14.25">
      <c r="A402" s="74" t="s">
        <v>71</v>
      </c>
      <c r="B402" s="75">
        <v>88316</v>
      </c>
      <c r="C402" s="75" t="s">
        <v>41</v>
      </c>
      <c r="D402" s="77" t="s">
        <v>127</v>
      </c>
      <c r="E402" s="75" t="s">
        <v>61</v>
      </c>
      <c r="F402" s="185">
        <v>0.4</v>
      </c>
      <c r="G402" s="98">
        <v>17.5</v>
      </c>
      <c r="H402" s="98">
        <f aca="true" t="shared" si="60" ref="H402">F402*G402</f>
        <v>7</v>
      </c>
    </row>
    <row r="403" spans="1:8" s="21" customFormat="1" ht="14.25">
      <c r="A403" s="75"/>
      <c r="B403" s="76"/>
      <c r="C403" s="77"/>
      <c r="D403" s="77"/>
      <c r="E403" s="75"/>
      <c r="F403" s="111"/>
      <c r="G403" s="78"/>
      <c r="H403" s="78"/>
    </row>
    <row r="404" spans="1:8" s="89" customFormat="1" ht="15">
      <c r="A404" s="88" t="s">
        <v>378</v>
      </c>
      <c r="B404" s="88" t="s">
        <v>6</v>
      </c>
      <c r="C404" s="88" t="s">
        <v>7</v>
      </c>
      <c r="D404" s="88" t="s">
        <v>8</v>
      </c>
      <c r="E404" s="88" t="s">
        <v>9</v>
      </c>
      <c r="F404" s="88" t="s">
        <v>10</v>
      </c>
      <c r="G404" s="88" t="s">
        <v>11</v>
      </c>
      <c r="H404" s="88" t="s">
        <v>12</v>
      </c>
    </row>
    <row r="405" spans="1:8" s="87" customFormat="1" ht="15">
      <c r="A405" s="153" t="s">
        <v>71</v>
      </c>
      <c r="B405" s="153">
        <v>180063</v>
      </c>
      <c r="C405" s="153" t="s">
        <v>188</v>
      </c>
      <c r="D405" s="160" t="s">
        <v>377</v>
      </c>
      <c r="E405" s="153" t="s">
        <v>19</v>
      </c>
      <c r="F405" s="157"/>
      <c r="G405" s="158"/>
      <c r="H405" s="158">
        <f>SUM(H406:H409)</f>
        <v>34.312920000000005</v>
      </c>
    </row>
    <row r="406" spans="1:8" s="21" customFormat="1" ht="14.25">
      <c r="A406" s="75" t="s">
        <v>70</v>
      </c>
      <c r="B406" s="75">
        <v>5318</v>
      </c>
      <c r="C406" s="75" t="s">
        <v>41</v>
      </c>
      <c r="D406" s="77" t="s">
        <v>385</v>
      </c>
      <c r="E406" s="75" t="s">
        <v>101</v>
      </c>
      <c r="F406" s="185">
        <f>0.005*5</f>
        <v>0.025</v>
      </c>
      <c r="G406" s="98">
        <v>15.8</v>
      </c>
      <c r="H406" s="98">
        <f aca="true" t="shared" si="61" ref="H406:H409">F406*G406</f>
        <v>0.395</v>
      </c>
    </row>
    <row r="407" spans="1:8" s="21" customFormat="1" ht="14.25">
      <c r="A407" s="75" t="s">
        <v>70</v>
      </c>
      <c r="B407" s="75">
        <v>10481</v>
      </c>
      <c r="C407" s="75" t="s">
        <v>41</v>
      </c>
      <c r="D407" s="77" t="s">
        <v>386</v>
      </c>
      <c r="E407" s="75" t="s">
        <v>101</v>
      </c>
      <c r="F407" s="185">
        <f>0.16*3.6</f>
        <v>0.5760000000000001</v>
      </c>
      <c r="G407" s="98">
        <v>29.88</v>
      </c>
      <c r="H407" s="98">
        <f t="shared" si="61"/>
        <v>17.210880000000003</v>
      </c>
    </row>
    <row r="408" spans="1:8" s="21" customFormat="1" ht="14.25">
      <c r="A408" s="75" t="s">
        <v>71</v>
      </c>
      <c r="B408" s="75">
        <v>88310</v>
      </c>
      <c r="C408" s="75" t="s">
        <v>41</v>
      </c>
      <c r="D408" s="77" t="s">
        <v>382</v>
      </c>
      <c r="E408" s="75" t="s">
        <v>61</v>
      </c>
      <c r="F408" s="185">
        <v>0.392</v>
      </c>
      <c r="G408" s="98">
        <v>25.12</v>
      </c>
      <c r="H408" s="98">
        <f t="shared" si="61"/>
        <v>9.847040000000002</v>
      </c>
    </row>
    <row r="409" spans="1:8" s="21" customFormat="1" ht="14.25">
      <c r="A409" s="74" t="s">
        <v>71</v>
      </c>
      <c r="B409" s="75">
        <v>88316</v>
      </c>
      <c r="C409" s="75" t="s">
        <v>41</v>
      </c>
      <c r="D409" s="77" t="s">
        <v>127</v>
      </c>
      <c r="E409" s="75" t="s">
        <v>61</v>
      </c>
      <c r="F409" s="185">
        <v>0.392</v>
      </c>
      <c r="G409" s="98">
        <v>17.5</v>
      </c>
      <c r="H409" s="98">
        <f t="shared" si="61"/>
        <v>6.86</v>
      </c>
    </row>
    <row r="410" spans="1:8" s="21" customFormat="1" ht="14.25">
      <c r="A410" s="79"/>
      <c r="B410" s="80"/>
      <c r="C410" s="80"/>
      <c r="D410" s="80"/>
      <c r="E410" s="80"/>
      <c r="F410" s="81"/>
      <c r="G410" s="80"/>
      <c r="H410" s="81"/>
    </row>
    <row r="411" spans="1:8" s="127" customFormat="1" ht="15">
      <c r="A411" s="95">
        <v>8</v>
      </c>
      <c r="B411" s="59"/>
      <c r="C411" s="59"/>
      <c r="D411" s="96" t="s">
        <v>59</v>
      </c>
      <c r="E411" s="59"/>
      <c r="F411" s="59"/>
      <c r="G411" s="59"/>
      <c r="H411" s="59"/>
    </row>
    <row r="412" spans="1:8" s="130" customFormat="1" ht="15">
      <c r="A412" s="128" t="s">
        <v>387</v>
      </c>
      <c r="B412" s="97"/>
      <c r="C412" s="128"/>
      <c r="D412" s="129" t="s">
        <v>60</v>
      </c>
      <c r="E412" s="128"/>
      <c r="F412" s="128"/>
      <c r="G412" s="128"/>
      <c r="H412" s="128"/>
    </row>
    <row r="413" spans="1:8" s="89" customFormat="1" ht="15">
      <c r="A413" s="88" t="s">
        <v>388</v>
      </c>
      <c r="B413" s="88" t="s">
        <v>6</v>
      </c>
      <c r="C413" s="88" t="s">
        <v>7</v>
      </c>
      <c r="D413" s="88" t="s">
        <v>8</v>
      </c>
      <c r="E413" s="88" t="s">
        <v>9</v>
      </c>
      <c r="F413" s="88" t="s">
        <v>10</v>
      </c>
      <c r="G413" s="88" t="s">
        <v>11</v>
      </c>
      <c r="H413" s="88" t="s">
        <v>12</v>
      </c>
    </row>
    <row r="414" spans="1:8" s="87" customFormat="1" ht="15">
      <c r="A414" s="153" t="s">
        <v>71</v>
      </c>
      <c r="B414" s="153" t="s">
        <v>420</v>
      </c>
      <c r="C414" s="153" t="s">
        <v>419</v>
      </c>
      <c r="D414" s="172" t="s">
        <v>416</v>
      </c>
      <c r="E414" s="153" t="s">
        <v>19</v>
      </c>
      <c r="F414" s="173"/>
      <c r="G414" s="174"/>
      <c r="H414" s="174">
        <f>SUM(H415)</f>
        <v>797.7564102564103</v>
      </c>
    </row>
    <row r="415" spans="1:8" s="21" customFormat="1" ht="14.25">
      <c r="A415" s="75" t="s">
        <v>418</v>
      </c>
      <c r="B415" s="75" t="s">
        <v>417</v>
      </c>
      <c r="C415" s="75" t="s">
        <v>419</v>
      </c>
      <c r="D415" s="77" t="s">
        <v>476</v>
      </c>
      <c r="E415" s="74" t="s">
        <v>19</v>
      </c>
      <c r="F415" s="78">
        <v>1</v>
      </c>
      <c r="G415" s="78">
        <f>Cotação!H9</f>
        <v>797.7564102564103</v>
      </c>
      <c r="H415" s="98">
        <f aca="true" t="shared" si="62" ref="H415">F415*G415</f>
        <v>797.7564102564103</v>
      </c>
    </row>
    <row r="416" spans="1:8" s="21" customFormat="1" ht="14.25">
      <c r="A416" s="75"/>
      <c r="B416" s="76"/>
      <c r="C416" s="77"/>
      <c r="D416" s="77"/>
      <c r="E416" s="75"/>
      <c r="F416" s="111"/>
      <c r="G416" s="78"/>
      <c r="H416" s="78"/>
    </row>
    <row r="417" spans="1:8" s="89" customFormat="1" ht="15">
      <c r="A417" s="88" t="s">
        <v>389</v>
      </c>
      <c r="B417" s="88" t="s">
        <v>6</v>
      </c>
      <c r="C417" s="88" t="s">
        <v>7</v>
      </c>
      <c r="D417" s="88" t="s">
        <v>8</v>
      </c>
      <c r="E417" s="88" t="s">
        <v>9</v>
      </c>
      <c r="F417" s="88" t="s">
        <v>10</v>
      </c>
      <c r="G417" s="88" t="s">
        <v>11</v>
      </c>
      <c r="H417" s="88" t="s">
        <v>12</v>
      </c>
    </row>
    <row r="418" spans="1:8" s="87" customFormat="1" ht="15">
      <c r="A418" s="153" t="s">
        <v>71</v>
      </c>
      <c r="B418" s="153">
        <v>98505</v>
      </c>
      <c r="C418" s="159" t="s">
        <v>41</v>
      </c>
      <c r="D418" s="154" t="s">
        <v>421</v>
      </c>
      <c r="E418" s="153" t="s">
        <v>19</v>
      </c>
      <c r="F418" s="157"/>
      <c r="G418" s="158"/>
      <c r="H418" s="174">
        <f>SUM(H419:H421)</f>
        <v>48.824004</v>
      </c>
    </row>
    <row r="419" spans="1:8" s="21" customFormat="1" ht="25.5">
      <c r="A419" s="75" t="s">
        <v>70</v>
      </c>
      <c r="B419" s="75" t="s">
        <v>422</v>
      </c>
      <c r="C419" s="75" t="s">
        <v>41</v>
      </c>
      <c r="D419" s="77" t="s">
        <v>424</v>
      </c>
      <c r="E419" s="75" t="s">
        <v>17</v>
      </c>
      <c r="F419" s="86">
        <v>25</v>
      </c>
      <c r="G419" s="98">
        <v>1.76</v>
      </c>
      <c r="H419" s="98">
        <f aca="true" t="shared" si="63" ref="H419:H421">F419*G419</f>
        <v>44</v>
      </c>
    </row>
    <row r="420" spans="1:8" s="21" customFormat="1" ht="14.25">
      <c r="A420" s="75" t="s">
        <v>71</v>
      </c>
      <c r="B420" s="75" t="s">
        <v>167</v>
      </c>
      <c r="C420" s="75" t="s">
        <v>41</v>
      </c>
      <c r="D420" s="77" t="s">
        <v>127</v>
      </c>
      <c r="E420" s="75" t="s">
        <v>61</v>
      </c>
      <c r="F420" s="86">
        <v>0.211</v>
      </c>
      <c r="G420" s="98">
        <v>17.5</v>
      </c>
      <c r="H420" s="98">
        <f t="shared" si="63"/>
        <v>3.6925</v>
      </c>
    </row>
    <row r="421" spans="1:8" s="21" customFormat="1" ht="14.25">
      <c r="A421" s="74" t="s">
        <v>71</v>
      </c>
      <c r="B421" s="75" t="s">
        <v>423</v>
      </c>
      <c r="C421" s="75" t="s">
        <v>41</v>
      </c>
      <c r="D421" s="77" t="s">
        <v>425</v>
      </c>
      <c r="E421" s="75" t="s">
        <v>61</v>
      </c>
      <c r="F421" s="86">
        <v>0.0528</v>
      </c>
      <c r="G421" s="98">
        <v>21.43</v>
      </c>
      <c r="H421" s="98">
        <f t="shared" si="63"/>
        <v>1.131504</v>
      </c>
    </row>
    <row r="422" spans="1:8" s="21" customFormat="1" ht="14.25">
      <c r="A422" s="75"/>
      <c r="B422" s="76"/>
      <c r="C422" s="77"/>
      <c r="D422" s="77"/>
      <c r="E422" s="75"/>
      <c r="F422" s="111"/>
      <c r="G422" s="78"/>
      <c r="H422" s="78"/>
    </row>
    <row r="423" spans="1:8" s="89" customFormat="1" ht="15">
      <c r="A423" s="88" t="s">
        <v>426</v>
      </c>
      <c r="B423" s="88" t="s">
        <v>6</v>
      </c>
      <c r="C423" s="88" t="s">
        <v>7</v>
      </c>
      <c r="D423" s="88" t="s">
        <v>8</v>
      </c>
      <c r="E423" s="88" t="s">
        <v>9</v>
      </c>
      <c r="F423" s="88" t="s">
        <v>10</v>
      </c>
      <c r="G423" s="88" t="s">
        <v>11</v>
      </c>
      <c r="H423" s="88" t="s">
        <v>12</v>
      </c>
    </row>
    <row r="424" spans="1:8" s="87" customFormat="1" ht="25.5">
      <c r="A424" s="153" t="s">
        <v>71</v>
      </c>
      <c r="B424" s="153">
        <v>98516</v>
      </c>
      <c r="C424" s="159" t="s">
        <v>41</v>
      </c>
      <c r="D424" s="154" t="s">
        <v>493</v>
      </c>
      <c r="E424" s="159" t="s">
        <v>17</v>
      </c>
      <c r="F424" s="157"/>
      <c r="G424" s="158"/>
      <c r="H424" s="174">
        <f>SUM(H425:H429)</f>
        <v>301.32909900000004</v>
      </c>
    </row>
    <row r="425" spans="1:8" s="21" customFormat="1" ht="14.25">
      <c r="A425" s="75" t="s">
        <v>70</v>
      </c>
      <c r="B425" s="75" t="s">
        <v>494</v>
      </c>
      <c r="C425" s="75" t="s">
        <v>41</v>
      </c>
      <c r="D425" s="77" t="s">
        <v>497</v>
      </c>
      <c r="E425" s="75" t="s">
        <v>17</v>
      </c>
      <c r="F425" s="188">
        <v>1</v>
      </c>
      <c r="G425" s="98">
        <v>75.86</v>
      </c>
      <c r="H425" s="98">
        <f aca="true" t="shared" si="64" ref="H425:H429">F425*G425</f>
        <v>75.86</v>
      </c>
    </row>
    <row r="426" spans="1:8" s="21" customFormat="1" ht="14.25">
      <c r="A426" s="75" t="s">
        <v>71</v>
      </c>
      <c r="B426" s="75" t="s">
        <v>167</v>
      </c>
      <c r="C426" s="75" t="s">
        <v>41</v>
      </c>
      <c r="D426" s="77" t="s">
        <v>127</v>
      </c>
      <c r="E426" s="75" t="s">
        <v>61</v>
      </c>
      <c r="F426" s="188">
        <v>4.362</v>
      </c>
      <c r="G426" s="98">
        <v>17.5</v>
      </c>
      <c r="H426" s="98">
        <f aca="true" t="shared" si="65" ref="H426:H427">F426*G426</f>
        <v>76.33500000000001</v>
      </c>
    </row>
    <row r="427" spans="1:8" s="21" customFormat="1" ht="14.25">
      <c r="A427" s="75" t="s">
        <v>71</v>
      </c>
      <c r="B427" s="75" t="s">
        <v>423</v>
      </c>
      <c r="C427" s="75" t="s">
        <v>41</v>
      </c>
      <c r="D427" s="77" t="s">
        <v>425</v>
      </c>
      <c r="E427" s="75" t="s">
        <v>61</v>
      </c>
      <c r="F427" s="188">
        <v>1.0905</v>
      </c>
      <c r="G427" s="98">
        <v>21.43</v>
      </c>
      <c r="H427" s="98">
        <f t="shared" si="65"/>
        <v>23.369415</v>
      </c>
    </row>
    <row r="428" spans="1:8" s="21" customFormat="1" ht="51">
      <c r="A428" s="75" t="s">
        <v>71</v>
      </c>
      <c r="B428" s="75" t="s">
        <v>495</v>
      </c>
      <c r="C428" s="75" t="s">
        <v>41</v>
      </c>
      <c r="D428" s="77" t="s">
        <v>498</v>
      </c>
      <c r="E428" s="75" t="s">
        <v>212</v>
      </c>
      <c r="F428" s="188">
        <v>0.2999</v>
      </c>
      <c r="G428" s="98">
        <v>207.08</v>
      </c>
      <c r="H428" s="98">
        <f t="shared" si="64"/>
        <v>62.103292</v>
      </c>
    </row>
    <row r="429" spans="1:8" s="21" customFormat="1" ht="51">
      <c r="A429" s="74" t="s">
        <v>71</v>
      </c>
      <c r="B429" s="75" t="s">
        <v>496</v>
      </c>
      <c r="C429" s="75" t="s">
        <v>41</v>
      </c>
      <c r="D429" s="77" t="s">
        <v>499</v>
      </c>
      <c r="E429" s="75" t="s">
        <v>213</v>
      </c>
      <c r="F429" s="188">
        <v>1.2252</v>
      </c>
      <c r="G429" s="98">
        <v>51.96</v>
      </c>
      <c r="H429" s="98">
        <f t="shared" si="64"/>
        <v>63.661392000000006</v>
      </c>
    </row>
    <row r="430" spans="1:8" s="21" customFormat="1" ht="14.25">
      <c r="A430" s="75"/>
      <c r="B430" s="76"/>
      <c r="C430" s="77"/>
      <c r="D430" s="77"/>
      <c r="E430" s="75"/>
      <c r="F430" s="111"/>
      <c r="G430" s="78"/>
      <c r="H430" s="78"/>
    </row>
    <row r="431" spans="1:8" s="89" customFormat="1" ht="15">
      <c r="A431" s="88" t="s">
        <v>492</v>
      </c>
      <c r="B431" s="88" t="s">
        <v>6</v>
      </c>
      <c r="C431" s="88" t="s">
        <v>7</v>
      </c>
      <c r="D431" s="88" t="s">
        <v>8</v>
      </c>
      <c r="E431" s="88" t="s">
        <v>9</v>
      </c>
      <c r="F431" s="88" t="s">
        <v>10</v>
      </c>
      <c r="G431" s="88" t="s">
        <v>11</v>
      </c>
      <c r="H431" s="88" t="s">
        <v>12</v>
      </c>
    </row>
    <row r="432" spans="1:8" s="87" customFormat="1" ht="15">
      <c r="A432" s="153" t="s">
        <v>71</v>
      </c>
      <c r="B432" s="153">
        <v>102719</v>
      </c>
      <c r="C432" s="159" t="s">
        <v>186</v>
      </c>
      <c r="D432" s="154" t="s">
        <v>427</v>
      </c>
      <c r="E432" s="153" t="s">
        <v>23</v>
      </c>
      <c r="F432" s="157"/>
      <c r="G432" s="158"/>
      <c r="H432" s="174">
        <f>SUM(H433:H435)</f>
        <v>319.410877</v>
      </c>
    </row>
    <row r="433" spans="1:8" s="21" customFormat="1" ht="14.25">
      <c r="A433" s="75" t="s">
        <v>70</v>
      </c>
      <c r="B433" s="75">
        <v>4734</v>
      </c>
      <c r="C433" s="75" t="s">
        <v>41</v>
      </c>
      <c r="D433" s="77" t="s">
        <v>432</v>
      </c>
      <c r="E433" s="171" t="s">
        <v>23</v>
      </c>
      <c r="F433" s="168" t="s">
        <v>428</v>
      </c>
      <c r="G433" s="78">
        <v>264.54</v>
      </c>
      <c r="H433" s="98">
        <f aca="true" t="shared" si="66" ref="H433:H435">F433*G433</f>
        <v>290.994</v>
      </c>
    </row>
    <row r="434" spans="1:8" s="21" customFormat="1" ht="14.25">
      <c r="A434" s="75" t="s">
        <v>71</v>
      </c>
      <c r="B434" s="75" t="s">
        <v>166</v>
      </c>
      <c r="C434" s="75" t="s">
        <v>41</v>
      </c>
      <c r="D434" s="77" t="s">
        <v>129</v>
      </c>
      <c r="E434" s="164" t="s">
        <v>61</v>
      </c>
      <c r="F434" s="168" t="s">
        <v>429</v>
      </c>
      <c r="G434" s="98" t="s">
        <v>431</v>
      </c>
      <c r="H434" s="98">
        <f t="shared" si="66"/>
        <v>8.932376999999999</v>
      </c>
    </row>
    <row r="435" spans="1:8" s="21" customFormat="1" ht="14.25">
      <c r="A435" s="74" t="s">
        <v>71</v>
      </c>
      <c r="B435" s="75" t="s">
        <v>167</v>
      </c>
      <c r="C435" s="75" t="s">
        <v>41</v>
      </c>
      <c r="D435" s="77" t="s">
        <v>127</v>
      </c>
      <c r="E435" s="164" t="s">
        <v>61</v>
      </c>
      <c r="F435" s="168" t="s">
        <v>430</v>
      </c>
      <c r="G435" s="98">
        <v>17.5</v>
      </c>
      <c r="H435" s="98">
        <f t="shared" si="66"/>
        <v>19.4845</v>
      </c>
    </row>
    <row r="436" spans="1:8" s="21" customFormat="1" ht="14.25">
      <c r="A436" s="79"/>
      <c r="B436" s="80"/>
      <c r="C436" s="80"/>
      <c r="D436" s="80"/>
      <c r="E436" s="140"/>
      <c r="F436" s="81"/>
      <c r="G436" s="80"/>
      <c r="H436" s="81"/>
    </row>
    <row r="437" spans="1:8" s="130" customFormat="1" ht="15">
      <c r="A437" s="128" t="s">
        <v>405</v>
      </c>
      <c r="B437" s="97"/>
      <c r="C437" s="128"/>
      <c r="D437" s="129" t="s">
        <v>390</v>
      </c>
      <c r="E437" s="128"/>
      <c r="F437" s="128"/>
      <c r="G437" s="128"/>
      <c r="H437" s="128"/>
    </row>
    <row r="438" spans="1:8" s="89" customFormat="1" ht="15">
      <c r="A438" s="88" t="s">
        <v>406</v>
      </c>
      <c r="B438" s="88" t="s">
        <v>6</v>
      </c>
      <c r="C438" s="88" t="s">
        <v>7</v>
      </c>
      <c r="D438" s="88" t="s">
        <v>8</v>
      </c>
      <c r="E438" s="88" t="s">
        <v>9</v>
      </c>
      <c r="F438" s="88" t="s">
        <v>10</v>
      </c>
      <c r="G438" s="88" t="s">
        <v>11</v>
      </c>
      <c r="H438" s="88" t="s">
        <v>12</v>
      </c>
    </row>
    <row r="439" spans="1:8" s="87" customFormat="1" ht="38.25">
      <c r="A439" s="153" t="s">
        <v>71</v>
      </c>
      <c r="B439" s="153">
        <v>103315</v>
      </c>
      <c r="C439" s="159" t="s">
        <v>41</v>
      </c>
      <c r="D439" s="154" t="s">
        <v>391</v>
      </c>
      <c r="E439" s="153" t="s">
        <v>19</v>
      </c>
      <c r="F439" s="157"/>
      <c r="G439" s="158"/>
      <c r="H439" s="158">
        <f>SUM(H440:H447)</f>
        <v>255.926087</v>
      </c>
    </row>
    <row r="440" spans="1:8" s="21" customFormat="1" ht="25.5">
      <c r="A440" s="74" t="s">
        <v>70</v>
      </c>
      <c r="B440" s="75" t="s">
        <v>398</v>
      </c>
      <c r="C440" s="75" t="s">
        <v>41</v>
      </c>
      <c r="D440" s="102" t="s">
        <v>392</v>
      </c>
      <c r="E440" s="74" t="s">
        <v>23</v>
      </c>
      <c r="F440" s="112">
        <v>0.0023</v>
      </c>
      <c r="G440" s="113">
        <v>80.47</v>
      </c>
      <c r="H440" s="98">
        <f>F440*G440</f>
        <v>0.185081</v>
      </c>
    </row>
    <row r="441" spans="1:8" s="21" customFormat="1" ht="25.5">
      <c r="A441" s="74" t="s">
        <v>70</v>
      </c>
      <c r="B441" s="75" t="s">
        <v>399</v>
      </c>
      <c r="C441" s="75" t="s">
        <v>41</v>
      </c>
      <c r="D441" s="102" t="s">
        <v>393</v>
      </c>
      <c r="E441" s="74" t="s">
        <v>24</v>
      </c>
      <c r="F441" s="112">
        <v>0.6465</v>
      </c>
      <c r="G441" s="113">
        <v>83.72</v>
      </c>
      <c r="H441" s="98">
        <f aca="true" t="shared" si="67" ref="H441:H447">F441*G441</f>
        <v>54.124979999999994</v>
      </c>
    </row>
    <row r="442" spans="1:8" s="21" customFormat="1" ht="25.5">
      <c r="A442" s="74" t="s">
        <v>70</v>
      </c>
      <c r="B442" s="75" t="s">
        <v>400</v>
      </c>
      <c r="C442" s="75" t="s">
        <v>41</v>
      </c>
      <c r="D442" s="102" t="s">
        <v>394</v>
      </c>
      <c r="E442" s="74" t="s">
        <v>24</v>
      </c>
      <c r="F442" s="112">
        <v>2.7273</v>
      </c>
      <c r="G442" s="113">
        <v>35.06</v>
      </c>
      <c r="H442" s="98">
        <f t="shared" si="67"/>
        <v>95.619138</v>
      </c>
    </row>
    <row r="443" spans="1:8" s="21" customFormat="1" ht="25.5">
      <c r="A443" s="74" t="s">
        <v>70</v>
      </c>
      <c r="B443" s="75" t="s">
        <v>401</v>
      </c>
      <c r="C443" s="75" t="s">
        <v>41</v>
      </c>
      <c r="D443" s="102" t="s">
        <v>395</v>
      </c>
      <c r="E443" s="74" t="s">
        <v>24</v>
      </c>
      <c r="F443" s="112">
        <v>0.6926</v>
      </c>
      <c r="G443" s="113">
        <v>110.67</v>
      </c>
      <c r="H443" s="98">
        <f t="shared" si="67"/>
        <v>76.650042</v>
      </c>
    </row>
    <row r="444" spans="1:8" s="21" customFormat="1" ht="14.25">
      <c r="A444" s="74" t="s">
        <v>70</v>
      </c>
      <c r="B444" s="75" t="s">
        <v>402</v>
      </c>
      <c r="C444" s="75" t="s">
        <v>41</v>
      </c>
      <c r="D444" s="102" t="s">
        <v>396</v>
      </c>
      <c r="E444" s="74" t="s">
        <v>192</v>
      </c>
      <c r="F444" s="112">
        <v>0.0312</v>
      </c>
      <c r="G444" s="113">
        <v>22.87</v>
      </c>
      <c r="H444" s="98">
        <f t="shared" si="67"/>
        <v>0.713544</v>
      </c>
    </row>
    <row r="445" spans="1:8" s="21" customFormat="1" ht="38.25">
      <c r="A445" s="74" t="s">
        <v>71</v>
      </c>
      <c r="B445" s="75" t="s">
        <v>404</v>
      </c>
      <c r="C445" s="75" t="s">
        <v>41</v>
      </c>
      <c r="D445" s="102" t="s">
        <v>397</v>
      </c>
      <c r="E445" s="74" t="s">
        <v>23</v>
      </c>
      <c r="F445" s="112">
        <v>0.0208</v>
      </c>
      <c r="G445" s="113">
        <v>542.09</v>
      </c>
      <c r="H445" s="98">
        <f>F445*G445</f>
        <v>11.275472</v>
      </c>
    </row>
    <row r="446" spans="1:8" s="21" customFormat="1" ht="14.25">
      <c r="A446" s="74" t="s">
        <v>71</v>
      </c>
      <c r="B446" s="75" t="s">
        <v>403</v>
      </c>
      <c r="C446" s="75" t="s">
        <v>41</v>
      </c>
      <c r="D446" s="102" t="s">
        <v>123</v>
      </c>
      <c r="E446" s="74" t="s">
        <v>61</v>
      </c>
      <c r="F446" s="112">
        <v>0.421</v>
      </c>
      <c r="G446" s="113">
        <v>17.42</v>
      </c>
      <c r="H446" s="98">
        <f t="shared" si="67"/>
        <v>7.33382</v>
      </c>
    </row>
    <row r="447" spans="1:8" s="21" customFormat="1" ht="14.25">
      <c r="A447" s="74" t="s">
        <v>71</v>
      </c>
      <c r="B447" s="75" t="s">
        <v>225</v>
      </c>
      <c r="C447" s="75" t="s">
        <v>41</v>
      </c>
      <c r="D447" s="102" t="s">
        <v>122</v>
      </c>
      <c r="E447" s="74" t="s">
        <v>61</v>
      </c>
      <c r="F447" s="112">
        <v>0.421</v>
      </c>
      <c r="G447" s="113">
        <v>23.81</v>
      </c>
      <c r="H447" s="98">
        <f t="shared" si="67"/>
        <v>10.024009999999999</v>
      </c>
    </row>
    <row r="448" spans="1:8" s="21" customFormat="1" ht="14.25">
      <c r="A448" s="79"/>
      <c r="B448" s="80"/>
      <c r="C448" s="80"/>
      <c r="D448" s="80"/>
      <c r="E448" s="80"/>
      <c r="F448" s="218"/>
      <c r="G448" s="218"/>
      <c r="H448" s="81"/>
    </row>
    <row r="449" spans="1:8" s="89" customFormat="1" ht="15">
      <c r="A449" s="88" t="s">
        <v>433</v>
      </c>
      <c r="B449" s="88" t="s">
        <v>6</v>
      </c>
      <c r="C449" s="88" t="s">
        <v>7</v>
      </c>
      <c r="D449" s="88" t="s">
        <v>8</v>
      </c>
      <c r="E449" s="88" t="s">
        <v>9</v>
      </c>
      <c r="F449" s="88" t="s">
        <v>10</v>
      </c>
      <c r="G449" s="88" t="s">
        <v>11</v>
      </c>
      <c r="H449" s="88" t="s">
        <v>12</v>
      </c>
    </row>
    <row r="450" spans="1:8" s="87" customFormat="1" ht="15">
      <c r="A450" s="153" t="s">
        <v>71</v>
      </c>
      <c r="B450" s="153" t="s">
        <v>434</v>
      </c>
      <c r="C450" s="153" t="s">
        <v>419</v>
      </c>
      <c r="D450" s="154" t="s">
        <v>487</v>
      </c>
      <c r="E450" s="159" t="s">
        <v>17</v>
      </c>
      <c r="F450" s="157"/>
      <c r="G450" s="189"/>
      <c r="H450" s="189">
        <f>SUM(H451)</f>
        <v>3016.6666666666665</v>
      </c>
    </row>
    <row r="451" spans="1:8" s="21" customFormat="1" ht="14.25">
      <c r="A451" s="74" t="s">
        <v>70</v>
      </c>
      <c r="B451" s="75" t="s">
        <v>435</v>
      </c>
      <c r="C451" s="75" t="s">
        <v>419</v>
      </c>
      <c r="D451" s="102" t="s">
        <v>487</v>
      </c>
      <c r="E451" s="75" t="s">
        <v>17</v>
      </c>
      <c r="F451" s="112">
        <v>1</v>
      </c>
      <c r="G451" s="113">
        <f>Cotação!H18</f>
        <v>3016.6666666666665</v>
      </c>
      <c r="H451" s="98">
        <f aca="true" t="shared" si="68" ref="H451">F451*G451</f>
        <v>3016.6666666666665</v>
      </c>
    </row>
    <row r="452" spans="1:8" s="21" customFormat="1" ht="14.25">
      <c r="A452" s="79"/>
      <c r="B452" s="80"/>
      <c r="C452" s="80"/>
      <c r="D452" s="80"/>
      <c r="E452" s="80"/>
      <c r="F452" s="218"/>
      <c r="G452" s="218"/>
      <c r="H452" s="81"/>
    </row>
    <row r="453" spans="1:8" s="89" customFormat="1" ht="15">
      <c r="A453" s="88" t="s">
        <v>455</v>
      </c>
      <c r="B453" s="88" t="s">
        <v>6</v>
      </c>
      <c r="C453" s="88" t="s">
        <v>7</v>
      </c>
      <c r="D453" s="88" t="s">
        <v>8</v>
      </c>
      <c r="E453" s="88" t="s">
        <v>9</v>
      </c>
      <c r="F453" s="88" t="s">
        <v>10</v>
      </c>
      <c r="G453" s="88" t="s">
        <v>11</v>
      </c>
      <c r="H453" s="88" t="s">
        <v>12</v>
      </c>
    </row>
    <row r="454" spans="1:8" s="87" customFormat="1" ht="25.5">
      <c r="A454" s="153" t="s">
        <v>71</v>
      </c>
      <c r="B454" s="153">
        <v>103266</v>
      </c>
      <c r="C454" s="159" t="s">
        <v>41</v>
      </c>
      <c r="D454" s="154" t="s">
        <v>436</v>
      </c>
      <c r="E454" s="153" t="s">
        <v>17</v>
      </c>
      <c r="F454" s="157"/>
      <c r="G454" s="158"/>
      <c r="H454" s="158">
        <f>SUM(H455:H464)</f>
        <v>9625.071011</v>
      </c>
    </row>
    <row r="455" spans="1:8" s="21" customFormat="1" ht="25.5">
      <c r="A455" s="74" t="s">
        <v>70</v>
      </c>
      <c r="B455" s="75" t="s">
        <v>319</v>
      </c>
      <c r="C455" s="75" t="s">
        <v>41</v>
      </c>
      <c r="D455" s="102" t="s">
        <v>321</v>
      </c>
      <c r="E455" s="74" t="s">
        <v>17</v>
      </c>
      <c r="F455" s="190">
        <v>10</v>
      </c>
      <c r="G455" s="113">
        <v>0.87</v>
      </c>
      <c r="H455" s="98">
        <f aca="true" t="shared" si="69" ref="H455:H464">F455*G455</f>
        <v>8.7</v>
      </c>
    </row>
    <row r="456" spans="1:8" s="21" customFormat="1" ht="14.25">
      <c r="A456" s="74" t="s">
        <v>70</v>
      </c>
      <c r="B456" s="75" t="s">
        <v>437</v>
      </c>
      <c r="C456" s="75" t="s">
        <v>41</v>
      </c>
      <c r="D456" s="102" t="s">
        <v>446</v>
      </c>
      <c r="E456" s="74" t="s">
        <v>17</v>
      </c>
      <c r="F456" s="190">
        <v>6</v>
      </c>
      <c r="G456" s="113">
        <v>0.48</v>
      </c>
      <c r="H456" s="98">
        <f t="shared" si="69"/>
        <v>2.88</v>
      </c>
    </row>
    <row r="457" spans="1:8" s="21" customFormat="1" ht="38.25">
      <c r="A457" s="74" t="s">
        <v>70</v>
      </c>
      <c r="B457" s="75" t="s">
        <v>438</v>
      </c>
      <c r="C457" s="75" t="s">
        <v>41</v>
      </c>
      <c r="D457" s="102" t="s">
        <v>447</v>
      </c>
      <c r="E457" s="74" t="s">
        <v>17</v>
      </c>
      <c r="F457" s="190">
        <v>4</v>
      </c>
      <c r="G457" s="113">
        <v>0.51</v>
      </c>
      <c r="H457" s="98">
        <f t="shared" si="69"/>
        <v>2.04</v>
      </c>
    </row>
    <row r="458" spans="1:8" s="21" customFormat="1" ht="25.5">
      <c r="A458" s="74" t="s">
        <v>70</v>
      </c>
      <c r="B458" s="75" t="s">
        <v>439</v>
      </c>
      <c r="C458" s="75" t="s">
        <v>41</v>
      </c>
      <c r="D458" s="102" t="s">
        <v>448</v>
      </c>
      <c r="E458" s="74" t="s">
        <v>17</v>
      </c>
      <c r="F458" s="190">
        <v>6</v>
      </c>
      <c r="G458" s="113">
        <v>1.71</v>
      </c>
      <c r="H458" s="98">
        <f t="shared" si="69"/>
        <v>10.26</v>
      </c>
    </row>
    <row r="459" spans="1:8" s="21" customFormat="1" ht="25.5">
      <c r="A459" s="74" t="s">
        <v>70</v>
      </c>
      <c r="B459" s="75" t="s">
        <v>440</v>
      </c>
      <c r="C459" s="75" t="s">
        <v>41</v>
      </c>
      <c r="D459" s="102" t="s">
        <v>449</v>
      </c>
      <c r="E459" s="74" t="s">
        <v>17</v>
      </c>
      <c r="F459" s="190">
        <v>6</v>
      </c>
      <c r="G459" s="113">
        <v>0.92</v>
      </c>
      <c r="H459" s="98">
        <f t="shared" si="69"/>
        <v>5.5200000000000005</v>
      </c>
    </row>
    <row r="460" spans="1:8" s="21" customFormat="1" ht="38.25">
      <c r="A460" s="74" t="s">
        <v>70</v>
      </c>
      <c r="B460" s="75" t="s">
        <v>441</v>
      </c>
      <c r="C460" s="75" t="s">
        <v>41</v>
      </c>
      <c r="D460" s="102" t="s">
        <v>450</v>
      </c>
      <c r="E460" s="74" t="s">
        <v>17</v>
      </c>
      <c r="F460" s="190">
        <v>1</v>
      </c>
      <c r="G460" s="113">
        <v>9117.58</v>
      </c>
      <c r="H460" s="98">
        <f t="shared" si="69"/>
        <v>9117.58</v>
      </c>
    </row>
    <row r="461" spans="1:8" s="21" customFormat="1" ht="14.25">
      <c r="A461" s="74" t="s">
        <v>71</v>
      </c>
      <c r="B461" s="75" t="s">
        <v>442</v>
      </c>
      <c r="C461" s="75" t="s">
        <v>41</v>
      </c>
      <c r="D461" s="102" t="s">
        <v>451</v>
      </c>
      <c r="E461" s="74" t="s">
        <v>61</v>
      </c>
      <c r="F461" s="190">
        <v>4.5749</v>
      </c>
      <c r="G461" s="113">
        <v>18.35</v>
      </c>
      <c r="H461" s="98">
        <f t="shared" si="69"/>
        <v>83.94941500000002</v>
      </c>
    </row>
    <row r="462" spans="1:8" s="21" customFormat="1" ht="38.25">
      <c r="A462" s="74" t="s">
        <v>71</v>
      </c>
      <c r="B462" s="75" t="s">
        <v>443</v>
      </c>
      <c r="C462" s="75" t="s">
        <v>41</v>
      </c>
      <c r="D462" s="102" t="s">
        <v>452</v>
      </c>
      <c r="E462" s="74" t="s">
        <v>212</v>
      </c>
      <c r="F462" s="190">
        <v>0.2059</v>
      </c>
      <c r="G462" s="113">
        <v>299.65</v>
      </c>
      <c r="H462" s="98">
        <f t="shared" si="69"/>
        <v>61.697934999999994</v>
      </c>
    </row>
    <row r="463" spans="1:8" s="21" customFormat="1" ht="38.25">
      <c r="A463" s="74" t="s">
        <v>71</v>
      </c>
      <c r="B463" s="75" t="s">
        <v>444</v>
      </c>
      <c r="C463" s="75" t="s">
        <v>41</v>
      </c>
      <c r="D463" s="102" t="s">
        <v>453</v>
      </c>
      <c r="E463" s="74" t="s">
        <v>213</v>
      </c>
      <c r="F463" s="190">
        <v>1.5166</v>
      </c>
      <c r="G463" s="113">
        <v>143.88</v>
      </c>
      <c r="H463" s="98">
        <f t="shared" si="69"/>
        <v>218.208408</v>
      </c>
    </row>
    <row r="464" spans="1:8" s="21" customFormat="1" ht="14.25">
      <c r="A464" s="74" t="s">
        <v>71</v>
      </c>
      <c r="B464" s="75" t="s">
        <v>445</v>
      </c>
      <c r="C464" s="75" t="s">
        <v>41</v>
      </c>
      <c r="D464" s="102" t="s">
        <v>454</v>
      </c>
      <c r="E464" s="74" t="s">
        <v>61</v>
      </c>
      <c r="F464" s="190">
        <v>4.5749</v>
      </c>
      <c r="G464" s="113">
        <v>24.97</v>
      </c>
      <c r="H464" s="98">
        <f t="shared" si="69"/>
        <v>114.235253</v>
      </c>
    </row>
    <row r="465" spans="1:8" s="21" customFormat="1" ht="14.25">
      <c r="A465" s="74"/>
      <c r="B465" s="75"/>
      <c r="C465" s="75"/>
      <c r="D465" s="102"/>
      <c r="E465" s="74"/>
      <c r="F465" s="112"/>
      <c r="G465" s="113"/>
      <c r="H465" s="98"/>
    </row>
    <row r="466" spans="1:8" s="127" customFormat="1" ht="15">
      <c r="A466" s="95">
        <v>9</v>
      </c>
      <c r="B466" s="59"/>
      <c r="C466" s="59"/>
      <c r="D466" s="96" t="s">
        <v>62</v>
      </c>
      <c r="E466" s="59"/>
      <c r="F466" s="59"/>
      <c r="G466" s="59"/>
      <c r="H466" s="59"/>
    </row>
    <row r="467" spans="1:8" s="89" customFormat="1" ht="15">
      <c r="A467" s="88" t="s">
        <v>407</v>
      </c>
      <c r="B467" s="88" t="s">
        <v>6</v>
      </c>
      <c r="C467" s="88" t="s">
        <v>7</v>
      </c>
      <c r="D467" s="88" t="s">
        <v>8</v>
      </c>
      <c r="E467" s="88" t="s">
        <v>9</v>
      </c>
      <c r="F467" s="88" t="s">
        <v>10</v>
      </c>
      <c r="G467" s="88" t="s">
        <v>11</v>
      </c>
      <c r="H467" s="88" t="s">
        <v>12</v>
      </c>
    </row>
    <row r="468" spans="1:8" s="87" customFormat="1" ht="15">
      <c r="A468" s="153" t="s">
        <v>71</v>
      </c>
      <c r="B468" s="153">
        <v>270501</v>
      </c>
      <c r="C468" s="154" t="s">
        <v>115</v>
      </c>
      <c r="D468" s="154" t="s">
        <v>63</v>
      </c>
      <c r="E468" s="153" t="s">
        <v>19</v>
      </c>
      <c r="F468" s="157"/>
      <c r="G468" s="158"/>
      <c r="H468" s="158">
        <f>SUM(H469:H472)</f>
        <v>3.688359</v>
      </c>
    </row>
    <row r="469" spans="1:8" s="21" customFormat="1" ht="25.5">
      <c r="A469" s="75" t="s">
        <v>70</v>
      </c>
      <c r="B469" s="75">
        <v>3</v>
      </c>
      <c r="C469" s="75" t="s">
        <v>41</v>
      </c>
      <c r="D469" s="77" t="s">
        <v>408</v>
      </c>
      <c r="E469" s="75" t="s">
        <v>101</v>
      </c>
      <c r="F469" s="101">
        <v>0.05</v>
      </c>
      <c r="G469" s="98">
        <v>12</v>
      </c>
      <c r="H469" s="98">
        <f aca="true" t="shared" si="70" ref="H469:H472">F469*G469</f>
        <v>0.6000000000000001</v>
      </c>
    </row>
    <row r="470" spans="1:8" s="21" customFormat="1" ht="14.25">
      <c r="A470" s="75" t="s">
        <v>70</v>
      </c>
      <c r="B470" s="75" t="s">
        <v>102</v>
      </c>
      <c r="C470" s="75" t="s">
        <v>109</v>
      </c>
      <c r="D470" s="77" t="s">
        <v>103</v>
      </c>
      <c r="E470" s="75" t="s">
        <v>192</v>
      </c>
      <c r="F470" s="101">
        <v>0.0597</v>
      </c>
      <c r="G470" s="98">
        <v>6.47</v>
      </c>
      <c r="H470" s="98">
        <f t="shared" si="70"/>
        <v>0.386259</v>
      </c>
    </row>
    <row r="471" spans="1:8" s="21" customFormat="1" ht="14.25">
      <c r="A471" s="75" t="s">
        <v>70</v>
      </c>
      <c r="B471" s="75" t="s">
        <v>104</v>
      </c>
      <c r="C471" s="75" t="s">
        <v>109</v>
      </c>
      <c r="D471" s="77" t="s">
        <v>105</v>
      </c>
      <c r="E471" s="75" t="s">
        <v>192</v>
      </c>
      <c r="F471" s="101">
        <v>0.01</v>
      </c>
      <c r="G471" s="98">
        <v>7.71</v>
      </c>
      <c r="H471" s="98">
        <f t="shared" si="70"/>
        <v>0.0771</v>
      </c>
    </row>
    <row r="472" spans="1:8" s="21" customFormat="1" ht="14.25">
      <c r="A472" s="74" t="s">
        <v>71</v>
      </c>
      <c r="B472" s="75">
        <v>88316</v>
      </c>
      <c r="C472" s="75" t="s">
        <v>41</v>
      </c>
      <c r="D472" s="77" t="s">
        <v>127</v>
      </c>
      <c r="E472" s="75" t="s">
        <v>61</v>
      </c>
      <c r="F472" s="101">
        <v>0.15</v>
      </c>
      <c r="G472" s="98">
        <v>17.5</v>
      </c>
      <c r="H472" s="98">
        <f t="shared" si="70"/>
        <v>2.625</v>
      </c>
    </row>
    <row r="473" spans="1:8" s="21" customFormat="1" ht="14.25">
      <c r="A473" s="79"/>
      <c r="B473" s="80"/>
      <c r="C473" s="80"/>
      <c r="D473" s="80"/>
      <c r="E473" s="80"/>
      <c r="F473" s="81"/>
      <c r="G473" s="80"/>
      <c r="H473" s="81"/>
    </row>
    <row r="474" spans="1:8" s="89" customFormat="1" ht="15">
      <c r="A474" s="88" t="s">
        <v>410</v>
      </c>
      <c r="B474" s="88" t="s">
        <v>6</v>
      </c>
      <c r="C474" s="88" t="s">
        <v>7</v>
      </c>
      <c r="D474" s="88" t="s">
        <v>8</v>
      </c>
      <c r="E474" s="88" t="s">
        <v>9</v>
      </c>
      <c r="F474" s="88" t="s">
        <v>10</v>
      </c>
      <c r="G474" s="88" t="s">
        <v>11</v>
      </c>
      <c r="H474" s="88" t="s">
        <v>12</v>
      </c>
    </row>
    <row r="475" spans="1:8" s="87" customFormat="1" ht="15">
      <c r="A475" s="153" t="s">
        <v>71</v>
      </c>
      <c r="B475" s="153">
        <v>270804</v>
      </c>
      <c r="C475" s="154" t="s">
        <v>115</v>
      </c>
      <c r="D475" s="154" t="s">
        <v>505</v>
      </c>
      <c r="E475" s="153" t="s">
        <v>17</v>
      </c>
      <c r="F475" s="157"/>
      <c r="G475" s="158"/>
      <c r="H475" s="158">
        <f>SUM(H476:H478)</f>
        <v>956.7875</v>
      </c>
    </row>
    <row r="476" spans="1:8" s="21" customFormat="1" ht="38.25">
      <c r="A476" s="75" t="s">
        <v>70</v>
      </c>
      <c r="B476" s="75">
        <v>11950</v>
      </c>
      <c r="C476" s="75" t="s">
        <v>41</v>
      </c>
      <c r="D476" s="77" t="s">
        <v>78</v>
      </c>
      <c r="E476" s="75" t="s">
        <v>17</v>
      </c>
      <c r="F476" s="78">
        <v>4</v>
      </c>
      <c r="G476" s="98">
        <v>0.26</v>
      </c>
      <c r="H476" s="98">
        <f aca="true" t="shared" si="71" ref="H476:H478">F476*G476</f>
        <v>1.04</v>
      </c>
    </row>
    <row r="477" spans="1:8" s="21" customFormat="1" ht="14.25">
      <c r="A477" s="75" t="s">
        <v>70</v>
      </c>
      <c r="B477" s="75">
        <v>10848</v>
      </c>
      <c r="C477" s="75" t="s">
        <v>41</v>
      </c>
      <c r="D477" s="77" t="s">
        <v>409</v>
      </c>
      <c r="E477" s="75" t="s">
        <v>17</v>
      </c>
      <c r="F477" s="78">
        <v>1</v>
      </c>
      <c r="G477" s="98">
        <v>949.73</v>
      </c>
      <c r="H477" s="98">
        <f t="shared" si="71"/>
        <v>949.73</v>
      </c>
    </row>
    <row r="478" spans="1:8" s="21" customFormat="1" ht="14.25">
      <c r="A478" s="74" t="s">
        <v>71</v>
      </c>
      <c r="B478" s="75">
        <v>88309</v>
      </c>
      <c r="C478" s="75" t="s">
        <v>41</v>
      </c>
      <c r="D478" s="77" t="s">
        <v>129</v>
      </c>
      <c r="E478" s="75" t="s">
        <v>61</v>
      </c>
      <c r="F478" s="78">
        <v>0.25</v>
      </c>
      <c r="G478" s="98">
        <v>24.07</v>
      </c>
      <c r="H478" s="98">
        <f t="shared" si="71"/>
        <v>6.0175</v>
      </c>
    </row>
    <row r="479" spans="1:8" s="21" customFormat="1" ht="14.25">
      <c r="A479" s="79"/>
      <c r="B479" s="80"/>
      <c r="C479" s="80"/>
      <c r="D479" s="80"/>
      <c r="E479" s="80"/>
      <c r="F479" s="81"/>
      <c r="G479" s="80"/>
      <c r="H479" s="81"/>
    </row>
    <row r="480" spans="1:8" s="127" customFormat="1" ht="15">
      <c r="A480" s="95">
        <v>10</v>
      </c>
      <c r="B480" s="59"/>
      <c r="C480" s="59"/>
      <c r="D480" s="96" t="s">
        <v>64</v>
      </c>
      <c r="E480" s="59"/>
      <c r="F480" s="59"/>
      <c r="G480" s="59"/>
      <c r="H480" s="59"/>
    </row>
    <row r="481" spans="1:8" s="130" customFormat="1" ht="15">
      <c r="A481" s="128" t="s">
        <v>411</v>
      </c>
      <c r="B481" s="97"/>
      <c r="C481" s="128"/>
      <c r="D481" s="129" t="s">
        <v>65</v>
      </c>
      <c r="E481" s="128"/>
      <c r="F481" s="128"/>
      <c r="G481" s="128"/>
      <c r="H481" s="128"/>
    </row>
    <row r="482" spans="1:8" s="21" customFormat="1" ht="15">
      <c r="A482" s="88" t="s">
        <v>412</v>
      </c>
      <c r="B482" s="135" t="s">
        <v>6</v>
      </c>
      <c r="C482" s="136" t="s">
        <v>7</v>
      </c>
      <c r="D482" s="136" t="s">
        <v>8</v>
      </c>
      <c r="E482" s="88" t="s">
        <v>9</v>
      </c>
      <c r="F482" s="135" t="s">
        <v>10</v>
      </c>
      <c r="G482" s="135" t="s">
        <v>11</v>
      </c>
      <c r="H482" s="135" t="s">
        <v>12</v>
      </c>
    </row>
    <row r="483" spans="1:8" s="87" customFormat="1" ht="25.5">
      <c r="A483" s="153" t="s">
        <v>71</v>
      </c>
      <c r="B483" s="153">
        <v>90777</v>
      </c>
      <c r="C483" s="159" t="s">
        <v>41</v>
      </c>
      <c r="D483" s="154" t="s">
        <v>413</v>
      </c>
      <c r="E483" s="153" t="s">
        <v>61</v>
      </c>
      <c r="F483" s="157"/>
      <c r="G483" s="158"/>
      <c r="H483" s="158">
        <f>H484</f>
        <v>99.63</v>
      </c>
    </row>
    <row r="484" spans="1:8" s="21" customFormat="1" ht="25.5">
      <c r="A484" s="74" t="s">
        <v>71</v>
      </c>
      <c r="B484" s="75">
        <v>90777</v>
      </c>
      <c r="C484" s="75" t="s">
        <v>41</v>
      </c>
      <c r="D484" s="77" t="s">
        <v>413</v>
      </c>
      <c r="E484" s="75" t="s">
        <v>61</v>
      </c>
      <c r="F484" s="78">
        <v>1</v>
      </c>
      <c r="G484" s="78">
        <v>99.63</v>
      </c>
      <c r="H484" s="98">
        <f aca="true" t="shared" si="72" ref="H484">F484*G484</f>
        <v>99.63</v>
      </c>
    </row>
    <row r="485" spans="1:8" s="21" customFormat="1" ht="14.25">
      <c r="A485" s="79"/>
      <c r="B485" s="80"/>
      <c r="C485" s="80"/>
      <c r="D485" s="80"/>
      <c r="E485" s="80"/>
      <c r="F485" s="81"/>
      <c r="G485" s="80"/>
      <c r="H485" s="81"/>
    </row>
    <row r="486" spans="1:8" s="21" customFormat="1" ht="15">
      <c r="A486" s="88" t="s">
        <v>415</v>
      </c>
      <c r="B486" s="135" t="s">
        <v>6</v>
      </c>
      <c r="C486" s="136" t="s">
        <v>7</v>
      </c>
      <c r="D486" s="136" t="s">
        <v>8</v>
      </c>
      <c r="E486" s="88" t="s">
        <v>9</v>
      </c>
      <c r="F486" s="135" t="s">
        <v>10</v>
      </c>
      <c r="G486" s="135" t="s">
        <v>11</v>
      </c>
      <c r="H486" s="135" t="s">
        <v>12</v>
      </c>
    </row>
    <row r="487" spans="1:8" s="87" customFormat="1" ht="15">
      <c r="A487" s="153" t="s">
        <v>71</v>
      </c>
      <c r="B487" s="153">
        <v>90776</v>
      </c>
      <c r="C487" s="159" t="s">
        <v>41</v>
      </c>
      <c r="D487" s="154" t="s">
        <v>414</v>
      </c>
      <c r="E487" s="153" t="s">
        <v>61</v>
      </c>
      <c r="F487" s="157"/>
      <c r="G487" s="158"/>
      <c r="H487" s="158">
        <f>H488</f>
        <v>50.46</v>
      </c>
    </row>
    <row r="488" spans="1:8" s="21" customFormat="1" ht="14.25">
      <c r="A488" s="75" t="s">
        <v>70</v>
      </c>
      <c r="B488" s="74">
        <v>90776</v>
      </c>
      <c r="C488" s="75" t="s">
        <v>41</v>
      </c>
      <c r="D488" s="77" t="s">
        <v>414</v>
      </c>
      <c r="E488" s="75" t="s">
        <v>61</v>
      </c>
      <c r="F488" s="111">
        <v>1</v>
      </c>
      <c r="G488" s="78">
        <v>50.46</v>
      </c>
      <c r="H488" s="98">
        <f aca="true" t="shared" si="73" ref="H488">F488*G488</f>
        <v>50.46</v>
      </c>
    </row>
    <row r="489" spans="1:8" s="21" customFormat="1" ht="14.25">
      <c r="A489" s="79"/>
      <c r="B489" s="80"/>
      <c r="C489" s="80"/>
      <c r="D489" s="80"/>
      <c r="E489" s="80"/>
      <c r="F489" s="81"/>
      <c r="G489" s="80"/>
      <c r="H489" s="81"/>
    </row>
  </sheetData>
  <mergeCells count="10">
    <mergeCell ref="F162:G162"/>
    <mergeCell ref="F119:G119"/>
    <mergeCell ref="F344:G344"/>
    <mergeCell ref="F448:G448"/>
    <mergeCell ref="F452:G452"/>
    <mergeCell ref="A3:H3"/>
    <mergeCell ref="G1:H1"/>
    <mergeCell ref="G2:H2"/>
    <mergeCell ref="F146:G146"/>
    <mergeCell ref="F154:G154"/>
  </mergeCells>
  <printOptions/>
  <pageMargins left="0.7874015748031497" right="0.3937007874015748" top="0.5905511811023623" bottom="0.7874015748031497" header="0.5118110236220472" footer="0.5118110236220472"/>
  <pageSetup fitToHeight="0" fitToWidth="1" horizontalDpi="600" verticalDpi="600" orientation="portrait" paperSize="9" scale="53" r:id="rId2"/>
  <headerFooter>
    <oddHeader xml:space="preserve">&amp;L &amp;C </oddHeader>
    <oddFooter>&amp;L &amp;C &amp;R&amp;P de &amp;N</oddFooter>
  </headerFooter>
  <ignoredErrors>
    <ignoredError sqref="B57 B60:G60 B64:B67 I60:XFD60 B77:B79 B125:B129 B133:B137 B143:B145 B149:B150 B152:B153 B160:B161 B175:B179 B166:B171 B87:B96 B84 B185:B193 B199:B202 B206:B209 B214:B216 B221:B223 B227:B230 B234:B237 B241:B244 B249:B251 B255:B258 B274:B277 B282:B283 B287:B290 B296:B298 B302:B304 B308:B310 B314:B315 B320:B321 B325:B326 B330:B331 B268:B270 B336:B337 B359:B361 B354:B355 B341:B342 B346:B348 B365:B367 B371 B100:B110 B294 B391 B395:B397 B440:B447 B470:B471 B480:G480 I480:XFD480 B419:B421 F433:F435 G434 B434:B435 B455:B464 B425:B42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23"/>
  <sheetViews>
    <sheetView view="pageBreakPreview" zoomScale="130" zoomScaleSheetLayoutView="130" workbookViewId="0" topLeftCell="A1">
      <selection activeCell="D19" sqref="D19:G19"/>
    </sheetView>
  </sheetViews>
  <sheetFormatPr defaultColWidth="9.00390625" defaultRowHeight="14.25"/>
  <cols>
    <col min="1" max="1" width="4.25390625" style="37" customWidth="1"/>
    <col min="2" max="2" width="9.00390625" style="37" customWidth="1"/>
    <col min="3" max="3" width="10.375" style="37" customWidth="1"/>
    <col min="4" max="4" width="17.50390625" style="37" customWidth="1"/>
    <col min="5" max="5" width="20.25390625" style="37" customWidth="1"/>
    <col min="6" max="6" width="18.75390625" style="37" customWidth="1"/>
    <col min="7" max="7" width="9.00390625" style="37" customWidth="1"/>
    <col min="8" max="8" width="4.75390625" style="37" customWidth="1"/>
    <col min="9" max="10" width="4.25390625" style="37" customWidth="1"/>
    <col min="11" max="16384" width="9.00390625" style="37" customWidth="1"/>
  </cols>
  <sheetData>
    <row r="1" ht="12.75"/>
    <row r="2" spans="2:12" ht="12.75">
      <c r="B2" s="219"/>
      <c r="C2" s="220"/>
      <c r="D2" s="221"/>
      <c r="E2" s="228" t="s">
        <v>456</v>
      </c>
      <c r="F2" s="229"/>
      <c r="G2" s="229"/>
      <c r="H2" s="229"/>
      <c r="I2" s="229"/>
      <c r="J2" s="229"/>
      <c r="K2" s="229"/>
      <c r="L2" s="230"/>
    </row>
    <row r="3" spans="2:12" ht="14.25">
      <c r="B3" s="222"/>
      <c r="C3" s="223"/>
      <c r="D3" s="224"/>
      <c r="E3" s="231"/>
      <c r="F3" s="232"/>
      <c r="G3" s="232"/>
      <c r="H3" s="232"/>
      <c r="I3" s="232"/>
      <c r="J3" s="232"/>
      <c r="K3" s="232"/>
      <c r="L3" s="233"/>
    </row>
    <row r="4" spans="2:12" ht="50.45" customHeight="1">
      <c r="B4" s="225"/>
      <c r="C4" s="226"/>
      <c r="D4" s="227"/>
      <c r="E4" s="234"/>
      <c r="F4" s="235"/>
      <c r="G4" s="235"/>
      <c r="H4" s="235"/>
      <c r="I4" s="235"/>
      <c r="J4" s="235"/>
      <c r="K4" s="235"/>
      <c r="L4" s="236"/>
    </row>
    <row r="5" spans="2:12" ht="29.25" customHeight="1">
      <c r="B5" s="237" t="s">
        <v>457</v>
      </c>
      <c r="C5" s="238"/>
      <c r="D5" s="239"/>
      <c r="E5" s="240" t="str">
        <f>'Orçamento Sintético'!D2</f>
        <v>Adequação da área destinada ao Espaço Ecumênico no Estádio Serra Dourada, localizado no município de Goiânia-GO</v>
      </c>
      <c r="F5" s="241"/>
      <c r="G5" s="241"/>
      <c r="H5" s="241"/>
      <c r="I5" s="241"/>
      <c r="J5" s="241"/>
      <c r="K5" s="241"/>
      <c r="L5" s="242"/>
    </row>
    <row r="6" spans="2:12" ht="14.25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2:12" ht="14.25">
      <c r="B7" s="244">
        <v>1</v>
      </c>
      <c r="C7" s="245" t="s">
        <v>458</v>
      </c>
      <c r="D7" s="246" t="s">
        <v>459</v>
      </c>
      <c r="E7" s="245" t="s">
        <v>106</v>
      </c>
      <c r="F7" s="245"/>
      <c r="G7" s="245" t="s">
        <v>460</v>
      </c>
      <c r="H7" s="245" t="s">
        <v>461</v>
      </c>
      <c r="I7" s="245"/>
      <c r="J7" s="245"/>
      <c r="K7" s="245" t="s">
        <v>462</v>
      </c>
      <c r="L7" s="245"/>
    </row>
    <row r="8" spans="2:12" ht="14.25">
      <c r="B8" s="244"/>
      <c r="C8" s="245"/>
      <c r="D8" s="246"/>
      <c r="E8" s="245"/>
      <c r="F8" s="245"/>
      <c r="G8" s="245"/>
      <c r="H8" s="245"/>
      <c r="I8" s="245"/>
      <c r="J8" s="245"/>
      <c r="K8" s="245"/>
      <c r="L8" s="245"/>
    </row>
    <row r="9" spans="2:12" ht="22.5" customHeight="1">
      <c r="B9" s="244"/>
      <c r="C9" s="146" t="s">
        <v>463</v>
      </c>
      <c r="D9" s="147" t="s">
        <v>464</v>
      </c>
      <c r="E9" s="248" t="s">
        <v>484</v>
      </c>
      <c r="F9" s="248"/>
      <c r="G9" s="148" t="s">
        <v>465</v>
      </c>
      <c r="H9" s="249">
        <f>AVERAGE(H11:J14)</f>
        <v>797.7564102564103</v>
      </c>
      <c r="I9" s="249"/>
      <c r="J9" s="249"/>
      <c r="K9" s="250"/>
      <c r="L9" s="250"/>
    </row>
    <row r="10" spans="2:12" ht="14.25">
      <c r="B10" s="244"/>
      <c r="C10" s="149" t="s">
        <v>466</v>
      </c>
      <c r="D10" s="247" t="s">
        <v>467</v>
      </c>
      <c r="E10" s="247"/>
      <c r="F10" s="247"/>
      <c r="G10" s="247"/>
      <c r="H10" s="251" t="s">
        <v>468</v>
      </c>
      <c r="I10" s="251"/>
      <c r="J10" s="251"/>
      <c r="K10" s="252" t="s">
        <v>469</v>
      </c>
      <c r="L10" s="252"/>
    </row>
    <row r="11" spans="2:12" ht="14.25">
      <c r="B11" s="244"/>
      <c r="C11" s="149" t="s">
        <v>470</v>
      </c>
      <c r="D11" s="253" t="s">
        <v>477</v>
      </c>
      <c r="E11" s="253"/>
      <c r="F11" s="253"/>
      <c r="G11" s="253"/>
      <c r="H11" s="254">
        <f>26250/40.95</f>
        <v>641.025641025641</v>
      </c>
      <c r="I11" s="254"/>
      <c r="J11" s="254"/>
      <c r="K11" s="255" t="s">
        <v>478</v>
      </c>
      <c r="L11" s="255"/>
    </row>
    <row r="12" spans="2:12" ht="14.25">
      <c r="B12" s="244"/>
      <c r="C12" s="149" t="s">
        <v>471</v>
      </c>
      <c r="D12" s="247" t="s">
        <v>479</v>
      </c>
      <c r="E12" s="247"/>
      <c r="F12" s="247"/>
      <c r="G12" s="247"/>
      <c r="H12" s="254">
        <f>24420/40.7</f>
        <v>600</v>
      </c>
      <c r="I12" s="254"/>
      <c r="J12" s="254"/>
      <c r="K12" s="255" t="s">
        <v>480</v>
      </c>
      <c r="L12" s="255"/>
    </row>
    <row r="13" spans="2:12" ht="14.25">
      <c r="B13" s="244"/>
      <c r="C13" s="149" t="s">
        <v>472</v>
      </c>
      <c r="D13" s="247" t="s">
        <v>482</v>
      </c>
      <c r="E13" s="247"/>
      <c r="F13" s="247"/>
      <c r="G13" s="247"/>
      <c r="H13" s="254">
        <f>40950/40.95</f>
        <v>999.9999999999999</v>
      </c>
      <c r="I13" s="254"/>
      <c r="J13" s="254"/>
      <c r="K13" s="255" t="s">
        <v>481</v>
      </c>
      <c r="L13" s="255"/>
    </row>
    <row r="14" spans="2:12" ht="14.25">
      <c r="B14" s="244"/>
      <c r="C14" s="149" t="s">
        <v>475</v>
      </c>
      <c r="D14" s="253" t="s">
        <v>485</v>
      </c>
      <c r="E14" s="253"/>
      <c r="F14" s="253"/>
      <c r="G14" s="253"/>
      <c r="H14" s="254">
        <f>38950/41</f>
        <v>950</v>
      </c>
      <c r="I14" s="254"/>
      <c r="J14" s="254"/>
      <c r="K14" s="255" t="s">
        <v>483</v>
      </c>
      <c r="L14" s="255"/>
    </row>
    <row r="15" spans="3:12" ht="14.25">
      <c r="C15" s="256"/>
      <c r="D15" s="256"/>
      <c r="E15" s="256"/>
      <c r="F15" s="256"/>
      <c r="G15" s="256"/>
      <c r="H15" s="256"/>
      <c r="I15" s="256"/>
      <c r="J15" s="256"/>
      <c r="K15" s="256"/>
      <c r="L15" s="256"/>
    </row>
    <row r="16" spans="2:12" ht="14.25">
      <c r="B16" s="244">
        <v>2</v>
      </c>
      <c r="C16" s="245" t="s">
        <v>458</v>
      </c>
      <c r="D16" s="246" t="s">
        <v>459</v>
      </c>
      <c r="E16" s="245" t="s">
        <v>106</v>
      </c>
      <c r="F16" s="245"/>
      <c r="G16" s="245" t="s">
        <v>460</v>
      </c>
      <c r="H16" s="245" t="s">
        <v>461</v>
      </c>
      <c r="I16" s="245"/>
      <c r="J16" s="245"/>
      <c r="K16" s="245" t="s">
        <v>462</v>
      </c>
      <c r="L16" s="245"/>
    </row>
    <row r="17" spans="2:12" ht="14.25">
      <c r="B17" s="244"/>
      <c r="C17" s="245"/>
      <c r="D17" s="246"/>
      <c r="E17" s="245"/>
      <c r="F17" s="245"/>
      <c r="G17" s="245"/>
      <c r="H17" s="245"/>
      <c r="I17" s="245"/>
      <c r="J17" s="245"/>
      <c r="K17" s="245"/>
      <c r="L17" s="245"/>
    </row>
    <row r="18" spans="2:12" ht="39.75" customHeight="1">
      <c r="B18" s="244"/>
      <c r="C18" s="146" t="s">
        <v>463</v>
      </c>
      <c r="D18" s="147" t="s">
        <v>473</v>
      </c>
      <c r="E18" s="248" t="s">
        <v>486</v>
      </c>
      <c r="F18" s="248"/>
      <c r="G18" s="148" t="s">
        <v>474</v>
      </c>
      <c r="H18" s="249">
        <f>AVERAGE(H20:J22)</f>
        <v>3016.6666666666665</v>
      </c>
      <c r="I18" s="257"/>
      <c r="J18" s="257"/>
      <c r="K18" s="250"/>
      <c r="L18" s="250"/>
    </row>
    <row r="19" spans="2:12" ht="14.25">
      <c r="B19" s="244"/>
      <c r="C19" s="149" t="s">
        <v>466</v>
      </c>
      <c r="D19" s="247" t="s">
        <v>467</v>
      </c>
      <c r="E19" s="247"/>
      <c r="F19" s="247"/>
      <c r="G19" s="247"/>
      <c r="H19" s="251" t="s">
        <v>468</v>
      </c>
      <c r="I19" s="251"/>
      <c r="J19" s="251"/>
      <c r="K19" s="252" t="s">
        <v>469</v>
      </c>
      <c r="L19" s="252"/>
    </row>
    <row r="20" spans="2:12" ht="12.75" customHeight="1">
      <c r="B20" s="244"/>
      <c r="C20" s="149" t="s">
        <v>470</v>
      </c>
      <c r="D20" s="253" t="s">
        <v>489</v>
      </c>
      <c r="E20" s="253"/>
      <c r="F20" s="253"/>
      <c r="G20" s="253"/>
      <c r="H20" s="254">
        <v>3500</v>
      </c>
      <c r="I20" s="254"/>
      <c r="J20" s="254"/>
      <c r="K20" s="255" t="s">
        <v>488</v>
      </c>
      <c r="L20" s="255"/>
    </row>
    <row r="21" spans="2:12" ht="14.25">
      <c r="B21" s="244"/>
      <c r="C21" s="149" t="s">
        <v>471</v>
      </c>
      <c r="D21" s="247" t="s">
        <v>490</v>
      </c>
      <c r="E21" s="247"/>
      <c r="F21" s="247"/>
      <c r="G21" s="247"/>
      <c r="H21" s="254">
        <v>2200</v>
      </c>
      <c r="I21" s="254"/>
      <c r="J21" s="254"/>
      <c r="K21" s="255" t="s">
        <v>488</v>
      </c>
      <c r="L21" s="255"/>
    </row>
    <row r="22" spans="2:12" ht="12.75" customHeight="1">
      <c r="B22" s="244"/>
      <c r="C22" s="149" t="s">
        <v>472</v>
      </c>
      <c r="D22" s="253" t="s">
        <v>491</v>
      </c>
      <c r="E22" s="253"/>
      <c r="F22" s="253"/>
      <c r="G22" s="253"/>
      <c r="H22" s="254">
        <v>3350</v>
      </c>
      <c r="I22" s="254"/>
      <c r="J22" s="254"/>
      <c r="K22" s="255" t="s">
        <v>478</v>
      </c>
      <c r="L22" s="255"/>
    </row>
    <row r="23" spans="3:12" ht="14.25">
      <c r="C23" s="256"/>
      <c r="D23" s="256"/>
      <c r="E23" s="256"/>
      <c r="F23" s="256"/>
      <c r="G23" s="256"/>
      <c r="H23" s="256"/>
      <c r="I23" s="256"/>
      <c r="J23" s="256"/>
      <c r="K23" s="256"/>
      <c r="L23" s="256"/>
    </row>
  </sheetData>
  <mergeCells count="54">
    <mergeCell ref="K20:L20"/>
    <mergeCell ref="C23:L23"/>
    <mergeCell ref="D21:G21"/>
    <mergeCell ref="H21:J21"/>
    <mergeCell ref="K21:L21"/>
    <mergeCell ref="D22:G22"/>
    <mergeCell ref="H22:J22"/>
    <mergeCell ref="K22:L22"/>
    <mergeCell ref="C15:L15"/>
    <mergeCell ref="B16:B22"/>
    <mergeCell ref="C16:C17"/>
    <mergeCell ref="D16:D17"/>
    <mergeCell ref="E16:F17"/>
    <mergeCell ref="G16:G17"/>
    <mergeCell ref="H16:J17"/>
    <mergeCell ref="K16:L17"/>
    <mergeCell ref="E18:F18"/>
    <mergeCell ref="H18:J18"/>
    <mergeCell ref="K18:L18"/>
    <mergeCell ref="D19:G19"/>
    <mergeCell ref="H19:J19"/>
    <mergeCell ref="K19:L19"/>
    <mergeCell ref="D20:G20"/>
    <mergeCell ref="H20:J20"/>
    <mergeCell ref="H12:J12"/>
    <mergeCell ref="K12:L12"/>
    <mergeCell ref="D14:G14"/>
    <mergeCell ref="H14:J14"/>
    <mergeCell ref="K14:L14"/>
    <mergeCell ref="D13:G13"/>
    <mergeCell ref="H13:J13"/>
    <mergeCell ref="K13:L13"/>
    <mergeCell ref="H10:J10"/>
    <mergeCell ref="K10:L10"/>
    <mergeCell ref="D11:G11"/>
    <mergeCell ref="H11:J11"/>
    <mergeCell ref="K11:L11"/>
    <mergeCell ref="H7:J8"/>
    <mergeCell ref="K7:L8"/>
    <mergeCell ref="E9:F9"/>
    <mergeCell ref="H9:J9"/>
    <mergeCell ref="K9:L9"/>
    <mergeCell ref="B7:B14"/>
    <mergeCell ref="C7:C8"/>
    <mergeCell ref="D7:D8"/>
    <mergeCell ref="E7:F8"/>
    <mergeCell ref="G7:G8"/>
    <mergeCell ref="D10:G10"/>
    <mergeCell ref="D12:G12"/>
    <mergeCell ref="B2:D4"/>
    <mergeCell ref="E2:L4"/>
    <mergeCell ref="B5:D5"/>
    <mergeCell ref="E5:L5"/>
    <mergeCell ref="B6:L6"/>
  </mergeCells>
  <conditionalFormatting sqref="C19 K18:K19 C18:E18 G18:H18 C22 D9:E9 G9:H9 K9:K12 H10:H12 H14 K14 C9:C14">
    <cfRule type="expression" priority="42" dxfId="1">
      <formula>IF(AND($C9="COTAÇÃO",OR($I9=0,$J9=0)),1,0)</formula>
    </cfRule>
  </conditionalFormatting>
  <conditionalFormatting sqref="H19">
    <cfRule type="expression" priority="48" dxfId="1">
      <formula>IF(AND($C19="COTAÇÃO",OR($I19=0,$J19=0)),1,0)</formula>
    </cfRule>
  </conditionalFormatting>
  <conditionalFormatting sqref="C20">
    <cfRule type="expression" priority="47" dxfId="1">
      <formula>IF(AND($C20="COTAÇÃO",OR($I20=0,$J20=0)),1,0)</formula>
    </cfRule>
  </conditionalFormatting>
  <conditionalFormatting sqref="C21">
    <cfRule type="expression" priority="46" dxfId="1">
      <formula>IF(AND($C21="COTAÇÃO",OR($I21=0,$J21=0)),1,0)</formula>
    </cfRule>
  </conditionalFormatting>
  <conditionalFormatting sqref="E16 C16:D17 G16:H16 K16 G17 E7 G7:H7 K7 G8 C7:D8">
    <cfRule type="expression" priority="49" dxfId="1">
      <formula>IF(AND($C7="COTAÇÃO",OR($K7=0,$L7=0)),1,0)</formula>
    </cfRule>
  </conditionalFormatting>
  <conditionalFormatting sqref="K20">
    <cfRule type="expression" priority="39" dxfId="1">
      <formula>IF(AND($C20="COTAÇÃO",OR($I20=0,$J20=0)),1,0)</formula>
    </cfRule>
  </conditionalFormatting>
  <conditionalFormatting sqref="K20">
    <cfRule type="expression" priority="40" dxfId="1">
      <formula>IF(AND($C20="COTAÇÃO",OR($I20=0,$J20=0)),1,0)</formula>
    </cfRule>
  </conditionalFormatting>
  <conditionalFormatting sqref="K22">
    <cfRule type="expression" priority="24" dxfId="1">
      <formula>IF(AND($C22="COTAÇÃO",OR($I22=0,$J22=0)),1,0)</formula>
    </cfRule>
  </conditionalFormatting>
  <conditionalFormatting sqref="K22">
    <cfRule type="expression" priority="23" dxfId="1">
      <formula>IF(AND($C22="COTAÇÃO",OR($I22=0,$J22=0)),1,0)</formula>
    </cfRule>
  </conditionalFormatting>
  <conditionalFormatting sqref="H21">
    <cfRule type="expression" priority="19" dxfId="1">
      <formula>IF(AND($C21="COTAÇÃO",OR($I21=0,$J21=0)),1,0)</formula>
    </cfRule>
  </conditionalFormatting>
  <conditionalFormatting sqref="H20">
    <cfRule type="expression" priority="18" dxfId="1">
      <formula>IF(AND($C20="COTAÇÃO",OR($I20=0,$J20=0)),1,0)</formula>
    </cfRule>
  </conditionalFormatting>
  <conditionalFormatting sqref="H21">
    <cfRule type="expression" priority="20" dxfId="1">
      <formula>IF(AND($C21="COTAÇÃO",OR($I21=0,$J21=0)),1,0)</formula>
    </cfRule>
  </conditionalFormatting>
  <conditionalFormatting sqref="H22">
    <cfRule type="expression" priority="17" dxfId="1">
      <formula>IF(AND($C22="COTAÇÃO",OR($I22=0,$J22=0)),1,0)</formula>
    </cfRule>
  </conditionalFormatting>
  <conditionalFormatting sqref="H22">
    <cfRule type="expression" priority="16" dxfId="1">
      <formula>IF(AND($C22="COTAÇÃO",OR($I22=0,$J22=0)),1,0)</formula>
    </cfRule>
  </conditionalFormatting>
  <conditionalFormatting sqref="K13 H13">
    <cfRule type="expression" priority="3" dxfId="1">
      <formula>IF(AND($C13="COTAÇÃO",OR($I13=0,$J13=0)),1,0)</formula>
    </cfRule>
  </conditionalFormatting>
  <conditionalFormatting sqref="K21">
    <cfRule type="expression" priority="2" dxfId="1">
      <formula>IF(AND($C21="COTAÇÃO",OR($I21=0,$J21=0)),1,0)</formula>
    </cfRule>
  </conditionalFormatting>
  <conditionalFormatting sqref="K21">
    <cfRule type="expression" priority="1" dxfId="1">
      <formula>IF(AND($C21="COTAÇÃO",OR($I21=0,$J21=0)),1,0)</formula>
    </cfRule>
  </conditionalFormatting>
  <printOptions horizontalCentered="1"/>
  <pageMargins left="0.31496062992125984" right="0.31496062992125984" top="0.5905511811023623" bottom="0.3937007874015748" header="0.31496062992125984" footer="0.31496062992125984"/>
  <pageSetup fitToHeight="5" fitToWidth="1" horizontalDpi="600" verticalDpi="600" orientation="landscape" paperSize="9" r:id="rId2"/>
  <colBreaks count="1" manualBreakCount="1">
    <brk id="12" max="16383" man="1"/>
  </colBreaks>
  <ignoredErrors>
    <ignoredError sqref="H11:H1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41"/>
  <sheetViews>
    <sheetView tabSelected="1" view="pageBreakPreview" zoomScaleSheetLayoutView="100" workbookViewId="0" topLeftCell="A1">
      <selection activeCell="H9" sqref="H9"/>
    </sheetView>
  </sheetViews>
  <sheetFormatPr defaultColWidth="9.00390625" defaultRowHeight="14.25"/>
  <cols>
    <col min="1" max="1" width="6.50390625" style="37" customWidth="1"/>
    <col min="2" max="2" width="15.625" style="37" customWidth="1"/>
    <col min="3" max="3" width="9.00390625" style="37" customWidth="1"/>
    <col min="4" max="4" width="11.00390625" style="37" customWidth="1"/>
    <col min="5" max="5" width="32.375" style="37" customWidth="1"/>
    <col min="6" max="6" width="9.00390625" style="37" customWidth="1"/>
    <col min="7" max="7" width="14.375" style="37" customWidth="1"/>
    <col min="8" max="16384" width="9.00390625" style="37" customWidth="1"/>
  </cols>
  <sheetData>
    <row r="2" spans="2:10" ht="14.25">
      <c r="B2" s="264" t="s">
        <v>136</v>
      </c>
      <c r="C2" s="264"/>
      <c r="D2" s="264"/>
      <c r="E2" s="35"/>
      <c r="F2" s="36"/>
      <c r="G2" s="36"/>
      <c r="H2" s="36"/>
      <c r="I2" s="36"/>
      <c r="J2" s="36"/>
    </row>
    <row r="3" spans="2:10" ht="14.25">
      <c r="B3" s="264"/>
      <c r="C3" s="264"/>
      <c r="D3" s="264"/>
      <c r="E3" s="38"/>
      <c r="F3" s="36"/>
      <c r="G3" s="36"/>
      <c r="H3" s="36"/>
      <c r="I3" s="36"/>
      <c r="J3" s="36"/>
    </row>
    <row r="4" spans="2:10" ht="14.25">
      <c r="B4" s="264"/>
      <c r="C4" s="264"/>
      <c r="D4" s="264"/>
      <c r="E4" s="38"/>
      <c r="F4" s="36"/>
      <c r="G4" s="36"/>
      <c r="H4" s="36"/>
      <c r="I4" s="36"/>
      <c r="J4" s="36"/>
    </row>
    <row r="5" spans="2:10" ht="14.25">
      <c r="B5" s="264"/>
      <c r="C5" s="264"/>
      <c r="D5" s="264"/>
      <c r="E5" s="38"/>
      <c r="F5" s="36"/>
      <c r="G5" s="36"/>
      <c r="H5" s="36"/>
      <c r="I5" s="36"/>
      <c r="J5" s="36"/>
    </row>
    <row r="6" spans="2:10" ht="14.25">
      <c r="B6" s="264"/>
      <c r="C6" s="264"/>
      <c r="D6" s="264"/>
      <c r="E6" s="38"/>
      <c r="F6" s="36"/>
      <c r="G6" s="36"/>
      <c r="H6" s="36"/>
      <c r="I6" s="36"/>
      <c r="J6" s="36"/>
    </row>
    <row r="7" spans="2:10" ht="14.25">
      <c r="B7" s="264"/>
      <c r="C7" s="264"/>
      <c r="D7" s="264"/>
      <c r="E7" s="39"/>
      <c r="F7" s="36"/>
      <c r="G7" s="36"/>
      <c r="H7" s="36"/>
      <c r="I7" s="36"/>
      <c r="J7" s="36"/>
    </row>
    <row r="8" spans="2:10" ht="27" customHeight="1">
      <c r="B8" s="40" t="s">
        <v>137</v>
      </c>
      <c r="C8" s="265" t="str">
        <f>'Orçamento Sintético'!D2</f>
        <v>Adequação da área destinada ao Espaço Ecumênico no Estádio Serra Dourada, localizado no município de Goiânia-GO</v>
      </c>
      <c r="D8" s="266"/>
      <c r="E8" s="267"/>
      <c r="F8" s="36"/>
      <c r="G8" s="36"/>
      <c r="H8" s="36"/>
      <c r="I8" s="36"/>
      <c r="J8" s="36"/>
    </row>
    <row r="9" spans="2:10" ht="14.25">
      <c r="B9" s="40" t="s">
        <v>138</v>
      </c>
      <c r="C9" s="268" t="s">
        <v>139</v>
      </c>
      <c r="D9" s="269"/>
      <c r="E9" s="270"/>
      <c r="F9" s="36"/>
      <c r="G9" s="36"/>
      <c r="H9" s="36"/>
      <c r="I9" s="36"/>
      <c r="J9" s="36"/>
    </row>
    <row r="10" spans="2:10" ht="14.25">
      <c r="B10" s="40" t="s">
        <v>140</v>
      </c>
      <c r="C10" s="271">
        <v>44621</v>
      </c>
      <c r="D10" s="269"/>
      <c r="E10" s="270"/>
      <c r="F10" s="36"/>
      <c r="G10" s="36"/>
      <c r="H10" s="36"/>
      <c r="I10" s="36"/>
      <c r="J10" s="36"/>
    </row>
    <row r="11" spans="2:10" ht="11.45" customHeight="1">
      <c r="B11" s="272"/>
      <c r="C11" s="273"/>
      <c r="D11" s="273"/>
      <c r="E11" s="274"/>
      <c r="F11" s="36"/>
      <c r="G11" s="36"/>
      <c r="H11" s="36"/>
      <c r="I11" s="36"/>
      <c r="J11" s="36"/>
    </row>
    <row r="12" spans="2:10" ht="14.25">
      <c r="B12" s="258" t="s">
        <v>141</v>
      </c>
      <c r="C12" s="259"/>
      <c r="D12" s="259"/>
      <c r="E12" s="260"/>
      <c r="F12" s="36"/>
      <c r="G12" s="36"/>
      <c r="H12" s="41"/>
      <c r="I12" s="41"/>
      <c r="J12" s="41"/>
    </row>
    <row r="13" spans="2:10" ht="14.25">
      <c r="B13" s="261" t="s">
        <v>142</v>
      </c>
      <c r="C13" s="262"/>
      <c r="D13" s="262"/>
      <c r="E13" s="263"/>
      <c r="F13" s="42"/>
      <c r="G13" s="275"/>
      <c r="H13" s="275"/>
      <c r="I13" s="275"/>
      <c r="J13" s="275"/>
    </row>
    <row r="14" spans="2:10" ht="14.25">
      <c r="B14" s="43" t="s">
        <v>106</v>
      </c>
      <c r="C14" s="43" t="s">
        <v>143</v>
      </c>
      <c r="D14" s="43" t="s">
        <v>144</v>
      </c>
      <c r="E14" s="43" t="s">
        <v>145</v>
      </c>
      <c r="F14" s="44"/>
      <c r="G14" s="191"/>
      <c r="H14" s="191"/>
      <c r="I14" s="191"/>
      <c r="J14" s="191"/>
    </row>
    <row r="15" spans="2:10" ht="14.25">
      <c r="B15" s="45" t="s">
        <v>146</v>
      </c>
      <c r="C15" s="46">
        <v>1</v>
      </c>
      <c r="D15" s="47">
        <v>0.03</v>
      </c>
      <c r="E15" s="48">
        <f>D15</f>
        <v>0.03</v>
      </c>
      <c r="F15" s="36"/>
      <c r="G15" s="192"/>
      <c r="H15" s="193"/>
      <c r="I15" s="193"/>
      <c r="J15" s="193"/>
    </row>
    <row r="16" spans="2:10" ht="14.25">
      <c r="B16" s="45" t="s">
        <v>147</v>
      </c>
      <c r="C16" s="46">
        <v>1</v>
      </c>
      <c r="D16" s="47">
        <v>0.0065</v>
      </c>
      <c r="E16" s="48">
        <f>D16</f>
        <v>0.0065</v>
      </c>
      <c r="F16" s="36"/>
      <c r="G16" s="192"/>
      <c r="H16" s="193"/>
      <c r="I16" s="193"/>
      <c r="J16" s="193"/>
    </row>
    <row r="17" spans="2:10" ht="14.25">
      <c r="B17" s="45" t="s">
        <v>148</v>
      </c>
      <c r="C17" s="46">
        <v>1</v>
      </c>
      <c r="D17" s="47">
        <v>0.03</v>
      </c>
      <c r="E17" s="48">
        <v>0.03</v>
      </c>
      <c r="F17" s="36"/>
      <c r="G17" s="192"/>
      <c r="H17" s="193"/>
      <c r="I17" s="193"/>
      <c r="J17" s="193"/>
    </row>
    <row r="18" spans="2:10" ht="14.25">
      <c r="B18" s="45" t="s">
        <v>149</v>
      </c>
      <c r="C18" s="46">
        <v>1</v>
      </c>
      <c r="D18" s="47">
        <v>0</v>
      </c>
      <c r="E18" s="48">
        <f aca="true" t="shared" si="0" ref="E18:E22">D18</f>
        <v>0</v>
      </c>
      <c r="F18" s="36"/>
      <c r="G18" s="192"/>
      <c r="H18" s="193"/>
      <c r="I18" s="193"/>
      <c r="J18" s="193"/>
    </row>
    <row r="19" spans="2:10" ht="14.25">
      <c r="B19" s="45" t="s">
        <v>150</v>
      </c>
      <c r="C19" s="46">
        <v>1</v>
      </c>
      <c r="D19" s="47">
        <v>0.03</v>
      </c>
      <c r="E19" s="48">
        <v>0.04</v>
      </c>
      <c r="F19" s="36"/>
      <c r="G19" s="192"/>
      <c r="H19" s="193"/>
      <c r="I19" s="193"/>
      <c r="J19" s="193"/>
    </row>
    <row r="20" spans="2:10" ht="14.25">
      <c r="B20" s="45" t="s">
        <v>151</v>
      </c>
      <c r="C20" s="46">
        <v>1</v>
      </c>
      <c r="D20" s="47">
        <v>0.0059</v>
      </c>
      <c r="E20" s="48">
        <v>0.0019</v>
      </c>
      <c r="F20" s="36"/>
      <c r="G20" s="194"/>
      <c r="H20" s="193"/>
      <c r="I20" s="193"/>
      <c r="J20" s="193"/>
    </row>
    <row r="21" spans="2:10" ht="14.25">
      <c r="B21" s="45" t="s">
        <v>152</v>
      </c>
      <c r="C21" s="46">
        <v>1</v>
      </c>
      <c r="D21" s="47">
        <v>0.008</v>
      </c>
      <c r="E21" s="48">
        <v>0.0012</v>
      </c>
      <c r="F21" s="36"/>
      <c r="G21" s="194"/>
      <c r="H21" s="193"/>
      <c r="I21" s="193"/>
      <c r="J21" s="193"/>
    </row>
    <row r="22" spans="2:10" ht="14.25">
      <c r="B22" s="45" t="s">
        <v>153</v>
      </c>
      <c r="C22" s="46">
        <v>1</v>
      </c>
      <c r="D22" s="47">
        <v>0.0097</v>
      </c>
      <c r="E22" s="48">
        <f t="shared" si="0"/>
        <v>0.0097</v>
      </c>
      <c r="F22" s="36"/>
      <c r="G22" s="192"/>
      <c r="H22" s="193"/>
      <c r="I22" s="193"/>
      <c r="J22" s="193"/>
    </row>
    <row r="23" spans="2:10" ht="14.25">
      <c r="B23" s="49" t="s">
        <v>154</v>
      </c>
      <c r="C23" s="50">
        <v>1</v>
      </c>
      <c r="D23" s="51">
        <f>E23</f>
        <v>0.072</v>
      </c>
      <c r="E23" s="48">
        <v>0.072</v>
      </c>
      <c r="F23" s="52"/>
      <c r="G23" s="192"/>
      <c r="H23" s="193"/>
      <c r="I23" s="193"/>
      <c r="J23" s="193"/>
    </row>
    <row r="24" spans="2:10" ht="14.25">
      <c r="B24" s="276" t="s">
        <v>155</v>
      </c>
      <c r="C24" s="276"/>
      <c r="D24" s="276"/>
      <c r="E24" s="152">
        <f>(((1+E19+E21+E22)*(1+E20)*(1+E23))/(1-(E15+E16+E17+E18))-1)</f>
        <v>0.20911116563470844</v>
      </c>
      <c r="F24" s="36"/>
      <c r="G24" s="192"/>
      <c r="H24" s="193"/>
      <c r="I24" s="193"/>
      <c r="J24" s="193"/>
    </row>
    <row r="25" spans="2:10" ht="14.25">
      <c r="B25" s="36"/>
      <c r="C25" s="53"/>
      <c r="D25" s="53"/>
      <c r="E25" s="36"/>
      <c r="F25" s="36"/>
      <c r="G25" s="36"/>
      <c r="H25" s="36"/>
      <c r="I25" s="36"/>
      <c r="J25" s="36"/>
    </row>
    <row r="26" spans="2:10" ht="14.25">
      <c r="B26" s="36"/>
      <c r="C26" s="53"/>
      <c r="D26" s="53"/>
      <c r="E26" s="36"/>
      <c r="F26" s="36"/>
      <c r="G26" s="36"/>
      <c r="H26" s="36"/>
      <c r="I26" s="36"/>
      <c r="J26" s="36"/>
    </row>
    <row r="27" spans="2:10" ht="14.25">
      <c r="B27" s="277"/>
      <c r="C27" s="277"/>
      <c r="D27" s="277"/>
      <c r="E27" s="277"/>
      <c r="F27" s="36"/>
      <c r="G27" s="36"/>
      <c r="H27" s="36"/>
      <c r="I27" s="36"/>
      <c r="J27" s="36"/>
    </row>
    <row r="28" spans="2:10" ht="14.25">
      <c r="B28" s="277"/>
      <c r="C28" s="277"/>
      <c r="D28" s="277"/>
      <c r="E28" s="277"/>
      <c r="F28" s="36"/>
      <c r="G28" s="36"/>
      <c r="H28" s="36"/>
      <c r="I28" s="36"/>
      <c r="J28" s="36"/>
    </row>
    <row r="29" spans="2:10" ht="20.25" customHeight="1">
      <c r="B29" s="277"/>
      <c r="C29" s="277"/>
      <c r="D29" s="277"/>
      <c r="E29" s="277"/>
      <c r="F29" s="36"/>
      <c r="G29" s="36"/>
      <c r="H29" s="36"/>
      <c r="I29" s="36"/>
      <c r="J29" s="36"/>
    </row>
    <row r="30" spans="2:10" ht="18.6" customHeight="1">
      <c r="B30" s="277"/>
      <c r="C30" s="277"/>
      <c r="D30" s="277"/>
      <c r="E30" s="277"/>
      <c r="F30" s="36"/>
      <c r="G30" s="36"/>
      <c r="H30" s="36"/>
      <c r="I30" s="36"/>
      <c r="J30" s="36"/>
    </row>
    <row r="31" spans="2:10" ht="36.75" customHeight="1">
      <c r="B31" s="277"/>
      <c r="C31" s="277"/>
      <c r="D31" s="277"/>
      <c r="E31" s="277"/>
      <c r="F31" s="36"/>
      <c r="G31" s="36"/>
      <c r="H31" s="36"/>
      <c r="I31" s="36"/>
      <c r="J31" s="36"/>
    </row>
    <row r="32" spans="2:10" ht="43.9" customHeight="1">
      <c r="B32" s="54"/>
      <c r="C32" s="54"/>
      <c r="D32" s="54"/>
      <c r="E32" s="54"/>
      <c r="F32" s="36"/>
      <c r="G32" s="36"/>
      <c r="H32" s="36"/>
      <c r="I32" s="36"/>
      <c r="J32" s="36"/>
    </row>
    <row r="33" spans="2:10" ht="145.5" customHeight="1">
      <c r="B33" s="277"/>
      <c r="C33" s="277"/>
      <c r="D33" s="277"/>
      <c r="E33" s="277"/>
      <c r="F33" s="36"/>
      <c r="G33" s="36"/>
      <c r="H33" s="36"/>
      <c r="I33" s="36"/>
      <c r="J33" s="36"/>
    </row>
    <row r="34" spans="2:10" ht="14.25">
      <c r="B34" s="277"/>
      <c r="C34" s="277"/>
      <c r="D34" s="277"/>
      <c r="E34" s="277"/>
      <c r="F34" s="36"/>
      <c r="G34" s="36"/>
      <c r="H34" s="36"/>
      <c r="I34" s="36"/>
      <c r="J34" s="36"/>
    </row>
    <row r="35" spans="2:10" ht="22.15" customHeight="1">
      <c r="B35" s="277"/>
      <c r="C35" s="277"/>
      <c r="D35" s="277"/>
      <c r="E35" s="277"/>
      <c r="F35" s="36"/>
      <c r="G35" s="36"/>
      <c r="H35" s="36"/>
      <c r="I35" s="36"/>
      <c r="J35" s="36"/>
    </row>
    <row r="36" spans="2:10" ht="20.45" customHeight="1">
      <c r="B36" s="280"/>
      <c r="C36" s="280"/>
      <c r="D36" s="280"/>
      <c r="E36" s="280"/>
      <c r="F36" s="55"/>
      <c r="G36" s="55"/>
      <c r="H36" s="36"/>
      <c r="I36" s="36"/>
      <c r="J36" s="36"/>
    </row>
    <row r="37" spans="2:10" ht="14.25">
      <c r="B37" s="278"/>
      <c r="C37" s="278"/>
      <c r="D37" s="278"/>
      <c r="E37" s="278"/>
      <c r="F37" s="36"/>
      <c r="G37" s="36"/>
      <c r="H37" s="36"/>
      <c r="I37" s="36"/>
      <c r="J37" s="36"/>
    </row>
    <row r="38" spans="2:10" ht="14.25">
      <c r="B38" s="56"/>
      <c r="C38" s="57"/>
      <c r="D38" s="57"/>
      <c r="E38" s="56"/>
      <c r="F38" s="36"/>
      <c r="G38" s="36"/>
      <c r="H38" s="36"/>
      <c r="I38" s="36"/>
      <c r="J38" s="36"/>
    </row>
    <row r="39" spans="2:10" ht="14.25">
      <c r="B39" s="56"/>
      <c r="C39" s="57"/>
      <c r="D39" s="57"/>
      <c r="E39" s="56"/>
      <c r="F39" s="36"/>
      <c r="G39" s="36"/>
      <c r="H39" s="36"/>
      <c r="I39" s="36"/>
      <c r="J39" s="36"/>
    </row>
    <row r="40" spans="2:10" ht="51" customHeight="1">
      <c r="B40" s="279"/>
      <c r="C40" s="279"/>
      <c r="D40" s="279"/>
      <c r="E40" s="56"/>
      <c r="F40" s="36"/>
      <c r="G40" s="36"/>
      <c r="H40" s="36"/>
      <c r="I40" s="36"/>
      <c r="J40" s="36"/>
    </row>
    <row r="41" spans="2:10" ht="14.25">
      <c r="B41" s="279"/>
      <c r="C41" s="279"/>
      <c r="D41" s="279"/>
      <c r="E41" s="56"/>
      <c r="F41" s="36"/>
      <c r="G41" s="36"/>
      <c r="H41" s="36"/>
      <c r="I41" s="36"/>
      <c r="J41" s="36"/>
    </row>
  </sheetData>
  <mergeCells count="21">
    <mergeCell ref="B37:E37"/>
    <mergeCell ref="B40:D40"/>
    <mergeCell ref="B41:D41"/>
    <mergeCell ref="B30:E30"/>
    <mergeCell ref="B31:E31"/>
    <mergeCell ref="B33:E33"/>
    <mergeCell ref="B34:E34"/>
    <mergeCell ref="B35:E35"/>
    <mergeCell ref="B36:E36"/>
    <mergeCell ref="G13:J13"/>
    <mergeCell ref="B24:D24"/>
    <mergeCell ref="B27:E27"/>
    <mergeCell ref="B28:E28"/>
    <mergeCell ref="B29:E29"/>
    <mergeCell ref="B12:E12"/>
    <mergeCell ref="B13:E13"/>
    <mergeCell ref="B2:D7"/>
    <mergeCell ref="C8:E8"/>
    <mergeCell ref="C9:E9"/>
    <mergeCell ref="C10:E10"/>
    <mergeCell ref="B11:E11"/>
  </mergeCells>
  <conditionalFormatting sqref="D17">
    <cfRule type="cellIs" priority="1" dxfId="0" operator="equal">
      <formula>0</formula>
    </cfRule>
  </conditionalFormatting>
  <printOptions horizontalCentered="1" verticalCentered="1"/>
  <pageMargins left="0" right="0" top="0.3937007874015748" bottom="0" header="0" footer="0"/>
  <pageSetup fitToHeight="3" fitToWidth="1" horizontalDpi="600" verticalDpi="600" orientation="portrait" paperSize="9" r:id="rId4"/>
  <colBreaks count="1" manualBreakCount="1">
    <brk id="5" max="16383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Claudia Alves de Moraes Sousa</cp:lastModifiedBy>
  <cp:lastPrinted>2022-03-31T18:58:19Z</cp:lastPrinted>
  <dcterms:created xsi:type="dcterms:W3CDTF">2021-12-16T20:41:31Z</dcterms:created>
  <dcterms:modified xsi:type="dcterms:W3CDTF">2023-01-11T14:42:29Z</dcterms:modified>
  <cp:category/>
  <cp:version/>
  <cp:contentType/>
  <cp:contentStatus/>
</cp:coreProperties>
</file>