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EstaPasta_de_trabalho"/>
  <bookViews>
    <workbookView showSheetTabs="0" xWindow="-15" yWindow="-15" windowWidth="10815" windowHeight="9840" tabRatio="772"/>
  </bookViews>
  <sheets>
    <sheet name="Pág_1_Previsao_GO" sheetId="60" r:id="rId1"/>
    <sheet name="Pág_2_Previsão_U F" sheetId="58" r:id="rId2"/>
    <sheet name="Entrada_Dados" sheetId="55" state="hidden" r:id="rId3"/>
  </sheets>
  <definedNames>
    <definedName name="aaaa" localSheetId="0">#REF!</definedName>
    <definedName name="aaaa" localSheetId="1">#REF!</definedName>
    <definedName name="aaaa">#REF!</definedName>
    <definedName name="_xlnm.Print_Area" localSheetId="2">Entrada_Dados!$A$1:$A$4</definedName>
    <definedName name="_xlnm.Print_Area" localSheetId="0">Pág_1_Previsao_GO!$D$3:$O$45</definedName>
    <definedName name="_xlnm.Print_Area" localSheetId="1">'Pág_2_Previsão_U F'!$D$3:$P$116</definedName>
    <definedName name="Excel_BuiltIn_Print_Area_1">#REF!</definedName>
    <definedName name="Excel_BuiltIn_Print_Area_2" localSheetId="0">#REF!</definedName>
    <definedName name="Excel_BuiltIn_Print_Area_2" localSheetId="1">#REF!</definedName>
    <definedName name="Excel_BuiltIn_Print_Area_2">#REF!</definedName>
    <definedName name="_xlnm.Print_Titles" localSheetId="2">Entrada_Dados!$8:$13</definedName>
    <definedName name="_xlnm.Print_Titles" localSheetId="1">'Pág_2_Previsão_U F'!$3:$9</definedName>
  </definedNames>
  <calcPr calcId="145621"/>
</workbook>
</file>

<file path=xl/calcChain.xml><?xml version="1.0" encoding="utf-8"?>
<calcChain xmlns="http://schemas.openxmlformats.org/spreadsheetml/2006/main">
  <c r="P36" i="55" l="1"/>
  <c r="N11" i="55" l="1"/>
  <c r="N9" i="55" l="1"/>
  <c r="M9" i="55" s="1"/>
  <c r="N10" i="55"/>
  <c r="N12" i="55"/>
  <c r="N13" i="55"/>
  <c r="N14" i="55"/>
  <c r="N15" i="55"/>
  <c r="N16" i="55"/>
  <c r="N17" i="55"/>
  <c r="N18" i="55"/>
  <c r="N19" i="55"/>
  <c r="N20" i="55"/>
  <c r="N21" i="55"/>
  <c r="N22" i="55"/>
  <c r="N23" i="55"/>
  <c r="N24" i="55"/>
  <c r="N25" i="55"/>
  <c r="N26" i="55"/>
  <c r="N27" i="55"/>
  <c r="N28" i="55"/>
  <c r="N29" i="55"/>
  <c r="N30" i="55"/>
  <c r="N31" i="55"/>
  <c r="N32" i="55"/>
  <c r="N33" i="55"/>
  <c r="N34" i="55"/>
  <c r="N8" i="55"/>
  <c r="M10" i="55"/>
  <c r="M11" i="55"/>
  <c r="M12" i="55"/>
  <c r="M13" i="55"/>
  <c r="M14" i="55"/>
  <c r="M15" i="55"/>
  <c r="M16" i="55"/>
  <c r="M17" i="55"/>
  <c r="M18" i="55"/>
  <c r="M19" i="55"/>
  <c r="M20" i="55"/>
  <c r="M21" i="55"/>
  <c r="M22" i="55"/>
  <c r="M23" i="55"/>
  <c r="M24" i="55"/>
  <c r="M25" i="55"/>
  <c r="M26" i="55"/>
  <c r="M27" i="55"/>
  <c r="M28" i="55"/>
  <c r="M29" i="55"/>
  <c r="M30" i="55"/>
  <c r="M31" i="55"/>
  <c r="M32" i="55"/>
  <c r="M33" i="55"/>
  <c r="M34" i="55"/>
  <c r="M8" i="55"/>
  <c r="D8" i="60" l="1"/>
  <c r="P85" i="55" l="1"/>
  <c r="D32" i="55" s="1"/>
  <c r="Q85" i="55"/>
  <c r="E32" i="55" s="1"/>
  <c r="R85" i="55"/>
  <c r="J35" i="55" s="1"/>
  <c r="S85" i="55"/>
  <c r="K35" i="55" s="1"/>
  <c r="P86" i="55"/>
  <c r="D35" i="55" s="1"/>
  <c r="Q86" i="55"/>
  <c r="E35" i="55" s="1"/>
  <c r="R86" i="55"/>
  <c r="J38" i="55" s="1"/>
  <c r="S86" i="55"/>
  <c r="K38" i="55" s="1"/>
  <c r="P87" i="55"/>
  <c r="D31" i="55" s="1"/>
  <c r="Q87" i="55"/>
  <c r="E31" i="55" s="1"/>
  <c r="R87" i="55"/>
  <c r="J36" i="55" s="1"/>
  <c r="S87" i="55"/>
  <c r="K36" i="55" s="1"/>
  <c r="P88" i="55"/>
  <c r="D25" i="55" s="1"/>
  <c r="Q88" i="55"/>
  <c r="E25" i="55" s="1"/>
  <c r="R88" i="55"/>
  <c r="J27" i="55" s="1"/>
  <c r="S88" i="55"/>
  <c r="K27" i="55" s="1"/>
  <c r="P89" i="55"/>
  <c r="D34" i="55" s="1"/>
  <c r="Q89" i="55"/>
  <c r="E34" i="55" s="1"/>
  <c r="R89" i="55"/>
  <c r="J39" i="55" s="1"/>
  <c r="S89" i="55"/>
  <c r="K39" i="55" s="1"/>
  <c r="P90" i="55"/>
  <c r="D23" i="55" s="1"/>
  <c r="Q90" i="55"/>
  <c r="E23" i="55" s="1"/>
  <c r="R90" i="55"/>
  <c r="J25" i="55" s="1"/>
  <c r="S90" i="55"/>
  <c r="K25" i="55" s="1"/>
  <c r="P91" i="55"/>
  <c r="D24" i="55" s="1"/>
  <c r="Q91" i="55"/>
  <c r="E24" i="55" s="1"/>
  <c r="R91" i="55"/>
  <c r="J22" i="55" s="1"/>
  <c r="S91" i="55"/>
  <c r="K22" i="55" s="1"/>
  <c r="P92" i="55"/>
  <c r="D27" i="55" s="1"/>
  <c r="Q92" i="55"/>
  <c r="E27" i="55" s="1"/>
  <c r="R92" i="55"/>
  <c r="J23" i="55" s="1"/>
  <c r="S92" i="55"/>
  <c r="K23" i="55" s="1"/>
  <c r="P93" i="55"/>
  <c r="D29" i="55" s="1"/>
  <c r="Q93" i="55"/>
  <c r="E29" i="55" s="1"/>
  <c r="R93" i="55"/>
  <c r="J26" i="55" s="1"/>
  <c r="S93" i="55"/>
  <c r="K26" i="55" s="1"/>
  <c r="P94" i="55"/>
  <c r="D39" i="55" s="1"/>
  <c r="Q94" i="55"/>
  <c r="E39" i="55" s="1"/>
  <c r="R94" i="55"/>
  <c r="J33" i="55" s="1"/>
  <c r="S94" i="55"/>
  <c r="K33" i="55" s="1"/>
  <c r="P95" i="55"/>
  <c r="D38" i="55" s="1"/>
  <c r="Q95" i="55"/>
  <c r="E38" i="55" s="1"/>
  <c r="R95" i="55"/>
  <c r="J31" i="55" s="1"/>
  <c r="S95" i="55"/>
  <c r="K31" i="55" s="1"/>
  <c r="P96" i="55"/>
  <c r="D36" i="55" s="1"/>
  <c r="Q96" i="55"/>
  <c r="E36" i="55" s="1"/>
  <c r="R96" i="55"/>
  <c r="J29" i="55" s="1"/>
  <c r="S96" i="55"/>
  <c r="K29" i="55" s="1"/>
  <c r="P97" i="55"/>
  <c r="D37" i="55" s="1"/>
  <c r="Q97" i="55"/>
  <c r="E37" i="55" s="1"/>
  <c r="R97" i="55"/>
  <c r="J34" i="55" s="1"/>
  <c r="S97" i="55"/>
  <c r="K34" i="55" s="1"/>
  <c r="P98" i="55"/>
  <c r="D30" i="55" s="1"/>
  <c r="Q98" i="55"/>
  <c r="E30" i="55" s="1"/>
  <c r="R98" i="55"/>
  <c r="J30" i="55" s="1"/>
  <c r="S98" i="55"/>
  <c r="K30" i="55" s="1"/>
  <c r="P99" i="55"/>
  <c r="D22" i="55" s="1"/>
  <c r="Q99" i="55"/>
  <c r="E22" i="55" s="1"/>
  <c r="R99" i="55"/>
  <c r="J20" i="55" s="1"/>
  <c r="S99" i="55"/>
  <c r="K20" i="55" s="1"/>
  <c r="P100" i="55"/>
  <c r="D19" i="55" s="1"/>
  <c r="Q100" i="55"/>
  <c r="E19" i="55" s="1"/>
  <c r="R100" i="55"/>
  <c r="J19" i="55" s="1"/>
  <c r="S100" i="55"/>
  <c r="K19" i="55" s="1"/>
  <c r="P101" i="55"/>
  <c r="D33" i="55" s="1"/>
  <c r="Q101" i="55"/>
  <c r="E33" i="55" s="1"/>
  <c r="R101" i="55"/>
  <c r="J37" i="55" s="1"/>
  <c r="S101" i="55"/>
  <c r="K37" i="55" s="1"/>
  <c r="P102" i="55"/>
  <c r="D40" i="55" s="1"/>
  <c r="Q102" i="55"/>
  <c r="E40" i="55" s="1"/>
  <c r="R102" i="55"/>
  <c r="J40" i="55" s="1"/>
  <c r="S102" i="55"/>
  <c r="K40" i="55" s="1"/>
  <c r="P103" i="55"/>
  <c r="D20" i="55" s="1"/>
  <c r="Q103" i="55"/>
  <c r="E20" i="55" s="1"/>
  <c r="R103" i="55"/>
  <c r="J21" i="55" s="1"/>
  <c r="S103" i="55"/>
  <c r="K21" i="55" s="1"/>
  <c r="P104" i="55"/>
  <c r="D15" i="55" s="1"/>
  <c r="Q104" i="55"/>
  <c r="E15" i="55" s="1"/>
  <c r="R104" i="55"/>
  <c r="J15" i="55" s="1"/>
  <c r="S104" i="55"/>
  <c r="K15" i="55" s="1"/>
  <c r="P105" i="55"/>
  <c r="D21" i="55" s="1"/>
  <c r="Q105" i="55"/>
  <c r="E21" i="55" s="1"/>
  <c r="R105" i="55"/>
  <c r="J24" i="55" s="1"/>
  <c r="S105" i="55"/>
  <c r="K24" i="55" s="1"/>
  <c r="P106" i="55"/>
  <c r="D16" i="55" s="1"/>
  <c r="Q106" i="55"/>
  <c r="E16" i="55" s="1"/>
  <c r="R106" i="55"/>
  <c r="J16" i="55" s="1"/>
  <c r="S106" i="55"/>
  <c r="K16" i="55" s="1"/>
  <c r="P107" i="55"/>
  <c r="D18" i="55" s="1"/>
  <c r="Q107" i="55"/>
  <c r="E18" i="55" s="1"/>
  <c r="R107" i="55"/>
  <c r="J18" i="55" s="1"/>
  <c r="S107" i="55"/>
  <c r="K18" i="55" s="1"/>
  <c r="P108" i="55"/>
  <c r="D14" i="55" s="1"/>
  <c r="Q108" i="55"/>
  <c r="E14" i="55" s="1"/>
  <c r="R108" i="55"/>
  <c r="J14" i="55" s="1"/>
  <c r="S108" i="55"/>
  <c r="K14" i="55" s="1"/>
  <c r="P109" i="55"/>
  <c r="D17" i="55" s="1"/>
  <c r="Q109" i="55"/>
  <c r="E17" i="55" s="1"/>
  <c r="R109" i="55"/>
  <c r="J17" i="55" s="1"/>
  <c r="S109" i="55"/>
  <c r="K17" i="55" s="1"/>
  <c r="P110" i="55"/>
  <c r="D28" i="55" s="1"/>
  <c r="Q110" i="55"/>
  <c r="E28" i="55" s="1"/>
  <c r="R110" i="55"/>
  <c r="J32" i="55" s="1"/>
  <c r="S110" i="55"/>
  <c r="K32" i="55" s="1"/>
  <c r="S84" i="55"/>
  <c r="R84" i="55"/>
  <c r="P84" i="55"/>
  <c r="Q84" i="55"/>
  <c r="E26" i="55" s="1"/>
  <c r="S83" i="55"/>
  <c r="R83" i="55"/>
  <c r="Q83" i="55"/>
  <c r="P83" i="55"/>
  <c r="K12" i="60"/>
  <c r="D12" i="60"/>
  <c r="K42" i="55" l="1"/>
  <c r="D42" i="55"/>
  <c r="R111" i="55"/>
  <c r="K28" i="55"/>
  <c r="S111" i="55"/>
  <c r="J28" i="55"/>
  <c r="J42" i="55"/>
  <c r="E42" i="55"/>
  <c r="P111" i="55"/>
  <c r="Q111" i="55"/>
  <c r="D26" i="55"/>
  <c r="F14" i="60"/>
  <c r="E14" i="60"/>
  <c r="W14" i="60" s="1"/>
  <c r="W34" i="60" s="1"/>
  <c r="X14" i="60"/>
  <c r="X34" i="60" s="1"/>
  <c r="Z22" i="60"/>
  <c r="Y22" i="60"/>
  <c r="Z17" i="60"/>
  <c r="Y17" i="60"/>
  <c r="V32" i="60"/>
  <c r="X22" i="60"/>
  <c r="W22" i="60"/>
  <c r="X17" i="60"/>
  <c r="W17" i="60"/>
  <c r="G48" i="58" l="1"/>
  <c r="G12" i="58"/>
  <c r="N101" i="58" s="1"/>
  <c r="F12" i="58"/>
  <c r="F101" i="58" s="1"/>
  <c r="F40" i="55"/>
  <c r="F39" i="55"/>
  <c r="F38" i="55"/>
  <c r="F37" i="55"/>
  <c r="F36" i="55"/>
  <c r="F35" i="55"/>
  <c r="F34" i="55"/>
  <c r="F33" i="55"/>
  <c r="F32" i="55"/>
  <c r="F31" i="55"/>
  <c r="F30" i="55"/>
  <c r="F29" i="55"/>
  <c r="F28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L40" i="55"/>
  <c r="L39" i="55"/>
  <c r="L38" i="55"/>
  <c r="L37" i="55"/>
  <c r="L36" i="55"/>
  <c r="L35" i="55"/>
  <c r="L34" i="55"/>
  <c r="L33" i="55"/>
  <c r="L32" i="55"/>
  <c r="L31" i="55"/>
  <c r="L30" i="55"/>
  <c r="L29" i="55"/>
  <c r="L28" i="55"/>
  <c r="L27" i="55"/>
  <c r="L26" i="55"/>
  <c r="L25" i="55"/>
  <c r="L24" i="55"/>
  <c r="L23" i="55"/>
  <c r="L22" i="55"/>
  <c r="L21" i="55"/>
  <c r="L20" i="55"/>
  <c r="L19" i="55"/>
  <c r="L18" i="55"/>
  <c r="L17" i="55"/>
  <c r="L16" i="55"/>
  <c r="L15" i="55"/>
  <c r="L14" i="55"/>
  <c r="K668" i="55"/>
  <c r="J668" i="55"/>
  <c r="E668" i="55"/>
  <c r="D668" i="55"/>
  <c r="K631" i="55"/>
  <c r="J631" i="55"/>
  <c r="E631" i="55"/>
  <c r="D631" i="55"/>
  <c r="K594" i="55"/>
  <c r="J594" i="55"/>
  <c r="E594" i="55"/>
  <c r="D594" i="55"/>
  <c r="K557" i="55"/>
  <c r="J557" i="55"/>
  <c r="E557" i="55"/>
  <c r="D557" i="55"/>
  <c r="K520" i="55"/>
  <c r="J493" i="55"/>
  <c r="J496" i="55"/>
  <c r="J494" i="55"/>
  <c r="J495" i="55"/>
  <c r="J497" i="55"/>
  <c r="J498" i="55"/>
  <c r="J499" i="55"/>
  <c r="J500" i="55"/>
  <c r="J501" i="55"/>
  <c r="Y23" i="60" s="1"/>
  <c r="L23" i="60" s="1"/>
  <c r="J502" i="55"/>
  <c r="J503" i="55"/>
  <c r="J504" i="55"/>
  <c r="J505" i="55"/>
  <c r="J506" i="55"/>
  <c r="J509" i="55"/>
  <c r="J507" i="55"/>
  <c r="J508" i="55"/>
  <c r="J511" i="55"/>
  <c r="J510" i="55"/>
  <c r="J513" i="55"/>
  <c r="J512" i="55"/>
  <c r="J514" i="55"/>
  <c r="J515" i="55"/>
  <c r="J516" i="55"/>
  <c r="J517" i="55"/>
  <c r="J518" i="55"/>
  <c r="J492" i="55"/>
  <c r="J520" i="55"/>
  <c r="E520" i="55"/>
  <c r="D520" i="55"/>
  <c r="K483" i="55"/>
  <c r="J483" i="55"/>
  <c r="E483" i="55"/>
  <c r="D483" i="55"/>
  <c r="K446" i="55"/>
  <c r="J446" i="55"/>
  <c r="E446" i="55"/>
  <c r="D446" i="55"/>
  <c r="K409" i="55"/>
  <c r="J409" i="55"/>
  <c r="E409" i="55"/>
  <c r="D409" i="55"/>
  <c r="K372" i="55"/>
  <c r="J372" i="55"/>
  <c r="E372" i="55"/>
  <c r="D372" i="55"/>
  <c r="K335" i="55"/>
  <c r="J335" i="55"/>
  <c r="E335" i="55"/>
  <c r="D335" i="55"/>
  <c r="J298" i="55"/>
  <c r="K298" i="55"/>
  <c r="D298" i="55"/>
  <c r="E298" i="55"/>
  <c r="K261" i="55"/>
  <c r="J261" i="55"/>
  <c r="E261" i="55"/>
  <c r="D261" i="55"/>
  <c r="K224" i="55"/>
  <c r="J224" i="55"/>
  <c r="E224" i="55"/>
  <c r="D224" i="55"/>
  <c r="K186" i="55"/>
  <c r="J186" i="55"/>
  <c r="E186" i="55"/>
  <c r="D186" i="55"/>
  <c r="K150" i="55"/>
  <c r="J150" i="55"/>
  <c r="E150" i="55"/>
  <c r="D150" i="55"/>
  <c r="K114" i="55"/>
  <c r="J114" i="55"/>
  <c r="E114" i="55"/>
  <c r="D114" i="55"/>
  <c r="K78" i="55"/>
  <c r="E78" i="55"/>
  <c r="D78" i="55"/>
  <c r="J640" i="55"/>
  <c r="K640" i="55"/>
  <c r="J641" i="55"/>
  <c r="J642" i="55"/>
  <c r="J644" i="55"/>
  <c r="J643" i="55"/>
  <c r="J645" i="55"/>
  <c r="J646" i="55"/>
  <c r="Y27" i="60" s="1"/>
  <c r="L27" i="60" s="1"/>
  <c r="J648" i="55"/>
  <c r="J649" i="55"/>
  <c r="J647" i="55"/>
  <c r="J650" i="55"/>
  <c r="J651" i="55"/>
  <c r="J652" i="55"/>
  <c r="J653" i="55"/>
  <c r="J654" i="55"/>
  <c r="J655" i="55"/>
  <c r="J656" i="55"/>
  <c r="J657" i="55"/>
  <c r="J658" i="55"/>
  <c r="J659" i="55"/>
  <c r="J660" i="55"/>
  <c r="J661" i="55"/>
  <c r="J662" i="55"/>
  <c r="J663" i="55"/>
  <c r="J664" i="55"/>
  <c r="J665" i="55"/>
  <c r="J666" i="55"/>
  <c r="K641" i="55"/>
  <c r="L641" i="55" s="1"/>
  <c r="K642" i="55"/>
  <c r="K644" i="55"/>
  <c r="K643" i="55"/>
  <c r="K645" i="55"/>
  <c r="K646" i="55"/>
  <c r="Z27" i="60" s="1"/>
  <c r="M27" i="60" s="1"/>
  <c r="K648" i="55"/>
  <c r="K649" i="55"/>
  <c r="K647" i="55"/>
  <c r="L649" i="55" s="1"/>
  <c r="K650" i="55"/>
  <c r="L650" i="55" s="1"/>
  <c r="K651" i="55"/>
  <c r="L651" i="55" s="1"/>
  <c r="K652" i="55"/>
  <c r="L652" i="55" s="1"/>
  <c r="K653" i="55"/>
  <c r="L653" i="55" s="1"/>
  <c r="K654" i="55"/>
  <c r="L654" i="55" s="1"/>
  <c r="K655" i="55"/>
  <c r="L655" i="55" s="1"/>
  <c r="K656" i="55"/>
  <c r="L656" i="55" s="1"/>
  <c r="K657" i="55"/>
  <c r="L657" i="55" s="1"/>
  <c r="K658" i="55"/>
  <c r="L658" i="55" s="1"/>
  <c r="K659" i="55"/>
  <c r="L659" i="55" s="1"/>
  <c r="K660" i="55"/>
  <c r="L660" i="55" s="1"/>
  <c r="K661" i="55"/>
  <c r="L661" i="55" s="1"/>
  <c r="K662" i="55"/>
  <c r="L662" i="55" s="1"/>
  <c r="K663" i="55"/>
  <c r="L663" i="55" s="1"/>
  <c r="K664" i="55"/>
  <c r="L664" i="55" s="1"/>
  <c r="K665" i="55"/>
  <c r="L665" i="55" s="1"/>
  <c r="K666" i="55"/>
  <c r="L666" i="55" s="1"/>
  <c r="D641" i="55"/>
  <c r="E641" i="55"/>
  <c r="D643" i="55"/>
  <c r="E643" i="55"/>
  <c r="D642" i="55"/>
  <c r="E642" i="55"/>
  <c r="D644" i="55"/>
  <c r="E644" i="55"/>
  <c r="D645" i="55"/>
  <c r="W27" i="60" s="1"/>
  <c r="E27" i="60" s="1"/>
  <c r="E645" i="55"/>
  <c r="X27" i="60" s="1"/>
  <c r="F27" i="60" s="1"/>
  <c r="D646" i="55"/>
  <c r="E646" i="55"/>
  <c r="D648" i="55"/>
  <c r="E648" i="55"/>
  <c r="D649" i="55"/>
  <c r="E649" i="55"/>
  <c r="D647" i="55"/>
  <c r="E647" i="55"/>
  <c r="D650" i="55"/>
  <c r="E650" i="55"/>
  <c r="F650" i="55" s="1"/>
  <c r="D651" i="55"/>
  <c r="E651" i="55"/>
  <c r="F651" i="55" s="1"/>
  <c r="D652" i="55"/>
  <c r="E652" i="55"/>
  <c r="F652" i="55" s="1"/>
  <c r="D653" i="55"/>
  <c r="E653" i="55"/>
  <c r="F653" i="55" s="1"/>
  <c r="D654" i="55"/>
  <c r="E654" i="55"/>
  <c r="F654" i="55" s="1"/>
  <c r="D655" i="55"/>
  <c r="E655" i="55"/>
  <c r="F655" i="55" s="1"/>
  <c r="D656" i="55"/>
  <c r="E656" i="55"/>
  <c r="F656" i="55" s="1"/>
  <c r="D657" i="55"/>
  <c r="E657" i="55"/>
  <c r="F657" i="55" s="1"/>
  <c r="D658" i="55"/>
  <c r="E658" i="55"/>
  <c r="F658" i="55" s="1"/>
  <c r="D659" i="55"/>
  <c r="E659" i="55"/>
  <c r="F659" i="55" s="1"/>
  <c r="D660" i="55"/>
  <c r="E660" i="55"/>
  <c r="F660" i="55" s="1"/>
  <c r="D661" i="55"/>
  <c r="E661" i="55"/>
  <c r="F661" i="55" s="1"/>
  <c r="D662" i="55"/>
  <c r="E662" i="55"/>
  <c r="F662" i="55" s="1"/>
  <c r="D663" i="55"/>
  <c r="E663" i="55"/>
  <c r="F663" i="55" s="1"/>
  <c r="D664" i="55"/>
  <c r="E664" i="55"/>
  <c r="F664" i="55" s="1"/>
  <c r="D665" i="55"/>
  <c r="E665" i="55"/>
  <c r="F665" i="55" s="1"/>
  <c r="D666" i="55"/>
  <c r="E666" i="55"/>
  <c r="F666" i="55" s="1"/>
  <c r="E640" i="55"/>
  <c r="D640" i="55"/>
  <c r="J605" i="55"/>
  <c r="K605" i="55"/>
  <c r="J604" i="55"/>
  <c r="K604" i="55"/>
  <c r="J612" i="55"/>
  <c r="K612" i="55"/>
  <c r="J607" i="55"/>
  <c r="K607" i="55"/>
  <c r="J606" i="55"/>
  <c r="K606" i="55"/>
  <c r="J608" i="55"/>
  <c r="K608" i="55"/>
  <c r="J609" i="55"/>
  <c r="K609" i="55"/>
  <c r="J613" i="55"/>
  <c r="K613" i="55"/>
  <c r="J611" i="55"/>
  <c r="K611" i="55"/>
  <c r="J610" i="55"/>
  <c r="K610" i="55"/>
  <c r="J614" i="55"/>
  <c r="K614" i="55"/>
  <c r="J615" i="55"/>
  <c r="K615" i="55"/>
  <c r="J617" i="55"/>
  <c r="K617" i="55"/>
  <c r="J616" i="55"/>
  <c r="K616" i="55"/>
  <c r="J618" i="55"/>
  <c r="K618" i="55"/>
  <c r="J619" i="55"/>
  <c r="K619" i="55"/>
  <c r="J626" i="55"/>
  <c r="K626" i="55"/>
  <c r="J622" i="55"/>
  <c r="K622" i="55"/>
  <c r="J620" i="55"/>
  <c r="K620" i="55"/>
  <c r="J623" i="55"/>
  <c r="K623" i="55"/>
  <c r="J624" i="55"/>
  <c r="K624" i="55"/>
  <c r="J621" i="55"/>
  <c r="K621" i="55"/>
  <c r="J625" i="55"/>
  <c r="K625" i="55"/>
  <c r="J627" i="55"/>
  <c r="K627" i="55"/>
  <c r="L627" i="55" s="1"/>
  <c r="J628" i="55"/>
  <c r="K628" i="55"/>
  <c r="L628" i="55" s="1"/>
  <c r="J629" i="55"/>
  <c r="K629" i="55"/>
  <c r="L629" i="55" s="1"/>
  <c r="K603" i="55"/>
  <c r="Z38" i="60" s="1"/>
  <c r="M38" i="60" s="1"/>
  <c r="J603" i="55"/>
  <c r="Y38" i="60" s="1"/>
  <c r="L38" i="60" s="1"/>
  <c r="D605" i="55"/>
  <c r="E605" i="55"/>
  <c r="D604" i="55"/>
  <c r="E604" i="55"/>
  <c r="D606" i="55"/>
  <c r="E606" i="55"/>
  <c r="D608" i="55"/>
  <c r="E608" i="55"/>
  <c r="D612" i="55"/>
  <c r="E612" i="55"/>
  <c r="D607" i="55"/>
  <c r="E607" i="55"/>
  <c r="D609" i="55"/>
  <c r="E609" i="55"/>
  <c r="D610" i="55"/>
  <c r="E610" i="55"/>
  <c r="D611" i="55"/>
  <c r="E611" i="55"/>
  <c r="D613" i="55"/>
  <c r="E613" i="55"/>
  <c r="D614" i="55"/>
  <c r="E614" i="55"/>
  <c r="D615" i="55"/>
  <c r="E615" i="55"/>
  <c r="D617" i="55"/>
  <c r="E617" i="55"/>
  <c r="D618" i="55"/>
  <c r="E618" i="55"/>
  <c r="D616" i="55"/>
  <c r="E616" i="55"/>
  <c r="D620" i="55"/>
  <c r="E620" i="55"/>
  <c r="D621" i="55"/>
  <c r="E621" i="55"/>
  <c r="D619" i="55"/>
  <c r="E619" i="55"/>
  <c r="D623" i="55"/>
  <c r="E623" i="55"/>
  <c r="D626" i="55"/>
  <c r="E626" i="55"/>
  <c r="D624" i="55"/>
  <c r="E624" i="55"/>
  <c r="D622" i="55"/>
  <c r="E622" i="55"/>
  <c r="D625" i="55"/>
  <c r="E625" i="55"/>
  <c r="D627" i="55"/>
  <c r="E627" i="55"/>
  <c r="F627" i="55" s="1"/>
  <c r="D628" i="55"/>
  <c r="E628" i="55"/>
  <c r="F628" i="55" s="1"/>
  <c r="D629" i="55"/>
  <c r="E629" i="55"/>
  <c r="F629" i="55" s="1"/>
  <c r="E603" i="55"/>
  <c r="X38" i="60" s="1"/>
  <c r="F38" i="60" s="1"/>
  <c r="D603" i="55"/>
  <c r="W38" i="60" s="1"/>
  <c r="E38" i="60" s="1"/>
  <c r="J567" i="55"/>
  <c r="K567" i="55"/>
  <c r="J568" i="55"/>
  <c r="K568" i="55"/>
  <c r="J569" i="55"/>
  <c r="K569" i="55"/>
  <c r="J570" i="55"/>
  <c r="K570" i="55"/>
  <c r="J574" i="55"/>
  <c r="K574" i="55"/>
  <c r="J573" i="55"/>
  <c r="K573" i="55"/>
  <c r="J576" i="55"/>
  <c r="K576" i="55"/>
  <c r="J575" i="55"/>
  <c r="K575" i="55"/>
  <c r="J577" i="55"/>
  <c r="K577" i="55"/>
  <c r="J580" i="55"/>
  <c r="K580" i="55"/>
  <c r="J578" i="55"/>
  <c r="K578" i="55"/>
  <c r="J581" i="55"/>
  <c r="K581" i="55"/>
  <c r="J579" i="55"/>
  <c r="K579" i="55"/>
  <c r="J572" i="55"/>
  <c r="K572" i="55"/>
  <c r="J571" i="55"/>
  <c r="K571" i="55"/>
  <c r="J582" i="55"/>
  <c r="K582" i="55"/>
  <c r="L582" i="55" s="1"/>
  <c r="J583" i="55"/>
  <c r="K583" i="55"/>
  <c r="L583" i="55" s="1"/>
  <c r="J584" i="55"/>
  <c r="K584" i="55"/>
  <c r="L584" i="55" s="1"/>
  <c r="J585" i="55"/>
  <c r="K585" i="55"/>
  <c r="L585" i="55" s="1"/>
  <c r="J586" i="55"/>
  <c r="K586" i="55"/>
  <c r="L586" i="55" s="1"/>
  <c r="J587" i="55"/>
  <c r="K587" i="55"/>
  <c r="L587" i="55" s="1"/>
  <c r="J588" i="55"/>
  <c r="K588" i="55"/>
  <c r="L588" i="55" s="1"/>
  <c r="J589" i="55"/>
  <c r="K589" i="55"/>
  <c r="L589" i="55" s="1"/>
  <c r="J590" i="55"/>
  <c r="K590" i="55"/>
  <c r="L590" i="55" s="1"/>
  <c r="J591" i="55"/>
  <c r="K591" i="55"/>
  <c r="L591" i="55" s="1"/>
  <c r="J592" i="55"/>
  <c r="K592" i="55"/>
  <c r="L592" i="55" s="1"/>
  <c r="K566" i="55"/>
  <c r="Z26" i="60" s="1"/>
  <c r="M26" i="60" s="1"/>
  <c r="J566" i="55"/>
  <c r="Y26" i="60" s="1"/>
  <c r="L26" i="60" s="1"/>
  <c r="D567" i="55"/>
  <c r="E567" i="55"/>
  <c r="D568" i="55"/>
  <c r="E568" i="55"/>
  <c r="D569" i="55"/>
  <c r="E569" i="55"/>
  <c r="D570" i="55"/>
  <c r="E570" i="55"/>
  <c r="D571" i="55"/>
  <c r="E571" i="55"/>
  <c r="D577" i="55"/>
  <c r="E577" i="55"/>
  <c r="D575" i="55"/>
  <c r="E575" i="55"/>
  <c r="D574" i="55"/>
  <c r="E574" i="55"/>
  <c r="D576" i="55"/>
  <c r="E576" i="55"/>
  <c r="D580" i="55"/>
  <c r="E580" i="55"/>
  <c r="D581" i="55"/>
  <c r="E581" i="55"/>
  <c r="D579" i="55"/>
  <c r="E579" i="55"/>
  <c r="D578" i="55"/>
  <c r="E578" i="55"/>
  <c r="D573" i="55"/>
  <c r="E573" i="55"/>
  <c r="D572" i="55"/>
  <c r="E572" i="55"/>
  <c r="D582" i="55"/>
  <c r="E582" i="55"/>
  <c r="F582" i="55" s="1"/>
  <c r="D583" i="55"/>
  <c r="E583" i="55"/>
  <c r="F583" i="55" s="1"/>
  <c r="D584" i="55"/>
  <c r="E584" i="55"/>
  <c r="F584" i="55" s="1"/>
  <c r="D585" i="55"/>
  <c r="E585" i="55"/>
  <c r="F585" i="55" s="1"/>
  <c r="D586" i="55"/>
  <c r="E586" i="55"/>
  <c r="F586" i="55" s="1"/>
  <c r="D587" i="55"/>
  <c r="E587" i="55"/>
  <c r="F587" i="55" s="1"/>
  <c r="D588" i="55"/>
  <c r="E588" i="55"/>
  <c r="F588" i="55" s="1"/>
  <c r="D589" i="55"/>
  <c r="E589" i="55"/>
  <c r="F589" i="55" s="1"/>
  <c r="D590" i="55"/>
  <c r="E590" i="55"/>
  <c r="F590" i="55" s="1"/>
  <c r="D591" i="55"/>
  <c r="E591" i="55"/>
  <c r="F591" i="55" s="1"/>
  <c r="D592" i="55"/>
  <c r="E592" i="55"/>
  <c r="F592" i="55" s="1"/>
  <c r="E566" i="55"/>
  <c r="X26" i="60" s="1"/>
  <c r="F26" i="60" s="1"/>
  <c r="D566" i="55"/>
  <c r="W26" i="60" s="1"/>
  <c r="E26" i="60" s="1"/>
  <c r="J530" i="55"/>
  <c r="K530" i="55"/>
  <c r="J531" i="55"/>
  <c r="K531" i="55"/>
  <c r="J532" i="55"/>
  <c r="Y24" i="60" s="1"/>
  <c r="L24" i="60" s="1"/>
  <c r="K532" i="55"/>
  <c r="Z24" i="60" s="1"/>
  <c r="M24" i="60" s="1"/>
  <c r="J533" i="55"/>
  <c r="K533" i="55"/>
  <c r="J535" i="55"/>
  <c r="K535" i="55"/>
  <c r="J534" i="55"/>
  <c r="K534" i="55"/>
  <c r="J536" i="55"/>
  <c r="K536" i="55"/>
  <c r="J538" i="55"/>
  <c r="K538" i="55"/>
  <c r="J539" i="55"/>
  <c r="K539" i="55"/>
  <c r="J537" i="55"/>
  <c r="K537" i="55"/>
  <c r="J540" i="55"/>
  <c r="K540" i="55"/>
  <c r="J541" i="55"/>
  <c r="K541" i="55"/>
  <c r="J542" i="55"/>
  <c r="K542" i="55"/>
  <c r="J546" i="55"/>
  <c r="K546" i="55"/>
  <c r="J545" i="55"/>
  <c r="L545" i="55" s="1"/>
  <c r="K545" i="55"/>
  <c r="J543" i="55"/>
  <c r="K543" i="55"/>
  <c r="J548" i="55"/>
  <c r="K548" i="55"/>
  <c r="J549" i="55"/>
  <c r="K549" i="55"/>
  <c r="J544" i="55"/>
  <c r="K544" i="55"/>
  <c r="J550" i="55"/>
  <c r="K550" i="55"/>
  <c r="J551" i="55"/>
  <c r="K551" i="55"/>
  <c r="J552" i="55"/>
  <c r="K552" i="55"/>
  <c r="L551" i="55" s="1"/>
  <c r="J553" i="55"/>
  <c r="K553" i="55"/>
  <c r="J547" i="55"/>
  <c r="K547" i="55"/>
  <c r="J554" i="55"/>
  <c r="K554" i="55"/>
  <c r="L554" i="55" s="1"/>
  <c r="J555" i="55"/>
  <c r="K555" i="55"/>
  <c r="L555" i="55" s="1"/>
  <c r="K529" i="55"/>
  <c r="L529" i="55" s="1"/>
  <c r="J529" i="55"/>
  <c r="D530" i="55"/>
  <c r="E530" i="55"/>
  <c r="D531" i="55"/>
  <c r="E531" i="55"/>
  <c r="D532" i="55"/>
  <c r="W24" i="60" s="1"/>
  <c r="E24" i="60" s="1"/>
  <c r="E532" i="55"/>
  <c r="X24" i="60" s="1"/>
  <c r="F24" i="60" s="1"/>
  <c r="D533" i="55"/>
  <c r="E533" i="55"/>
  <c r="D534" i="55"/>
  <c r="E534" i="55"/>
  <c r="D535" i="55"/>
  <c r="E535" i="55"/>
  <c r="D536" i="55"/>
  <c r="E536" i="55"/>
  <c r="D539" i="55"/>
  <c r="E539" i="55"/>
  <c r="D538" i="55"/>
  <c r="E538" i="55"/>
  <c r="D537" i="55"/>
  <c r="E537" i="55"/>
  <c r="D540" i="55"/>
  <c r="E540" i="55"/>
  <c r="D541" i="55"/>
  <c r="E541" i="55"/>
  <c r="D543" i="55"/>
  <c r="E543" i="55"/>
  <c r="D545" i="55"/>
  <c r="E545" i="55"/>
  <c r="D542" i="55"/>
  <c r="E542" i="55"/>
  <c r="D549" i="55"/>
  <c r="E549" i="55"/>
  <c r="D548" i="55"/>
  <c r="E548" i="55"/>
  <c r="D546" i="55"/>
  <c r="E546" i="55"/>
  <c r="D544" i="55"/>
  <c r="E544" i="55"/>
  <c r="D550" i="55"/>
  <c r="E550" i="55"/>
  <c r="D551" i="55"/>
  <c r="E551" i="55"/>
  <c r="D552" i="55"/>
  <c r="E552" i="55"/>
  <c r="D553" i="55"/>
  <c r="E553" i="55"/>
  <c r="D547" i="55"/>
  <c r="E547" i="55"/>
  <c r="D554" i="55"/>
  <c r="E554" i="55"/>
  <c r="F554" i="55" s="1"/>
  <c r="D555" i="55"/>
  <c r="E555" i="55"/>
  <c r="F555" i="55" s="1"/>
  <c r="E529" i="55"/>
  <c r="D529" i="55"/>
  <c r="K493" i="55"/>
  <c r="K496" i="55"/>
  <c r="K498" i="55"/>
  <c r="K494" i="55"/>
  <c r="K497" i="55"/>
  <c r="L497" i="55" s="1"/>
  <c r="K495" i="55"/>
  <c r="K499" i="55"/>
  <c r="K500" i="55"/>
  <c r="L500" i="55" s="1"/>
  <c r="K501" i="55"/>
  <c r="Z23" i="60" s="1"/>
  <c r="M23" i="60" s="1"/>
  <c r="M22" i="60" s="1"/>
  <c r="K502" i="55"/>
  <c r="K503" i="55"/>
  <c r="L503" i="55" s="1"/>
  <c r="K505" i="55"/>
  <c r="K504" i="55"/>
  <c r="L504" i="55" s="1"/>
  <c r="K506" i="55"/>
  <c r="L506" i="55" s="1"/>
  <c r="K508" i="55"/>
  <c r="K507" i="55"/>
  <c r="K509" i="55"/>
  <c r="K511" i="55"/>
  <c r="K510" i="55"/>
  <c r="K512" i="55"/>
  <c r="K513" i="55"/>
  <c r="K514" i="55"/>
  <c r="K515" i="55"/>
  <c r="L515" i="55" s="1"/>
  <c r="K517" i="55"/>
  <c r="K516" i="55"/>
  <c r="L516" i="55" s="1"/>
  <c r="K518" i="55"/>
  <c r="L518" i="55" s="1"/>
  <c r="K492" i="55"/>
  <c r="D492" i="55"/>
  <c r="E492" i="55"/>
  <c r="D494" i="55"/>
  <c r="E494" i="55"/>
  <c r="D496" i="55"/>
  <c r="E496" i="55"/>
  <c r="D495" i="55"/>
  <c r="E495" i="55"/>
  <c r="D498" i="55"/>
  <c r="E498" i="55"/>
  <c r="D497" i="55"/>
  <c r="W23" i="60" s="1"/>
  <c r="E23" i="60" s="1"/>
  <c r="E22" i="60" s="1"/>
  <c r="E497" i="55"/>
  <c r="X23" i="60" s="1"/>
  <c r="F23" i="60" s="1"/>
  <c r="F22" i="60" s="1"/>
  <c r="D500" i="55"/>
  <c r="E500" i="55"/>
  <c r="D499" i="55"/>
  <c r="E499" i="55"/>
  <c r="D501" i="55"/>
  <c r="E501" i="55"/>
  <c r="D502" i="55"/>
  <c r="E502" i="55"/>
  <c r="D504" i="55"/>
  <c r="E504" i="55"/>
  <c r="D503" i="55"/>
  <c r="E503" i="55"/>
  <c r="D505" i="55"/>
  <c r="E505" i="55"/>
  <c r="D506" i="55"/>
  <c r="E506" i="55"/>
  <c r="D508" i="55"/>
  <c r="E508" i="55"/>
  <c r="D507" i="55"/>
  <c r="E507" i="55"/>
  <c r="D510" i="55"/>
  <c r="E510" i="55"/>
  <c r="D509" i="55"/>
  <c r="E509" i="55"/>
  <c r="D513" i="55"/>
  <c r="E513" i="55"/>
  <c r="D511" i="55"/>
  <c r="E511" i="55"/>
  <c r="D512" i="55"/>
  <c r="E512" i="55"/>
  <c r="D514" i="55"/>
  <c r="E514" i="55"/>
  <c r="D516" i="55"/>
  <c r="E516" i="55"/>
  <c r="D515" i="55"/>
  <c r="E515" i="55"/>
  <c r="D517" i="55"/>
  <c r="E517" i="55"/>
  <c r="D518" i="55"/>
  <c r="E518" i="55"/>
  <c r="F518" i="55" s="1"/>
  <c r="E493" i="55"/>
  <c r="D493" i="55"/>
  <c r="J457" i="55"/>
  <c r="K457" i="55"/>
  <c r="J456" i="55"/>
  <c r="K456" i="55"/>
  <c r="J459" i="55"/>
  <c r="K459" i="55"/>
  <c r="J460" i="55"/>
  <c r="K460" i="55"/>
  <c r="J458" i="55"/>
  <c r="K458" i="55"/>
  <c r="J461" i="55"/>
  <c r="K461" i="55"/>
  <c r="J462" i="55"/>
  <c r="K462" i="55"/>
  <c r="J463" i="55"/>
  <c r="K463" i="55"/>
  <c r="J466" i="55"/>
  <c r="K466" i="55"/>
  <c r="J464" i="55"/>
  <c r="K464" i="55"/>
  <c r="J465" i="55"/>
  <c r="K465" i="55"/>
  <c r="J468" i="55"/>
  <c r="K468" i="55"/>
  <c r="J467" i="55"/>
  <c r="K467" i="55"/>
  <c r="J470" i="55"/>
  <c r="K470" i="55"/>
  <c r="J472" i="55"/>
  <c r="K472" i="55"/>
  <c r="J469" i="55"/>
  <c r="K469" i="55"/>
  <c r="J475" i="55"/>
  <c r="K475" i="55"/>
  <c r="J471" i="55"/>
  <c r="K471" i="55"/>
  <c r="J474" i="55"/>
  <c r="K474" i="55"/>
  <c r="J477" i="55"/>
  <c r="K477" i="55"/>
  <c r="J473" i="55"/>
  <c r="K473" i="55"/>
  <c r="J476" i="55"/>
  <c r="Y37" i="60" s="1"/>
  <c r="L37" i="60" s="1"/>
  <c r="K476" i="55"/>
  <c r="Z37" i="60" s="1"/>
  <c r="M37" i="60" s="1"/>
  <c r="J478" i="55"/>
  <c r="K478" i="55"/>
  <c r="J479" i="55"/>
  <c r="K479" i="55"/>
  <c r="J480" i="55"/>
  <c r="K480" i="55"/>
  <c r="J481" i="55"/>
  <c r="K481" i="55"/>
  <c r="K455" i="55"/>
  <c r="J455" i="55"/>
  <c r="D456" i="55"/>
  <c r="E456" i="55"/>
  <c r="D457" i="55"/>
  <c r="E457" i="55"/>
  <c r="D459" i="55"/>
  <c r="E459" i="55"/>
  <c r="D460" i="55"/>
  <c r="E460" i="55"/>
  <c r="D462" i="55"/>
  <c r="E462" i="55"/>
  <c r="D461" i="55"/>
  <c r="E461" i="55"/>
  <c r="D464" i="55"/>
  <c r="E464" i="55"/>
  <c r="D463" i="55"/>
  <c r="E463" i="55"/>
  <c r="D458" i="55"/>
  <c r="E458" i="55"/>
  <c r="D465" i="55"/>
  <c r="E465" i="55"/>
  <c r="D467" i="55"/>
  <c r="E467" i="55"/>
  <c r="D475" i="55"/>
  <c r="E475" i="55"/>
  <c r="D470" i="55"/>
  <c r="E470" i="55"/>
  <c r="D466" i="55"/>
  <c r="E466" i="55"/>
  <c r="D468" i="55"/>
  <c r="E468" i="55"/>
  <c r="D469" i="55"/>
  <c r="E469" i="55"/>
  <c r="D473" i="55"/>
  <c r="E473" i="55"/>
  <c r="D471" i="55"/>
  <c r="E471" i="55"/>
  <c r="D472" i="55"/>
  <c r="W37" i="60" s="1"/>
  <c r="E37" i="60" s="1"/>
  <c r="E472" i="55"/>
  <c r="X37" i="60" s="1"/>
  <c r="F37" i="60" s="1"/>
  <c r="D474" i="55"/>
  <c r="E474" i="55"/>
  <c r="D477" i="55"/>
  <c r="E477" i="55"/>
  <c r="D476" i="55"/>
  <c r="E476" i="55"/>
  <c r="D480" i="55"/>
  <c r="E480" i="55"/>
  <c r="D479" i="55"/>
  <c r="E479" i="55"/>
  <c r="D478" i="55"/>
  <c r="E478" i="55"/>
  <c r="D481" i="55"/>
  <c r="E481" i="55"/>
  <c r="E455" i="55"/>
  <c r="D455" i="55"/>
  <c r="J420" i="55"/>
  <c r="K420" i="55"/>
  <c r="J419" i="55"/>
  <c r="Y21" i="60" s="1"/>
  <c r="L21" i="60" s="1"/>
  <c r="K419" i="55"/>
  <c r="Z21" i="60" s="1"/>
  <c r="M21" i="60" s="1"/>
  <c r="J421" i="55"/>
  <c r="K421" i="55"/>
  <c r="J423" i="55"/>
  <c r="K423" i="55"/>
  <c r="J422" i="55"/>
  <c r="K422" i="55"/>
  <c r="J425" i="55"/>
  <c r="K425" i="55"/>
  <c r="J426" i="55"/>
  <c r="K426" i="55"/>
  <c r="L425" i="55" s="1"/>
  <c r="J424" i="55"/>
  <c r="K424" i="55"/>
  <c r="J427" i="55"/>
  <c r="K427" i="55"/>
  <c r="L427" i="55" s="1"/>
  <c r="J428" i="55"/>
  <c r="K428" i="55"/>
  <c r="L428" i="55" s="1"/>
  <c r="J429" i="55"/>
  <c r="K429" i="55"/>
  <c r="L429" i="55" s="1"/>
  <c r="J430" i="55"/>
  <c r="K430" i="55"/>
  <c r="L430" i="55" s="1"/>
  <c r="J431" i="55"/>
  <c r="K431" i="55"/>
  <c r="L431" i="55" s="1"/>
  <c r="J432" i="55"/>
  <c r="K432" i="55"/>
  <c r="L432" i="55" s="1"/>
  <c r="J433" i="55"/>
  <c r="K433" i="55"/>
  <c r="L433" i="55" s="1"/>
  <c r="J434" i="55"/>
  <c r="K434" i="55"/>
  <c r="L434" i="55" s="1"/>
  <c r="J435" i="55"/>
  <c r="K435" i="55"/>
  <c r="L435" i="55" s="1"/>
  <c r="J436" i="55"/>
  <c r="K436" i="55"/>
  <c r="L436" i="55" s="1"/>
  <c r="J437" i="55"/>
  <c r="K437" i="55"/>
  <c r="L437" i="55" s="1"/>
  <c r="J438" i="55"/>
  <c r="K438" i="55"/>
  <c r="L438" i="55" s="1"/>
  <c r="J439" i="55"/>
  <c r="K439" i="55"/>
  <c r="L439" i="55" s="1"/>
  <c r="J440" i="55"/>
  <c r="K440" i="55"/>
  <c r="L440" i="55" s="1"/>
  <c r="J441" i="55"/>
  <c r="K441" i="55"/>
  <c r="L441" i="55" s="1"/>
  <c r="J442" i="55"/>
  <c r="K442" i="55"/>
  <c r="L442" i="55" s="1"/>
  <c r="J443" i="55"/>
  <c r="K443" i="55"/>
  <c r="L443" i="55" s="1"/>
  <c r="J444" i="55"/>
  <c r="K444" i="55"/>
  <c r="L444" i="55" s="1"/>
  <c r="K418" i="55"/>
  <c r="J418" i="55"/>
  <c r="D421" i="55"/>
  <c r="E421" i="55"/>
  <c r="D419" i="55"/>
  <c r="W21" i="60" s="1"/>
  <c r="E21" i="60" s="1"/>
  <c r="E419" i="55"/>
  <c r="X21" i="60" s="1"/>
  <c r="F21" i="60" s="1"/>
  <c r="D420" i="55"/>
  <c r="E420" i="55"/>
  <c r="D423" i="55"/>
  <c r="E423" i="55"/>
  <c r="D422" i="55"/>
  <c r="E422" i="55"/>
  <c r="D425" i="55"/>
  <c r="E425" i="55"/>
  <c r="D426" i="55"/>
  <c r="E426" i="55"/>
  <c r="D424" i="55"/>
  <c r="E424" i="55"/>
  <c r="D427" i="55"/>
  <c r="E427" i="55"/>
  <c r="F427" i="55" s="1"/>
  <c r="D428" i="55"/>
  <c r="E428" i="55"/>
  <c r="F428" i="55" s="1"/>
  <c r="D429" i="55"/>
  <c r="E429" i="55"/>
  <c r="F429" i="55" s="1"/>
  <c r="D430" i="55"/>
  <c r="E430" i="55"/>
  <c r="F430" i="55" s="1"/>
  <c r="D431" i="55"/>
  <c r="E431" i="55"/>
  <c r="F431" i="55" s="1"/>
  <c r="D432" i="55"/>
  <c r="E432" i="55"/>
  <c r="F432" i="55" s="1"/>
  <c r="D433" i="55"/>
  <c r="E433" i="55"/>
  <c r="F433" i="55" s="1"/>
  <c r="D434" i="55"/>
  <c r="E434" i="55"/>
  <c r="F434" i="55" s="1"/>
  <c r="D435" i="55"/>
  <c r="E435" i="55"/>
  <c r="F435" i="55" s="1"/>
  <c r="D436" i="55"/>
  <c r="E436" i="55"/>
  <c r="F436" i="55" s="1"/>
  <c r="D437" i="55"/>
  <c r="E437" i="55"/>
  <c r="F437" i="55" s="1"/>
  <c r="D438" i="55"/>
  <c r="E438" i="55"/>
  <c r="F438" i="55" s="1"/>
  <c r="D439" i="55"/>
  <c r="E439" i="55"/>
  <c r="F439" i="55" s="1"/>
  <c r="D440" i="55"/>
  <c r="E440" i="55"/>
  <c r="F440" i="55" s="1"/>
  <c r="D441" i="55"/>
  <c r="E441" i="55"/>
  <c r="F441" i="55" s="1"/>
  <c r="D442" i="55"/>
  <c r="E442" i="55"/>
  <c r="F442" i="55" s="1"/>
  <c r="D443" i="55"/>
  <c r="E443" i="55"/>
  <c r="F443" i="55" s="1"/>
  <c r="D444" i="55"/>
  <c r="E444" i="55"/>
  <c r="F444" i="55" s="1"/>
  <c r="E418" i="55"/>
  <c r="D418" i="55"/>
  <c r="J382" i="55"/>
  <c r="Y20" i="60" s="1"/>
  <c r="L20" i="60" s="1"/>
  <c r="K382" i="55"/>
  <c r="Z20" i="60" s="1"/>
  <c r="M20" i="60" s="1"/>
  <c r="J383" i="55"/>
  <c r="K383" i="55"/>
  <c r="J384" i="55"/>
  <c r="K384" i="55"/>
  <c r="J385" i="55"/>
  <c r="K385" i="55"/>
  <c r="J386" i="55"/>
  <c r="K386" i="55"/>
  <c r="J389" i="55"/>
  <c r="K389" i="55"/>
  <c r="J390" i="55"/>
  <c r="K390" i="55"/>
  <c r="J387" i="55"/>
  <c r="K387" i="55"/>
  <c r="J392" i="55"/>
  <c r="K392" i="55"/>
  <c r="J391" i="55"/>
  <c r="K391" i="55"/>
  <c r="J393" i="55"/>
  <c r="K393" i="55"/>
  <c r="L392" i="55" s="1"/>
  <c r="J388" i="55"/>
  <c r="K388" i="55"/>
  <c r="J394" i="55"/>
  <c r="K394" i="55"/>
  <c r="L394" i="55" s="1"/>
  <c r="J395" i="55"/>
  <c r="K395" i="55"/>
  <c r="L395" i="55" s="1"/>
  <c r="J396" i="55"/>
  <c r="K396" i="55"/>
  <c r="L396" i="55" s="1"/>
  <c r="J397" i="55"/>
  <c r="K397" i="55"/>
  <c r="L397" i="55" s="1"/>
  <c r="J398" i="55"/>
  <c r="K398" i="55"/>
  <c r="L398" i="55" s="1"/>
  <c r="J399" i="55"/>
  <c r="K399" i="55"/>
  <c r="L399" i="55" s="1"/>
  <c r="J400" i="55"/>
  <c r="K400" i="55"/>
  <c r="L400" i="55" s="1"/>
  <c r="J401" i="55"/>
  <c r="K401" i="55"/>
  <c r="L401" i="55" s="1"/>
  <c r="J402" i="55"/>
  <c r="K402" i="55"/>
  <c r="L402" i="55" s="1"/>
  <c r="J403" i="55"/>
  <c r="K403" i="55"/>
  <c r="L403" i="55" s="1"/>
  <c r="J404" i="55"/>
  <c r="K404" i="55"/>
  <c r="L404" i="55" s="1"/>
  <c r="J405" i="55"/>
  <c r="K405" i="55"/>
  <c r="L405" i="55" s="1"/>
  <c r="J406" i="55"/>
  <c r="K406" i="55"/>
  <c r="L406" i="55" s="1"/>
  <c r="J407" i="55"/>
  <c r="K407" i="55"/>
  <c r="L407" i="55" s="1"/>
  <c r="K381" i="55"/>
  <c r="L381" i="55" s="1"/>
  <c r="J381" i="55"/>
  <c r="D382" i="55"/>
  <c r="W20" i="60" s="1"/>
  <c r="E20" i="60" s="1"/>
  <c r="E382" i="55"/>
  <c r="X20" i="60" s="1"/>
  <c r="F20" i="60" s="1"/>
  <c r="D384" i="55"/>
  <c r="E384" i="55"/>
  <c r="D383" i="55"/>
  <c r="E383" i="55"/>
  <c r="D386" i="55"/>
  <c r="E386" i="55"/>
  <c r="D385" i="55"/>
  <c r="E385" i="55"/>
  <c r="D388" i="55"/>
  <c r="E388" i="55"/>
  <c r="D389" i="55"/>
  <c r="E389" i="55"/>
  <c r="D387" i="55"/>
  <c r="E387" i="55"/>
  <c r="D392" i="55"/>
  <c r="E392" i="55"/>
  <c r="D391" i="55"/>
  <c r="E391" i="55"/>
  <c r="D393" i="55"/>
  <c r="E393" i="55"/>
  <c r="D390" i="55"/>
  <c r="E390" i="55"/>
  <c r="D394" i="55"/>
  <c r="E394" i="55"/>
  <c r="F394" i="55" s="1"/>
  <c r="D395" i="55"/>
  <c r="E395" i="55"/>
  <c r="F395" i="55" s="1"/>
  <c r="D396" i="55"/>
  <c r="E396" i="55"/>
  <c r="F396" i="55" s="1"/>
  <c r="D397" i="55"/>
  <c r="E397" i="55"/>
  <c r="F397" i="55" s="1"/>
  <c r="D398" i="55"/>
  <c r="E398" i="55"/>
  <c r="F398" i="55" s="1"/>
  <c r="D399" i="55"/>
  <c r="E399" i="55"/>
  <c r="F399" i="55" s="1"/>
  <c r="D400" i="55"/>
  <c r="E400" i="55"/>
  <c r="F400" i="55" s="1"/>
  <c r="D401" i="55"/>
  <c r="E401" i="55"/>
  <c r="F401" i="55" s="1"/>
  <c r="D402" i="55"/>
  <c r="E402" i="55"/>
  <c r="F402" i="55" s="1"/>
  <c r="D403" i="55"/>
  <c r="E403" i="55"/>
  <c r="F403" i="55" s="1"/>
  <c r="D404" i="55"/>
  <c r="E404" i="55"/>
  <c r="F404" i="55" s="1"/>
  <c r="D405" i="55"/>
  <c r="E405" i="55"/>
  <c r="F405" i="55" s="1"/>
  <c r="D406" i="55"/>
  <c r="E406" i="55"/>
  <c r="F406" i="55" s="1"/>
  <c r="D407" i="55"/>
  <c r="E407" i="55"/>
  <c r="F407" i="55" s="1"/>
  <c r="E381" i="55"/>
  <c r="D381" i="55"/>
  <c r="J345" i="55"/>
  <c r="K345" i="55"/>
  <c r="J344" i="55"/>
  <c r="K344" i="55"/>
  <c r="J348" i="55"/>
  <c r="K348" i="55"/>
  <c r="J347" i="55"/>
  <c r="K347" i="55"/>
  <c r="J349" i="55"/>
  <c r="K349" i="55"/>
  <c r="J350" i="55"/>
  <c r="K350" i="55"/>
  <c r="J352" i="55"/>
  <c r="K352" i="55"/>
  <c r="J354" i="55"/>
  <c r="K354" i="55"/>
  <c r="J355" i="55"/>
  <c r="K355" i="55"/>
  <c r="J353" i="55"/>
  <c r="K353" i="55"/>
  <c r="J351" i="55"/>
  <c r="Y19" i="60" s="1"/>
  <c r="L19" i="60" s="1"/>
  <c r="K351" i="55"/>
  <c r="Z19" i="60" s="1"/>
  <c r="M19" i="60" s="1"/>
  <c r="J356" i="55"/>
  <c r="K356" i="55"/>
  <c r="J357" i="55"/>
  <c r="K357" i="55"/>
  <c r="J358" i="55"/>
  <c r="K358" i="55"/>
  <c r="J362" i="55"/>
  <c r="K362" i="55"/>
  <c r="J359" i="55"/>
  <c r="K359" i="55"/>
  <c r="J360" i="55"/>
  <c r="K360" i="55"/>
  <c r="J361" i="55"/>
  <c r="K361" i="55"/>
  <c r="J363" i="55"/>
  <c r="K363" i="55"/>
  <c r="J364" i="55"/>
  <c r="K364" i="55"/>
  <c r="J365" i="55"/>
  <c r="K365" i="55"/>
  <c r="J367" i="55"/>
  <c r="K367" i="55"/>
  <c r="J366" i="55"/>
  <c r="K366" i="55"/>
  <c r="J368" i="55"/>
  <c r="K368" i="55"/>
  <c r="J369" i="55"/>
  <c r="K369" i="55"/>
  <c r="L369" i="55" s="1"/>
  <c r="J370" i="55"/>
  <c r="K370" i="55"/>
  <c r="L370" i="55" s="1"/>
  <c r="K346" i="55"/>
  <c r="J346" i="55"/>
  <c r="D345" i="55"/>
  <c r="E345" i="55"/>
  <c r="D347" i="55"/>
  <c r="E347" i="55"/>
  <c r="D346" i="55"/>
  <c r="E346" i="55"/>
  <c r="D348" i="55"/>
  <c r="W19" i="60" s="1"/>
  <c r="E19" i="60" s="1"/>
  <c r="E348" i="55"/>
  <c r="D349" i="55"/>
  <c r="E349" i="55"/>
  <c r="D350" i="55"/>
  <c r="E350" i="55"/>
  <c r="D351" i="55"/>
  <c r="E351" i="55"/>
  <c r="D353" i="55"/>
  <c r="E353" i="55"/>
  <c r="D352" i="55"/>
  <c r="E352" i="55"/>
  <c r="D355" i="55"/>
  <c r="E355" i="55"/>
  <c r="D354" i="55"/>
  <c r="E354" i="55"/>
  <c r="D356" i="55"/>
  <c r="E356" i="55"/>
  <c r="D360" i="55"/>
  <c r="E360" i="55"/>
  <c r="D363" i="55"/>
  <c r="E363" i="55"/>
  <c r="D357" i="55"/>
  <c r="E357" i="55"/>
  <c r="D358" i="55"/>
  <c r="E358" i="55"/>
  <c r="D359" i="55"/>
  <c r="E359" i="55"/>
  <c r="D361" i="55"/>
  <c r="E361" i="55"/>
  <c r="D362" i="55"/>
  <c r="E362" i="55"/>
  <c r="D365" i="55"/>
  <c r="E365" i="55"/>
  <c r="D364" i="55"/>
  <c r="E364" i="55"/>
  <c r="D366" i="55"/>
  <c r="E366" i="55"/>
  <c r="D367" i="55"/>
  <c r="E367" i="55"/>
  <c r="D368" i="55"/>
  <c r="E368" i="55"/>
  <c r="D369" i="55"/>
  <c r="E369" i="55"/>
  <c r="F369" i="55" s="1"/>
  <c r="D370" i="55"/>
  <c r="E370" i="55"/>
  <c r="F370" i="55" s="1"/>
  <c r="E344" i="55"/>
  <c r="D344" i="55"/>
  <c r="J310" i="55"/>
  <c r="K310" i="55"/>
  <c r="J308" i="55"/>
  <c r="K308" i="55"/>
  <c r="J309" i="55"/>
  <c r="K309" i="55"/>
  <c r="J311" i="55"/>
  <c r="K311" i="55"/>
  <c r="J312" i="55"/>
  <c r="K312" i="55"/>
  <c r="J313" i="55"/>
  <c r="Y18" i="60" s="1"/>
  <c r="L18" i="60" s="1"/>
  <c r="K313" i="55"/>
  <c r="Z18" i="60" s="1"/>
  <c r="M18" i="60" s="1"/>
  <c r="J316" i="55"/>
  <c r="K316" i="55"/>
  <c r="J315" i="55"/>
  <c r="K315" i="55"/>
  <c r="J318" i="55"/>
  <c r="K318" i="55"/>
  <c r="J317" i="55"/>
  <c r="K317" i="55"/>
  <c r="J314" i="55"/>
  <c r="K314" i="55"/>
  <c r="J319" i="55"/>
  <c r="K319" i="55"/>
  <c r="J320" i="55"/>
  <c r="K320" i="55"/>
  <c r="J321" i="55"/>
  <c r="K321" i="55"/>
  <c r="J322" i="55"/>
  <c r="K322" i="55"/>
  <c r="J323" i="55"/>
  <c r="K323" i="55"/>
  <c r="J324" i="55"/>
  <c r="K324" i="55"/>
  <c r="J327" i="55"/>
  <c r="K327" i="55"/>
  <c r="J326" i="55"/>
  <c r="K326" i="55"/>
  <c r="J328" i="55"/>
  <c r="K328" i="55"/>
  <c r="J331" i="55"/>
  <c r="K331" i="55"/>
  <c r="J330" i="55"/>
  <c r="K330" i="55"/>
  <c r="J329" i="55"/>
  <c r="K329" i="55"/>
  <c r="J325" i="55"/>
  <c r="K325" i="55"/>
  <c r="J332" i="55"/>
  <c r="K332" i="55"/>
  <c r="L332" i="55" s="1"/>
  <c r="J333" i="55"/>
  <c r="K333" i="55"/>
  <c r="L333" i="55" s="1"/>
  <c r="K307" i="55"/>
  <c r="J307" i="55"/>
  <c r="D311" i="55"/>
  <c r="E311" i="55"/>
  <c r="D308" i="55"/>
  <c r="E308" i="55"/>
  <c r="D309" i="55"/>
  <c r="W18" i="60" s="1"/>
  <c r="E18" i="60" s="1"/>
  <c r="E309" i="55"/>
  <c r="X18" i="60" s="1"/>
  <c r="F18" i="60" s="1"/>
  <c r="D310" i="55"/>
  <c r="E310" i="55"/>
  <c r="D312" i="55"/>
  <c r="E312" i="55"/>
  <c r="D314" i="55"/>
  <c r="E314" i="55"/>
  <c r="D313" i="55"/>
  <c r="E313" i="55"/>
  <c r="D315" i="55"/>
  <c r="E315" i="55"/>
  <c r="D316" i="55"/>
  <c r="E316" i="55"/>
  <c r="D319" i="55"/>
  <c r="E319" i="55"/>
  <c r="D317" i="55"/>
  <c r="E317" i="55"/>
  <c r="D318" i="55"/>
  <c r="E318" i="55"/>
  <c r="D320" i="55"/>
  <c r="E320" i="55"/>
  <c r="D323" i="55"/>
  <c r="E323" i="55"/>
  <c r="D325" i="55"/>
  <c r="E325" i="55"/>
  <c r="D322" i="55"/>
  <c r="E322" i="55"/>
  <c r="D321" i="55"/>
  <c r="E321" i="55"/>
  <c r="D326" i="55"/>
  <c r="E326" i="55"/>
  <c r="D327" i="55"/>
  <c r="E327" i="55"/>
  <c r="D329" i="55"/>
  <c r="E329" i="55"/>
  <c r="D330" i="55"/>
  <c r="E330" i="55"/>
  <c r="D328" i="55"/>
  <c r="E328" i="55"/>
  <c r="D331" i="55"/>
  <c r="E331" i="55"/>
  <c r="D324" i="55"/>
  <c r="E324" i="55"/>
  <c r="D332" i="55"/>
  <c r="E332" i="55"/>
  <c r="F332" i="55" s="1"/>
  <c r="D333" i="55"/>
  <c r="E333" i="55"/>
  <c r="F333" i="55" s="1"/>
  <c r="E307" i="55"/>
  <c r="D307" i="55"/>
  <c r="J272" i="55"/>
  <c r="K272" i="55"/>
  <c r="J271" i="55"/>
  <c r="K271" i="55"/>
  <c r="J273" i="55"/>
  <c r="K273" i="55"/>
  <c r="J274" i="55"/>
  <c r="K274" i="55"/>
  <c r="J275" i="55"/>
  <c r="K275" i="55"/>
  <c r="J276" i="55"/>
  <c r="K276" i="55"/>
  <c r="J277" i="55"/>
  <c r="K277" i="55"/>
  <c r="J278" i="55"/>
  <c r="K278" i="55"/>
  <c r="J279" i="55"/>
  <c r="Y16" i="60" s="1"/>
  <c r="L16" i="60" s="1"/>
  <c r="K279" i="55"/>
  <c r="Z16" i="60" s="1"/>
  <c r="M16" i="60" s="1"/>
  <c r="J280" i="55"/>
  <c r="K280" i="55"/>
  <c r="J281" i="55"/>
  <c r="K281" i="55"/>
  <c r="J283" i="55"/>
  <c r="K283" i="55"/>
  <c r="J284" i="55"/>
  <c r="K284" i="55"/>
  <c r="J282" i="55"/>
  <c r="K282" i="55"/>
  <c r="J285" i="55"/>
  <c r="K285" i="55"/>
  <c r="J286" i="55"/>
  <c r="K286" i="55"/>
  <c r="J289" i="55"/>
  <c r="K289" i="55"/>
  <c r="J287" i="55"/>
  <c r="K287" i="55"/>
  <c r="J288" i="55"/>
  <c r="K288" i="55"/>
  <c r="J290" i="55"/>
  <c r="K290" i="55"/>
  <c r="J291" i="55"/>
  <c r="K291" i="55"/>
  <c r="J292" i="55"/>
  <c r="K292" i="55"/>
  <c r="J294" i="55"/>
  <c r="K294" i="55"/>
  <c r="J295" i="55"/>
  <c r="K295" i="55"/>
  <c r="J293" i="55"/>
  <c r="K293" i="55"/>
  <c r="J296" i="55"/>
  <c r="K296" i="55"/>
  <c r="L296" i="55" s="1"/>
  <c r="K270" i="55"/>
  <c r="J270" i="55"/>
  <c r="D271" i="55"/>
  <c r="E271" i="55"/>
  <c r="D272" i="55"/>
  <c r="E272" i="55"/>
  <c r="D273" i="55"/>
  <c r="E273" i="55"/>
  <c r="D275" i="55"/>
  <c r="E275" i="55"/>
  <c r="D274" i="55"/>
  <c r="E274" i="55"/>
  <c r="D277" i="55"/>
  <c r="E277" i="55"/>
  <c r="D276" i="55"/>
  <c r="E276" i="55"/>
  <c r="D278" i="55"/>
  <c r="W16" i="60" s="1"/>
  <c r="E16" i="60" s="1"/>
  <c r="E278" i="55"/>
  <c r="D282" i="55"/>
  <c r="E282" i="55"/>
  <c r="D279" i="55"/>
  <c r="E279" i="55"/>
  <c r="D281" i="55"/>
  <c r="E281" i="55"/>
  <c r="D280" i="55"/>
  <c r="E280" i="55"/>
  <c r="D283" i="55"/>
  <c r="E283" i="55"/>
  <c r="D286" i="55"/>
  <c r="E286" i="55"/>
  <c r="D284" i="55"/>
  <c r="E284" i="55"/>
  <c r="D285" i="55"/>
  <c r="E285" i="55"/>
  <c r="D289" i="55"/>
  <c r="E289" i="55"/>
  <c r="D288" i="55"/>
  <c r="E288" i="55"/>
  <c r="D287" i="55"/>
  <c r="E287" i="55"/>
  <c r="D290" i="55"/>
  <c r="E290" i="55"/>
  <c r="D291" i="55"/>
  <c r="E291" i="55"/>
  <c r="D292" i="55"/>
  <c r="E292" i="55"/>
  <c r="D293" i="55"/>
  <c r="E293" i="55"/>
  <c r="D294" i="55"/>
  <c r="E294" i="55"/>
  <c r="D295" i="55"/>
  <c r="E295" i="55"/>
  <c r="D296" i="55"/>
  <c r="E296" i="55"/>
  <c r="F296" i="55" s="1"/>
  <c r="E270" i="55"/>
  <c r="D270" i="55"/>
  <c r="J234" i="55"/>
  <c r="K234" i="55"/>
  <c r="J235" i="55"/>
  <c r="K235" i="55"/>
  <c r="J241" i="55"/>
  <c r="K241" i="55"/>
  <c r="J236" i="55"/>
  <c r="K236" i="55"/>
  <c r="J237" i="55"/>
  <c r="K237" i="55"/>
  <c r="J238" i="55"/>
  <c r="K238" i="55"/>
  <c r="J239" i="55"/>
  <c r="K239" i="55"/>
  <c r="J240" i="55"/>
  <c r="K240" i="55"/>
  <c r="J242" i="55"/>
  <c r="Y35" i="60" s="1"/>
  <c r="L35" i="60" s="1"/>
  <c r="K242" i="55"/>
  <c r="Z35" i="60" s="1"/>
  <c r="M35" i="60" s="1"/>
  <c r="J244" i="55"/>
  <c r="K244" i="55"/>
  <c r="J245" i="55"/>
  <c r="K245" i="55"/>
  <c r="J243" i="55"/>
  <c r="K243" i="55"/>
  <c r="J247" i="55"/>
  <c r="K247" i="55"/>
  <c r="J246" i="55"/>
  <c r="K246" i="55"/>
  <c r="J249" i="55"/>
  <c r="K249" i="55"/>
  <c r="J248" i="55"/>
  <c r="K248" i="55"/>
  <c r="J251" i="55"/>
  <c r="K251" i="55"/>
  <c r="J252" i="55"/>
  <c r="K252" i="55"/>
  <c r="J255" i="55"/>
  <c r="K255" i="55"/>
  <c r="J254" i="55"/>
  <c r="K254" i="55"/>
  <c r="J256" i="55"/>
  <c r="K256" i="55"/>
  <c r="J258" i="55"/>
  <c r="K258" i="55"/>
  <c r="J253" i="55"/>
  <c r="K253" i="55"/>
  <c r="J257" i="55"/>
  <c r="K257" i="55"/>
  <c r="J250" i="55"/>
  <c r="K250" i="55"/>
  <c r="J259" i="55"/>
  <c r="K259" i="55"/>
  <c r="L259" i="55" s="1"/>
  <c r="K233" i="55"/>
  <c r="J233" i="55"/>
  <c r="D234" i="55"/>
  <c r="E234" i="55"/>
  <c r="D235" i="55"/>
  <c r="E235" i="55"/>
  <c r="D236" i="55"/>
  <c r="E236" i="55"/>
  <c r="D237" i="55"/>
  <c r="E237" i="55"/>
  <c r="D238" i="55"/>
  <c r="E238" i="55"/>
  <c r="D239" i="55"/>
  <c r="E239" i="55"/>
  <c r="D241" i="55"/>
  <c r="E241" i="55"/>
  <c r="D244" i="55"/>
  <c r="E244" i="55"/>
  <c r="D242" i="55"/>
  <c r="W35" i="60" s="1"/>
  <c r="E35" i="60" s="1"/>
  <c r="E242" i="55"/>
  <c r="X35" i="60" s="1"/>
  <c r="F35" i="60" s="1"/>
  <c r="D240" i="55"/>
  <c r="E240" i="55"/>
  <c r="D243" i="55"/>
  <c r="E243" i="55"/>
  <c r="D246" i="55"/>
  <c r="E246" i="55"/>
  <c r="D245" i="55"/>
  <c r="E245" i="55"/>
  <c r="D248" i="55"/>
  <c r="E248" i="55"/>
  <c r="D249" i="55"/>
  <c r="E249" i="55"/>
  <c r="D251" i="55"/>
  <c r="E251" i="55"/>
  <c r="D252" i="55"/>
  <c r="E252" i="55"/>
  <c r="D253" i="55"/>
  <c r="E253" i="55"/>
  <c r="D254" i="55"/>
  <c r="E254" i="55"/>
  <c r="D255" i="55"/>
  <c r="E255" i="55"/>
  <c r="D256" i="55"/>
  <c r="E256" i="55"/>
  <c r="D258" i="55"/>
  <c r="E258" i="55"/>
  <c r="D250" i="55"/>
  <c r="E250" i="55"/>
  <c r="D257" i="55"/>
  <c r="E257" i="55"/>
  <c r="D247" i="55"/>
  <c r="E247" i="55"/>
  <c r="F258" i="55" s="1"/>
  <c r="D259" i="55"/>
  <c r="E259" i="55"/>
  <c r="F259" i="55" s="1"/>
  <c r="E233" i="55"/>
  <c r="D233" i="55"/>
  <c r="J197" i="55"/>
  <c r="K197" i="55"/>
  <c r="J198" i="55"/>
  <c r="K198" i="55"/>
  <c r="Z36" i="60" s="1"/>
  <c r="M36" i="60" s="1"/>
  <c r="J199" i="55"/>
  <c r="K199" i="55"/>
  <c r="J200" i="55"/>
  <c r="K200" i="55"/>
  <c r="J201" i="55"/>
  <c r="K201" i="55"/>
  <c r="J202" i="55"/>
  <c r="K202" i="55"/>
  <c r="J203" i="55"/>
  <c r="K203" i="55"/>
  <c r="J204" i="55"/>
  <c r="K204" i="55"/>
  <c r="J205" i="55"/>
  <c r="K205" i="55"/>
  <c r="J209" i="55"/>
  <c r="K209" i="55"/>
  <c r="J206" i="55"/>
  <c r="K206" i="55"/>
  <c r="J207" i="55"/>
  <c r="K207" i="55"/>
  <c r="J208" i="55"/>
  <c r="K208" i="55"/>
  <c r="J210" i="55"/>
  <c r="K210" i="55"/>
  <c r="J211" i="55"/>
  <c r="K211" i="55"/>
  <c r="J212" i="55"/>
  <c r="K212" i="55"/>
  <c r="J215" i="55"/>
  <c r="K215" i="55"/>
  <c r="J213" i="55"/>
  <c r="K213" i="55"/>
  <c r="J214" i="55"/>
  <c r="K214" i="55"/>
  <c r="J217" i="55"/>
  <c r="K217" i="55"/>
  <c r="J218" i="55"/>
  <c r="K218" i="55"/>
  <c r="J220" i="55"/>
  <c r="K220" i="55"/>
  <c r="J221" i="55"/>
  <c r="K221" i="55"/>
  <c r="J216" i="55"/>
  <c r="K216" i="55"/>
  <c r="J219" i="55"/>
  <c r="K219" i="55"/>
  <c r="J222" i="55"/>
  <c r="K222" i="55"/>
  <c r="K196" i="55"/>
  <c r="J196" i="55"/>
  <c r="D197" i="55"/>
  <c r="E197" i="55"/>
  <c r="X36" i="60" s="1"/>
  <c r="F36" i="60" s="1"/>
  <c r="D198" i="55"/>
  <c r="E198" i="55"/>
  <c r="D200" i="55"/>
  <c r="E200" i="55"/>
  <c r="D199" i="55"/>
  <c r="E199" i="55"/>
  <c r="D202" i="55"/>
  <c r="E202" i="55"/>
  <c r="D201" i="55"/>
  <c r="E201" i="55"/>
  <c r="D203" i="55"/>
  <c r="E203" i="55"/>
  <c r="D204" i="55"/>
  <c r="E204" i="55"/>
  <c r="D205" i="55"/>
  <c r="E205" i="55"/>
  <c r="D211" i="55"/>
  <c r="E211" i="55"/>
  <c r="D206" i="55"/>
  <c r="E206" i="55"/>
  <c r="D209" i="55"/>
  <c r="E209" i="55"/>
  <c r="D207" i="55"/>
  <c r="E207" i="55"/>
  <c r="D210" i="55"/>
  <c r="E210" i="55"/>
  <c r="D208" i="55"/>
  <c r="E208" i="55"/>
  <c r="D212" i="55"/>
  <c r="E212" i="55"/>
  <c r="D215" i="55"/>
  <c r="E215" i="55"/>
  <c r="D214" i="55"/>
  <c r="E214" i="55"/>
  <c r="D213" i="55"/>
  <c r="E213" i="55"/>
  <c r="D217" i="55"/>
  <c r="E217" i="55"/>
  <c r="D219" i="55"/>
  <c r="E219" i="55"/>
  <c r="D220" i="55"/>
  <c r="E220" i="55"/>
  <c r="D222" i="55"/>
  <c r="E222" i="55"/>
  <c r="D216" i="55"/>
  <c r="E216" i="55"/>
  <c r="D218" i="55"/>
  <c r="E218" i="55"/>
  <c r="D221" i="55"/>
  <c r="E221" i="55"/>
  <c r="E196" i="55"/>
  <c r="D196" i="55"/>
  <c r="K159" i="55"/>
  <c r="K160" i="55"/>
  <c r="K161" i="55"/>
  <c r="Z25" i="60" s="1"/>
  <c r="M25" i="60" s="1"/>
  <c r="K162" i="55"/>
  <c r="K163" i="55"/>
  <c r="K164" i="55"/>
  <c r="K166" i="55"/>
  <c r="K167" i="55"/>
  <c r="K165" i="55"/>
  <c r="K169" i="55"/>
  <c r="K168" i="55"/>
  <c r="K170" i="55"/>
  <c r="K171" i="55"/>
  <c r="K172" i="55"/>
  <c r="K173" i="55"/>
  <c r="K174" i="55"/>
  <c r="K177" i="55"/>
  <c r="K176" i="55"/>
  <c r="K178" i="55"/>
  <c r="K179" i="55"/>
  <c r="K180" i="55"/>
  <c r="K175" i="55"/>
  <c r="K181" i="55"/>
  <c r="L181" i="55" s="1"/>
  <c r="K182" i="55"/>
  <c r="L182" i="55" s="1"/>
  <c r="K183" i="55"/>
  <c r="L183" i="55" s="1"/>
  <c r="K184" i="55"/>
  <c r="L184" i="55" s="1"/>
  <c r="K158" i="55"/>
  <c r="J159" i="55"/>
  <c r="J160" i="55"/>
  <c r="J161" i="55"/>
  <c r="J162" i="55"/>
  <c r="J163" i="55"/>
  <c r="J164" i="55"/>
  <c r="J166" i="55"/>
  <c r="J167" i="55"/>
  <c r="J165" i="55"/>
  <c r="J169" i="55"/>
  <c r="J168" i="55"/>
  <c r="J170" i="55"/>
  <c r="J171" i="55"/>
  <c r="J172" i="55"/>
  <c r="J173" i="55"/>
  <c r="J174" i="55"/>
  <c r="J177" i="55"/>
  <c r="J176" i="55"/>
  <c r="J178" i="55"/>
  <c r="J179" i="55"/>
  <c r="J180" i="55"/>
  <c r="J175" i="55"/>
  <c r="J181" i="55"/>
  <c r="J182" i="55"/>
  <c r="J183" i="55"/>
  <c r="J184" i="55"/>
  <c r="J158" i="55"/>
  <c r="E159" i="55"/>
  <c r="E160" i="55"/>
  <c r="E161" i="55"/>
  <c r="X25" i="60" s="1"/>
  <c r="F25" i="60" s="1"/>
  <c r="E162" i="55"/>
  <c r="E164" i="55"/>
  <c r="E163" i="55"/>
  <c r="E167" i="55"/>
  <c r="E165" i="55"/>
  <c r="E169" i="55"/>
  <c r="E166" i="55"/>
  <c r="E171" i="55"/>
  <c r="E168" i="55"/>
  <c r="E170" i="55"/>
  <c r="E172" i="55"/>
  <c r="E173" i="55"/>
  <c r="E174" i="55"/>
  <c r="E176" i="55"/>
  <c r="E177" i="55"/>
  <c r="E178" i="55"/>
  <c r="E179" i="55"/>
  <c r="E180" i="55"/>
  <c r="E181" i="55"/>
  <c r="E182" i="55"/>
  <c r="E175" i="55"/>
  <c r="E183" i="55"/>
  <c r="F183" i="55" s="1"/>
  <c r="E184" i="55"/>
  <c r="F184" i="55" s="1"/>
  <c r="E158" i="55"/>
  <c r="D159" i="55"/>
  <c r="D160" i="55"/>
  <c r="D161" i="55"/>
  <c r="D162" i="55"/>
  <c r="D164" i="55"/>
  <c r="D163" i="55"/>
  <c r="D167" i="55"/>
  <c r="D165" i="55"/>
  <c r="D169" i="55"/>
  <c r="D166" i="55"/>
  <c r="D171" i="55"/>
  <c r="D168" i="55"/>
  <c r="D170" i="55"/>
  <c r="D172" i="55"/>
  <c r="D173" i="55"/>
  <c r="D174" i="55"/>
  <c r="D176" i="55"/>
  <c r="D177" i="55"/>
  <c r="D178" i="55"/>
  <c r="D179" i="55"/>
  <c r="D180" i="55"/>
  <c r="D181" i="55"/>
  <c r="D182" i="55"/>
  <c r="D175" i="55"/>
  <c r="D183" i="55"/>
  <c r="D184" i="55"/>
  <c r="D158" i="55"/>
  <c r="K123" i="55"/>
  <c r="K124" i="55"/>
  <c r="K125" i="55"/>
  <c r="K126" i="55"/>
  <c r="K128" i="55"/>
  <c r="K129" i="55"/>
  <c r="K127" i="55"/>
  <c r="K131" i="55"/>
  <c r="K133" i="55"/>
  <c r="K130" i="55"/>
  <c r="K132" i="55"/>
  <c r="K134" i="55"/>
  <c r="K135" i="55"/>
  <c r="K138" i="55"/>
  <c r="K137" i="55"/>
  <c r="K136" i="55"/>
  <c r="K139" i="55"/>
  <c r="K140" i="55"/>
  <c r="K141" i="55"/>
  <c r="K142" i="55"/>
  <c r="K143" i="55"/>
  <c r="K144" i="55"/>
  <c r="K145" i="55"/>
  <c r="K146" i="55"/>
  <c r="K147" i="55"/>
  <c r="K148" i="55"/>
  <c r="K122" i="55"/>
  <c r="J123" i="55"/>
  <c r="J124" i="55"/>
  <c r="J125" i="55"/>
  <c r="J126" i="55"/>
  <c r="J128" i="55"/>
  <c r="J129" i="55"/>
  <c r="J127" i="55"/>
  <c r="J131" i="55"/>
  <c r="J133" i="55"/>
  <c r="J130" i="55"/>
  <c r="J132" i="55"/>
  <c r="J134" i="55"/>
  <c r="J135" i="55"/>
  <c r="J138" i="55"/>
  <c r="J137" i="55"/>
  <c r="J136" i="55"/>
  <c r="J139" i="55"/>
  <c r="J140" i="55"/>
  <c r="J141" i="55"/>
  <c r="J142" i="55"/>
  <c r="J143" i="55"/>
  <c r="J144" i="55"/>
  <c r="J145" i="55"/>
  <c r="J146" i="55"/>
  <c r="J147" i="55"/>
  <c r="J148" i="55"/>
  <c r="J122" i="55"/>
  <c r="E123" i="55"/>
  <c r="E124" i="55"/>
  <c r="E126" i="55"/>
  <c r="E125" i="55"/>
  <c r="E127" i="55"/>
  <c r="E128" i="55"/>
  <c r="E129" i="55"/>
  <c r="E130" i="55"/>
  <c r="E131" i="55"/>
  <c r="E134" i="55"/>
  <c r="E133" i="55"/>
  <c r="E132" i="55"/>
  <c r="E135" i="55"/>
  <c r="E136" i="55"/>
  <c r="E137" i="55"/>
  <c r="E138" i="55"/>
  <c r="E139" i="55"/>
  <c r="E145" i="55"/>
  <c r="E140" i="55"/>
  <c r="E141" i="55"/>
  <c r="E143" i="55"/>
  <c r="E142" i="55"/>
  <c r="E144" i="55"/>
  <c r="E146" i="55"/>
  <c r="E147" i="55"/>
  <c r="E148" i="55"/>
  <c r="E122" i="55"/>
  <c r="D123" i="55"/>
  <c r="D124" i="55"/>
  <c r="D126" i="55"/>
  <c r="D125" i="55"/>
  <c r="D127" i="55"/>
  <c r="D128" i="55"/>
  <c r="D129" i="55"/>
  <c r="D130" i="55"/>
  <c r="D131" i="55"/>
  <c r="D134" i="55"/>
  <c r="D133" i="55"/>
  <c r="D132" i="55"/>
  <c r="D135" i="55"/>
  <c r="D136" i="55"/>
  <c r="D137" i="55"/>
  <c r="D138" i="55"/>
  <c r="D139" i="55"/>
  <c r="D145" i="55"/>
  <c r="D140" i="55"/>
  <c r="D141" i="55"/>
  <c r="D143" i="55"/>
  <c r="D142" i="55"/>
  <c r="D144" i="55"/>
  <c r="D146" i="55"/>
  <c r="D147" i="55"/>
  <c r="D148" i="55"/>
  <c r="D122" i="55"/>
  <c r="K86" i="55"/>
  <c r="K87" i="55"/>
  <c r="K89" i="55"/>
  <c r="K90" i="55"/>
  <c r="K91" i="55"/>
  <c r="K92" i="55"/>
  <c r="K93" i="55"/>
  <c r="K94" i="55"/>
  <c r="K97" i="55"/>
  <c r="K96" i="55"/>
  <c r="K98" i="55"/>
  <c r="K95" i="55"/>
  <c r="K99" i="55"/>
  <c r="K100" i="55"/>
  <c r="K101" i="55"/>
  <c r="K102" i="55"/>
  <c r="K104" i="55"/>
  <c r="K105" i="55"/>
  <c r="K106" i="55"/>
  <c r="K103" i="55"/>
  <c r="K108" i="55"/>
  <c r="K109" i="55"/>
  <c r="K107" i="55"/>
  <c r="K110" i="55"/>
  <c r="K111" i="55"/>
  <c r="K112" i="55"/>
  <c r="K88" i="55"/>
  <c r="J86" i="55"/>
  <c r="J87" i="55"/>
  <c r="J89" i="55"/>
  <c r="J90" i="55"/>
  <c r="J91" i="55"/>
  <c r="J92" i="55"/>
  <c r="J93" i="55"/>
  <c r="J94" i="55"/>
  <c r="J97" i="55"/>
  <c r="J96" i="55"/>
  <c r="J98" i="55"/>
  <c r="J95" i="55"/>
  <c r="J99" i="55"/>
  <c r="J100" i="55"/>
  <c r="J101" i="55"/>
  <c r="J102" i="55"/>
  <c r="J104" i="55"/>
  <c r="J105" i="55"/>
  <c r="J106" i="55"/>
  <c r="J103" i="55"/>
  <c r="J108" i="55"/>
  <c r="J109" i="55"/>
  <c r="J107" i="55"/>
  <c r="J110" i="55"/>
  <c r="J111" i="55"/>
  <c r="J112" i="55"/>
  <c r="J88" i="55"/>
  <c r="E87" i="55"/>
  <c r="E91" i="55"/>
  <c r="E89" i="55"/>
  <c r="E88" i="55"/>
  <c r="E90" i="55"/>
  <c r="E92" i="55"/>
  <c r="E93" i="55"/>
  <c r="E94" i="55"/>
  <c r="E99" i="55"/>
  <c r="E95" i="55"/>
  <c r="E97" i="55"/>
  <c r="E96" i="55"/>
  <c r="E100" i="55"/>
  <c r="E98" i="55"/>
  <c r="E101" i="55"/>
  <c r="E102" i="55"/>
  <c r="E106" i="55"/>
  <c r="E109" i="55"/>
  <c r="E105" i="55"/>
  <c r="E103" i="55"/>
  <c r="E104" i="55"/>
  <c r="E107" i="55"/>
  <c r="E108" i="55"/>
  <c r="E110" i="55"/>
  <c r="E111" i="55"/>
  <c r="E112" i="55"/>
  <c r="E86" i="55"/>
  <c r="D87" i="55"/>
  <c r="D91" i="55"/>
  <c r="D89" i="55"/>
  <c r="D88" i="55"/>
  <c r="D90" i="55"/>
  <c r="D92" i="55"/>
  <c r="D93" i="55"/>
  <c r="D94" i="55"/>
  <c r="D99" i="55"/>
  <c r="D95" i="55"/>
  <c r="D97" i="55"/>
  <c r="D96" i="55"/>
  <c r="D100" i="55"/>
  <c r="D98" i="55"/>
  <c r="D101" i="55"/>
  <c r="D102" i="55"/>
  <c r="D106" i="55"/>
  <c r="D109" i="55"/>
  <c r="D105" i="55"/>
  <c r="D103" i="55"/>
  <c r="D104" i="55"/>
  <c r="D107" i="55"/>
  <c r="D108" i="55"/>
  <c r="D110" i="55"/>
  <c r="D111" i="55"/>
  <c r="D112" i="55"/>
  <c r="D86" i="55"/>
  <c r="K51" i="55"/>
  <c r="K53" i="55"/>
  <c r="K52" i="55"/>
  <c r="K54" i="55"/>
  <c r="K55" i="55"/>
  <c r="K56" i="55"/>
  <c r="K57" i="55"/>
  <c r="K58" i="55"/>
  <c r="K60" i="55"/>
  <c r="K61" i="55"/>
  <c r="K62" i="55"/>
  <c r="K64" i="55"/>
  <c r="K63" i="55"/>
  <c r="K65" i="55"/>
  <c r="K66" i="55"/>
  <c r="K67" i="55"/>
  <c r="K68" i="55"/>
  <c r="K69" i="55"/>
  <c r="K70" i="55"/>
  <c r="K71" i="55"/>
  <c r="K72" i="55"/>
  <c r="K73" i="55"/>
  <c r="K59" i="55"/>
  <c r="K74" i="55"/>
  <c r="L74" i="55" s="1"/>
  <c r="K75" i="55"/>
  <c r="L75" i="55" s="1"/>
  <c r="K76" i="55"/>
  <c r="L76" i="55" s="1"/>
  <c r="K50" i="55"/>
  <c r="J51" i="55"/>
  <c r="J53" i="55"/>
  <c r="Y15" i="60" s="1"/>
  <c r="L15" i="60" s="1"/>
  <c r="J52" i="55"/>
  <c r="J54" i="55"/>
  <c r="J55" i="55"/>
  <c r="J56" i="55"/>
  <c r="J57" i="55"/>
  <c r="J58" i="55"/>
  <c r="J60" i="55"/>
  <c r="J61" i="55"/>
  <c r="J62" i="55"/>
  <c r="J64" i="55"/>
  <c r="J63" i="55"/>
  <c r="J65" i="55"/>
  <c r="J66" i="55"/>
  <c r="J67" i="55"/>
  <c r="J68" i="55"/>
  <c r="J69" i="55"/>
  <c r="J70" i="55"/>
  <c r="J71" i="55"/>
  <c r="J72" i="55"/>
  <c r="J73" i="55"/>
  <c r="J59" i="55"/>
  <c r="J74" i="55"/>
  <c r="J75" i="55"/>
  <c r="J76" i="55"/>
  <c r="E51" i="55"/>
  <c r="E53" i="55"/>
  <c r="X15" i="60" s="1"/>
  <c r="F15" i="60" s="1"/>
  <c r="E52" i="55"/>
  <c r="E54" i="55"/>
  <c r="E55" i="55"/>
  <c r="E57" i="55"/>
  <c r="E56" i="55"/>
  <c r="E58" i="55"/>
  <c r="E62" i="55"/>
  <c r="E60" i="55"/>
  <c r="E61" i="55"/>
  <c r="E64" i="55"/>
  <c r="E63" i="55"/>
  <c r="E65" i="55"/>
  <c r="E66" i="55"/>
  <c r="E67" i="55"/>
  <c r="E68" i="55"/>
  <c r="E69" i="55"/>
  <c r="E70" i="55"/>
  <c r="E71" i="55"/>
  <c r="E72" i="55"/>
  <c r="E59" i="55"/>
  <c r="E73" i="55"/>
  <c r="F73" i="55" s="1"/>
  <c r="E74" i="55"/>
  <c r="F74" i="55" s="1"/>
  <c r="E75" i="55"/>
  <c r="F75" i="55" s="1"/>
  <c r="E76" i="55"/>
  <c r="F76" i="55" s="1"/>
  <c r="E50" i="55"/>
  <c r="D51" i="55"/>
  <c r="D53" i="55"/>
  <c r="W15" i="60" s="1"/>
  <c r="E15" i="60" s="1"/>
  <c r="D52" i="55"/>
  <c r="D54" i="55"/>
  <c r="D55" i="55"/>
  <c r="D57" i="55"/>
  <c r="D56" i="55"/>
  <c r="D58" i="55"/>
  <c r="D62" i="55"/>
  <c r="D60" i="55"/>
  <c r="D61" i="55"/>
  <c r="D64" i="55"/>
  <c r="D63" i="55"/>
  <c r="D65" i="55"/>
  <c r="D66" i="55"/>
  <c r="D67" i="55"/>
  <c r="D68" i="55"/>
  <c r="D69" i="55"/>
  <c r="D70" i="55"/>
  <c r="D71" i="55"/>
  <c r="D72" i="55"/>
  <c r="D59" i="55"/>
  <c r="D73" i="55"/>
  <c r="D74" i="55"/>
  <c r="D75" i="55"/>
  <c r="D76" i="55"/>
  <c r="D50" i="55"/>
  <c r="P45" i="55"/>
  <c r="BH6" i="55"/>
  <c r="BH45" i="55" s="1"/>
  <c r="P6" i="55"/>
  <c r="O4" i="55"/>
  <c r="O43" i="55" s="1"/>
  <c r="L647" i="55" l="1"/>
  <c r="L548" i="55"/>
  <c r="F553" i="55"/>
  <c r="L512" i="55"/>
  <c r="L455" i="55"/>
  <c r="L70" i="55"/>
  <c r="L67" i="55"/>
  <c r="L177" i="55"/>
  <c r="L222" i="55"/>
  <c r="L256" i="55"/>
  <c r="L426" i="55"/>
  <c r="L580" i="55"/>
  <c r="F71" i="55"/>
  <c r="F68" i="55"/>
  <c r="F65" i="55"/>
  <c r="F181" i="55"/>
  <c r="F178" i="55"/>
  <c r="F221" i="55"/>
  <c r="F425" i="55"/>
  <c r="F551" i="55"/>
  <c r="F70" i="55"/>
  <c r="F67" i="55"/>
  <c r="F392" i="55"/>
  <c r="F648" i="55"/>
  <c r="L648" i="55"/>
  <c r="F649" i="55"/>
  <c r="L626" i="55"/>
  <c r="F581" i="55"/>
  <c r="L552" i="55"/>
  <c r="L549" i="55"/>
  <c r="L550" i="55"/>
  <c r="F552" i="55"/>
  <c r="F550" i="55"/>
  <c r="L470" i="55"/>
  <c r="L461" i="55"/>
  <c r="L389" i="55"/>
  <c r="F391" i="55"/>
  <c r="F393" i="55"/>
  <c r="F390" i="55"/>
  <c r="F257" i="55"/>
  <c r="F220" i="55"/>
  <c r="L178" i="55"/>
  <c r="L176" i="55"/>
  <c r="L179" i="55"/>
  <c r="F180" i="55"/>
  <c r="F177" i="55"/>
  <c r="F179" i="55"/>
  <c r="F176" i="55"/>
  <c r="L64" i="55"/>
  <c r="L72" i="55"/>
  <c r="L69" i="55"/>
  <c r="L66" i="55"/>
  <c r="L71" i="55"/>
  <c r="L68" i="55"/>
  <c r="L65" i="55"/>
  <c r="F64" i="55"/>
  <c r="F69" i="55"/>
  <c r="F66" i="55"/>
  <c r="L73" i="55"/>
  <c r="L221" i="55"/>
  <c r="L258" i="55"/>
  <c r="L391" i="55"/>
  <c r="L579" i="55"/>
  <c r="L625" i="55"/>
  <c r="L180" i="55"/>
  <c r="Y25" i="60"/>
  <c r="L25" i="60" s="1"/>
  <c r="L220" i="55"/>
  <c r="Y36" i="60"/>
  <c r="L36" i="60" s="1"/>
  <c r="L257" i="55"/>
  <c r="L393" i="55"/>
  <c r="L553" i="55"/>
  <c r="L581" i="55"/>
  <c r="F72" i="55"/>
  <c r="F222" i="55"/>
  <c r="W36" i="60"/>
  <c r="E36" i="60" s="1"/>
  <c r="F256" i="55"/>
  <c r="F253" i="55"/>
  <c r="F249" i="55"/>
  <c r="F243" i="55"/>
  <c r="F238" i="55"/>
  <c r="F235" i="55"/>
  <c r="F331" i="55"/>
  <c r="F329" i="55"/>
  <c r="F318" i="55"/>
  <c r="F426" i="55"/>
  <c r="F481" i="55"/>
  <c r="F480" i="55"/>
  <c r="F467" i="55"/>
  <c r="F514" i="55"/>
  <c r="F549" i="55"/>
  <c r="F540" i="55"/>
  <c r="F580" i="55"/>
  <c r="F626" i="55"/>
  <c r="F622" i="55"/>
  <c r="F643" i="55"/>
  <c r="W25" i="60"/>
  <c r="E25" i="60" s="1"/>
  <c r="F182" i="55"/>
  <c r="F579" i="55"/>
  <c r="F625" i="55"/>
  <c r="F610" i="55"/>
  <c r="L514" i="55"/>
  <c r="L511" i="55"/>
  <c r="L502" i="55"/>
  <c r="L499" i="55"/>
  <c r="L493" i="55"/>
  <c r="L517" i="55"/>
  <c r="L505" i="55"/>
  <c r="F501" i="55"/>
  <c r="F476" i="55"/>
  <c r="F474" i="55"/>
  <c r="F469" i="55"/>
  <c r="F465" i="55"/>
  <c r="F464" i="55"/>
  <c r="F382" i="55"/>
  <c r="F316" i="55"/>
  <c r="F313" i="55"/>
  <c r="F288" i="55"/>
  <c r="F284" i="55"/>
  <c r="F275" i="55"/>
  <c r="F273" i="55"/>
  <c r="F246" i="55"/>
  <c r="F247" i="55"/>
  <c r="L219" i="55"/>
  <c r="L216" i="55"/>
  <c r="L213" i="55"/>
  <c r="L210" i="55"/>
  <c r="L206" i="55"/>
  <c r="L204" i="55"/>
  <c r="L201" i="55"/>
  <c r="L294" i="55"/>
  <c r="L281" i="55"/>
  <c r="L279" i="55"/>
  <c r="L272" i="55"/>
  <c r="L367" i="55"/>
  <c r="L364" i="55"/>
  <c r="L362" i="55"/>
  <c r="L357" i="55"/>
  <c r="L355" i="55"/>
  <c r="F295" i="55"/>
  <c r="F285" i="55"/>
  <c r="F545" i="55"/>
  <c r="F541" i="55"/>
  <c r="F463" i="55"/>
  <c r="F462" i="55"/>
  <c r="F461" i="55"/>
  <c r="F546" i="55"/>
  <c r="F544" i="55"/>
  <c r="F531" i="55"/>
  <c r="F365" i="55"/>
  <c r="F624" i="55"/>
  <c r="F617" i="55"/>
  <c r="F604" i="55"/>
  <c r="F623" i="55"/>
  <c r="F576" i="55"/>
  <c r="L533" i="55"/>
  <c r="F516" i="55"/>
  <c r="F510" i="55"/>
  <c r="F508" i="55"/>
  <c r="F504" i="55"/>
  <c r="F495" i="55"/>
  <c r="L467" i="55"/>
  <c r="F479" i="55"/>
  <c r="F478" i="55"/>
  <c r="F473" i="55"/>
  <c r="F470" i="55"/>
  <c r="F422" i="55"/>
  <c r="F424" i="55"/>
  <c r="F421" i="55"/>
  <c r="F388" i="55"/>
  <c r="F366" i="55"/>
  <c r="F354" i="55"/>
  <c r="F349" i="55"/>
  <c r="F368" i="55"/>
  <c r="F360" i="55"/>
  <c r="F361" i="55"/>
  <c r="F353" i="55"/>
  <c r="F351" i="55"/>
  <c r="F282" i="55"/>
  <c r="F254" i="55"/>
  <c r="F251" i="55"/>
  <c r="F248" i="55"/>
  <c r="F244" i="55"/>
  <c r="L291" i="55"/>
  <c r="L288" i="55"/>
  <c r="L329" i="55"/>
  <c r="L326" i="55"/>
  <c r="L320" i="55"/>
  <c r="L317" i="55"/>
  <c r="L311" i="55"/>
  <c r="L308" i="55"/>
  <c r="L366" i="55"/>
  <c r="L360" i="55"/>
  <c r="L349" i="55"/>
  <c r="L346" i="55"/>
  <c r="L345" i="55"/>
  <c r="L387" i="55"/>
  <c r="L386" i="55"/>
  <c r="L382" i="55"/>
  <c r="L422" i="55"/>
  <c r="L481" i="55"/>
  <c r="L478" i="55"/>
  <c r="L475" i="55"/>
  <c r="L472" i="55"/>
  <c r="L471" i="55"/>
  <c r="L468" i="55"/>
  <c r="L458" i="55"/>
  <c r="L508" i="55"/>
  <c r="L495" i="55"/>
  <c r="L546" i="55"/>
  <c r="L544" i="55"/>
  <c r="L539" i="55"/>
  <c r="L538" i="55"/>
  <c r="L535" i="55"/>
  <c r="L531" i="55"/>
  <c r="L576" i="55"/>
  <c r="L574" i="55"/>
  <c r="L571" i="55"/>
  <c r="L569" i="55"/>
  <c r="L644" i="55"/>
  <c r="L323" i="55"/>
  <c r="L363" i="55"/>
  <c r="L354" i="55"/>
  <c r="L424" i="55"/>
  <c r="L421" i="55"/>
  <c r="L496" i="55"/>
  <c r="F307" i="55"/>
  <c r="F457" i="55"/>
  <c r="F505" i="55"/>
  <c r="F308" i="55"/>
  <c r="F356" i="55"/>
  <c r="F346" i="55"/>
  <c r="F383" i="55"/>
  <c r="F575" i="55"/>
  <c r="F574" i="55"/>
  <c r="F569" i="55"/>
  <c r="F646" i="55"/>
  <c r="F642" i="55"/>
  <c r="L623" i="55"/>
  <c r="L621" i="55"/>
  <c r="L616" i="55"/>
  <c r="L619" i="55"/>
  <c r="L612" i="55"/>
  <c r="L609" i="55"/>
  <c r="L603" i="55"/>
  <c r="F613" i="55"/>
  <c r="F612" i="55"/>
  <c r="F606" i="55"/>
  <c r="F619" i="55"/>
  <c r="F618" i="55"/>
  <c r="F614" i="55"/>
  <c r="F611" i="55"/>
  <c r="F607" i="55"/>
  <c r="F609" i="55"/>
  <c r="F578" i="55"/>
  <c r="F573" i="55"/>
  <c r="F571" i="55"/>
  <c r="F568" i="55"/>
  <c r="F548" i="55"/>
  <c r="F530" i="55"/>
  <c r="F542" i="55"/>
  <c r="F535" i="55"/>
  <c r="F536" i="55"/>
  <c r="L513" i="55"/>
  <c r="L507" i="55"/>
  <c r="L494" i="55"/>
  <c r="L492" i="55"/>
  <c r="L510" i="55"/>
  <c r="L509" i="55"/>
  <c r="L498" i="55"/>
  <c r="F509" i="55"/>
  <c r="F506" i="55"/>
  <c r="F503" i="55"/>
  <c r="F507" i="55"/>
  <c r="F502" i="55"/>
  <c r="F455" i="55"/>
  <c r="F472" i="55"/>
  <c r="F458" i="55"/>
  <c r="F460" i="55"/>
  <c r="F459" i="55"/>
  <c r="L418" i="55"/>
  <c r="L383" i="55"/>
  <c r="F389" i="55"/>
  <c r="F387" i="55"/>
  <c r="L351" i="55"/>
  <c r="L344" i="55"/>
  <c r="L348" i="55"/>
  <c r="F367" i="55"/>
  <c r="F364" i="55"/>
  <c r="F363" i="55"/>
  <c r="F358" i="55"/>
  <c r="F357" i="55"/>
  <c r="F348" i="55"/>
  <c r="F347" i="55"/>
  <c r="F345" i="55"/>
  <c r="L307" i="55"/>
  <c r="L331" i="55"/>
  <c r="L328" i="55"/>
  <c r="L325" i="55"/>
  <c r="L321" i="55"/>
  <c r="L312" i="55"/>
  <c r="L315" i="55"/>
  <c r="L313" i="55"/>
  <c r="L309" i="55"/>
  <c r="F328" i="55"/>
  <c r="F325" i="55"/>
  <c r="F322" i="55"/>
  <c r="F317" i="55"/>
  <c r="F314" i="55"/>
  <c r="F309" i="55"/>
  <c r="F310" i="55"/>
  <c r="F324" i="55"/>
  <c r="F330" i="55"/>
  <c r="F326" i="55"/>
  <c r="F319" i="55"/>
  <c r="F320" i="55"/>
  <c r="F323" i="55"/>
  <c r="L270" i="55"/>
  <c r="F294" i="55"/>
  <c r="F279" i="55"/>
  <c r="F291" i="55"/>
  <c r="F287" i="55"/>
  <c r="F278" i="55"/>
  <c r="F276" i="55"/>
  <c r="F272" i="55"/>
  <c r="L233" i="55"/>
  <c r="L244" i="55"/>
  <c r="L253" i="55"/>
  <c r="L250" i="55"/>
  <c r="L246" i="55"/>
  <c r="L243" i="55"/>
  <c r="L239" i="55"/>
  <c r="L236" i="55"/>
  <c r="L235" i="55"/>
  <c r="F239" i="55"/>
  <c r="F236" i="55"/>
  <c r="L196" i="55"/>
  <c r="F217" i="55"/>
  <c r="F214" i="55"/>
  <c r="F211" i="55"/>
  <c r="F209" i="55"/>
  <c r="F205" i="55"/>
  <c r="F202" i="55"/>
  <c r="F200" i="55"/>
  <c r="L175" i="55"/>
  <c r="L63" i="55"/>
  <c r="L57" i="55"/>
  <c r="L51" i="55"/>
  <c r="L108" i="55"/>
  <c r="L102" i="55"/>
  <c r="L97" i="55"/>
  <c r="L88" i="55"/>
  <c r="L144" i="55"/>
  <c r="L136" i="55"/>
  <c r="L129" i="55"/>
  <c r="L123" i="55"/>
  <c r="L171" i="55"/>
  <c r="L166" i="55"/>
  <c r="L159" i="55"/>
  <c r="L61" i="55"/>
  <c r="L58" i="55"/>
  <c r="L55" i="55"/>
  <c r="L52" i="55"/>
  <c r="L112" i="55"/>
  <c r="L106" i="55"/>
  <c r="L109" i="55"/>
  <c r="L103" i="55"/>
  <c r="L100" i="55"/>
  <c r="L98" i="55"/>
  <c r="L95" i="55"/>
  <c r="L91" i="55"/>
  <c r="L87" i="55"/>
  <c r="L148" i="55"/>
  <c r="L145" i="55"/>
  <c r="L141" i="55"/>
  <c r="L139" i="55"/>
  <c r="L138" i="55"/>
  <c r="L132" i="55"/>
  <c r="L130" i="55"/>
  <c r="L128" i="55"/>
  <c r="L124" i="55"/>
  <c r="L172" i="55"/>
  <c r="L168" i="55"/>
  <c r="L167" i="55"/>
  <c r="L163" i="55"/>
  <c r="L160" i="55"/>
  <c r="L292" i="55"/>
  <c r="L280" i="55"/>
  <c r="L277" i="55"/>
  <c r="L271" i="55"/>
  <c r="L60" i="55"/>
  <c r="L54" i="55"/>
  <c r="L111" i="55"/>
  <c r="L105" i="55"/>
  <c r="L99" i="55"/>
  <c r="L94" i="55"/>
  <c r="L90" i="55"/>
  <c r="L147" i="55"/>
  <c r="L142" i="55"/>
  <c r="L135" i="55"/>
  <c r="L131" i="55"/>
  <c r="L126" i="55"/>
  <c r="L174" i="55"/>
  <c r="L169" i="55"/>
  <c r="L162" i="55"/>
  <c r="L62" i="55"/>
  <c r="L59" i="55"/>
  <c r="L56" i="55"/>
  <c r="L53" i="55"/>
  <c r="L86" i="55"/>
  <c r="L110" i="55"/>
  <c r="L107" i="55"/>
  <c r="L104" i="55"/>
  <c r="L101" i="55"/>
  <c r="L93" i="55"/>
  <c r="L96" i="55"/>
  <c r="L92" i="55"/>
  <c r="L89" i="55"/>
  <c r="L122" i="55"/>
  <c r="L146" i="55"/>
  <c r="L143" i="55"/>
  <c r="L140" i="55"/>
  <c r="L137" i="55"/>
  <c r="L218" i="55"/>
  <c r="L215" i="55"/>
  <c r="L212" i="55"/>
  <c r="L207" i="55"/>
  <c r="L209" i="55"/>
  <c r="L203" i="55"/>
  <c r="L200" i="55"/>
  <c r="L197" i="55"/>
  <c r="L255" i="55"/>
  <c r="L252" i="55"/>
  <c r="L248" i="55"/>
  <c r="L245" i="55"/>
  <c r="L247" i="55"/>
  <c r="L238" i="55"/>
  <c r="L237" i="55"/>
  <c r="L234" i="55"/>
  <c r="L293" i="55"/>
  <c r="L290" i="55"/>
  <c r="L287" i="55"/>
  <c r="L284" i="55"/>
  <c r="L276" i="55"/>
  <c r="L322" i="55"/>
  <c r="L316" i="55"/>
  <c r="L17" i="60"/>
  <c r="L361" i="55"/>
  <c r="L358" i="55"/>
  <c r="L353" i="55"/>
  <c r="L347" i="55"/>
  <c r="L388" i="55"/>
  <c r="L385" i="55"/>
  <c r="L423" i="55"/>
  <c r="L420" i="55"/>
  <c r="L480" i="55"/>
  <c r="L474" i="55"/>
  <c r="L469" i="55"/>
  <c r="L466" i="55"/>
  <c r="L464" i="55"/>
  <c r="L462" i="55"/>
  <c r="L460" i="55"/>
  <c r="L456" i="55"/>
  <c r="L547" i="55"/>
  <c r="L543" i="55"/>
  <c r="L542" i="55"/>
  <c r="L537" i="55"/>
  <c r="L536" i="55"/>
  <c r="L534" i="55"/>
  <c r="L530" i="55"/>
  <c r="L578" i="55"/>
  <c r="L573" i="55"/>
  <c r="L570" i="55"/>
  <c r="L567" i="55"/>
  <c r="L620" i="55"/>
  <c r="L618" i="55"/>
  <c r="L615" i="55"/>
  <c r="L608" i="55"/>
  <c r="L610" i="55"/>
  <c r="L606" i="55"/>
  <c r="L604" i="55"/>
  <c r="L640" i="55"/>
  <c r="L314" i="55"/>
  <c r="L134" i="55"/>
  <c r="L133" i="55"/>
  <c r="L127" i="55"/>
  <c r="L125" i="55"/>
  <c r="L158" i="55"/>
  <c r="L173" i="55"/>
  <c r="L170" i="55"/>
  <c r="L165" i="55"/>
  <c r="L164" i="55"/>
  <c r="L217" i="55"/>
  <c r="L214" i="55"/>
  <c r="L211" i="55"/>
  <c r="L208" i="55"/>
  <c r="L205" i="55"/>
  <c r="L202" i="55"/>
  <c r="L199" i="55"/>
  <c r="L254" i="55"/>
  <c r="L251" i="55"/>
  <c r="L249" i="55"/>
  <c r="L242" i="55"/>
  <c r="L240" i="55"/>
  <c r="L295" i="55"/>
  <c r="L289" i="55"/>
  <c r="L286" i="55"/>
  <c r="L282" i="55"/>
  <c r="L283" i="55"/>
  <c r="L285" i="55"/>
  <c r="L275" i="55"/>
  <c r="L274" i="55"/>
  <c r="L273" i="55"/>
  <c r="L324" i="55"/>
  <c r="L330" i="55"/>
  <c r="L327" i="55"/>
  <c r="L319" i="55"/>
  <c r="L318" i="55"/>
  <c r="L310" i="55"/>
  <c r="L368" i="55"/>
  <c r="L365" i="55"/>
  <c r="L359" i="55"/>
  <c r="L356" i="55"/>
  <c r="L350" i="55"/>
  <c r="L390" i="55"/>
  <c r="L479" i="55"/>
  <c r="L477" i="55"/>
  <c r="L473" i="55"/>
  <c r="L465" i="55"/>
  <c r="L463" i="55"/>
  <c r="L457" i="55"/>
  <c r="L459" i="55"/>
  <c r="L541" i="55"/>
  <c r="L540" i="55"/>
  <c r="L577" i="55"/>
  <c r="L575" i="55"/>
  <c r="L572" i="55"/>
  <c r="L568" i="55"/>
  <c r="L624" i="55"/>
  <c r="L622" i="55"/>
  <c r="L617" i="55"/>
  <c r="L614" i="55"/>
  <c r="L611" i="55"/>
  <c r="L607" i="55"/>
  <c r="L613" i="55"/>
  <c r="L645" i="55"/>
  <c r="L643" i="55"/>
  <c r="L642" i="55"/>
  <c r="F62" i="55"/>
  <c r="F57" i="55"/>
  <c r="F51" i="55"/>
  <c r="F110" i="55"/>
  <c r="F103" i="55"/>
  <c r="F105" i="55"/>
  <c r="F93" i="55"/>
  <c r="F122" i="55"/>
  <c r="F144" i="55"/>
  <c r="F139" i="55"/>
  <c r="F133" i="55"/>
  <c r="F136" i="55"/>
  <c r="F132" i="55"/>
  <c r="F128" i="55"/>
  <c r="F125" i="55"/>
  <c r="F158" i="55"/>
  <c r="F173" i="55"/>
  <c r="F169" i="55"/>
  <c r="F168" i="55"/>
  <c r="F163" i="55"/>
  <c r="F50" i="55"/>
  <c r="F63" i="55"/>
  <c r="F61" i="55"/>
  <c r="F56" i="55"/>
  <c r="F52" i="55"/>
  <c r="F112" i="55"/>
  <c r="F104" i="55"/>
  <c r="F97" i="55"/>
  <c r="F101" i="55"/>
  <c r="F100" i="55"/>
  <c r="F96" i="55"/>
  <c r="F91" i="55"/>
  <c r="F92" i="55"/>
  <c r="F88" i="55"/>
  <c r="F148" i="55"/>
  <c r="F140" i="55"/>
  <c r="F143" i="55"/>
  <c r="F141" i="55"/>
  <c r="F138" i="55"/>
  <c r="F134" i="55"/>
  <c r="F129" i="55"/>
  <c r="F127" i="55"/>
  <c r="F124" i="55"/>
  <c r="F175" i="55"/>
  <c r="F172" i="55"/>
  <c r="F170" i="55"/>
  <c r="F165" i="55"/>
  <c r="F164" i="55"/>
  <c r="F160" i="55"/>
  <c r="F289" i="55"/>
  <c r="F286" i="55"/>
  <c r="F280" i="55"/>
  <c r="F277" i="55"/>
  <c r="F274" i="55"/>
  <c r="F271" i="55"/>
  <c r="F59" i="55"/>
  <c r="F54" i="55"/>
  <c r="F86" i="55"/>
  <c r="F107" i="55"/>
  <c r="F102" i="55"/>
  <c r="F94" i="55"/>
  <c r="F89" i="55"/>
  <c r="F147" i="55"/>
  <c r="F60" i="55"/>
  <c r="F58" i="55"/>
  <c r="F55" i="55"/>
  <c r="F111" i="55"/>
  <c r="F109" i="55"/>
  <c r="F108" i="55"/>
  <c r="F106" i="55"/>
  <c r="F99" i="55"/>
  <c r="F98" i="55"/>
  <c r="F95" i="55"/>
  <c r="F90" i="55"/>
  <c r="F87" i="55"/>
  <c r="F145" i="55"/>
  <c r="F146" i="55"/>
  <c r="F142" i="55"/>
  <c r="F135" i="55"/>
  <c r="F137" i="55"/>
  <c r="F131" i="55"/>
  <c r="F130" i="55"/>
  <c r="F126" i="55"/>
  <c r="F123" i="55"/>
  <c r="F174" i="55"/>
  <c r="F171" i="55"/>
  <c r="F166" i="55"/>
  <c r="F167" i="55"/>
  <c r="F162" i="55"/>
  <c r="F159" i="55"/>
  <c r="F219" i="55"/>
  <c r="F216" i="55"/>
  <c r="F212" i="55"/>
  <c r="F208" i="55"/>
  <c r="F206" i="55"/>
  <c r="F204" i="55"/>
  <c r="F201" i="55"/>
  <c r="F198" i="55"/>
  <c r="X16" i="60"/>
  <c r="F16" i="60" s="1"/>
  <c r="F292" i="55"/>
  <c r="F283" i="55"/>
  <c r="F386" i="55"/>
  <c r="F515" i="55"/>
  <c r="F512" i="55"/>
  <c r="F500" i="55"/>
  <c r="F497" i="55"/>
  <c r="F494" i="55"/>
  <c r="F539" i="55"/>
  <c r="F533" i="55"/>
  <c r="F621" i="55"/>
  <c r="F615" i="55"/>
  <c r="F196" i="55"/>
  <c r="F218" i="55"/>
  <c r="F215" i="55"/>
  <c r="F213" i="55"/>
  <c r="F207" i="55"/>
  <c r="F210" i="55"/>
  <c r="F203" i="55"/>
  <c r="F199" i="55"/>
  <c r="F233" i="55"/>
  <c r="F255" i="55"/>
  <c r="F252" i="55"/>
  <c r="F250" i="55"/>
  <c r="F245" i="55"/>
  <c r="F242" i="55"/>
  <c r="F241" i="55"/>
  <c r="F237" i="55"/>
  <c r="F234" i="55"/>
  <c r="F270" i="55"/>
  <c r="F290" i="55"/>
  <c r="F293" i="55"/>
  <c r="F281" i="55"/>
  <c r="F327" i="55"/>
  <c r="F321" i="55"/>
  <c r="F315" i="55"/>
  <c r="F312" i="55"/>
  <c r="F344" i="55"/>
  <c r="F355" i="55"/>
  <c r="F362" i="55"/>
  <c r="F359" i="55"/>
  <c r="F352" i="55"/>
  <c r="F350" i="55"/>
  <c r="F381" i="55"/>
  <c r="F385" i="55"/>
  <c r="F418" i="55"/>
  <c r="F423" i="55"/>
  <c r="F420" i="55"/>
  <c r="F477" i="55"/>
  <c r="F471" i="55"/>
  <c r="F468" i="55"/>
  <c r="F466" i="55"/>
  <c r="F456" i="55"/>
  <c r="F493" i="55"/>
  <c r="F517" i="55"/>
  <c r="F511" i="55"/>
  <c r="F513" i="55"/>
  <c r="F499" i="55"/>
  <c r="F496" i="55"/>
  <c r="F492" i="55"/>
  <c r="F529" i="55"/>
  <c r="F547" i="55"/>
  <c r="F543" i="55"/>
  <c r="F538" i="55"/>
  <c r="F537" i="55"/>
  <c r="F534" i="55"/>
  <c r="F577" i="55"/>
  <c r="F572" i="55"/>
  <c r="F570" i="55"/>
  <c r="F567" i="55"/>
  <c r="F620" i="55"/>
  <c r="F616" i="55"/>
  <c r="F608" i="55"/>
  <c r="F605" i="55"/>
  <c r="F640" i="55"/>
  <c r="F647" i="55"/>
  <c r="F644" i="55"/>
  <c r="F641" i="55"/>
  <c r="N65" i="58"/>
  <c r="N12" i="58"/>
  <c r="G101" i="58"/>
  <c r="M29" i="58"/>
  <c r="F65" i="58"/>
  <c r="M84" i="58"/>
  <c r="F29" i="58"/>
  <c r="N29" i="58"/>
  <c r="M48" i="58"/>
  <c r="G65" i="58"/>
  <c r="F84" i="58"/>
  <c r="N84" i="58"/>
  <c r="M101" i="58"/>
  <c r="M12" i="58"/>
  <c r="G29" i="58"/>
  <c r="F48" i="58"/>
  <c r="N48" i="58"/>
  <c r="M65" i="58"/>
  <c r="G84" i="58"/>
  <c r="L646" i="55"/>
  <c r="F645" i="55"/>
  <c r="L605" i="55"/>
  <c r="F603" i="55"/>
  <c r="L566" i="55"/>
  <c r="F566" i="55"/>
  <c r="L22" i="60"/>
  <c r="L532" i="55"/>
  <c r="F532" i="55"/>
  <c r="L501" i="55"/>
  <c r="F498" i="55"/>
  <c r="L476" i="55"/>
  <c r="F475" i="55"/>
  <c r="L419" i="55"/>
  <c r="F419" i="55"/>
  <c r="L384" i="55"/>
  <c r="F384" i="55"/>
  <c r="M17" i="60"/>
  <c r="L352" i="55"/>
  <c r="X19" i="60"/>
  <c r="F19" i="60" s="1"/>
  <c r="F17" i="60" s="1"/>
  <c r="E17" i="60"/>
  <c r="F311" i="55"/>
  <c r="L278" i="55"/>
  <c r="L241" i="55"/>
  <c r="F240" i="55"/>
  <c r="L198" i="55"/>
  <c r="F197" i="55"/>
  <c r="L161" i="55"/>
  <c r="F161" i="55"/>
  <c r="Y29" i="60"/>
  <c r="F53" i="55"/>
  <c r="W29" i="60"/>
  <c r="BG4" i="55"/>
  <c r="BG43" i="55" s="1"/>
  <c r="D116" i="58"/>
  <c r="D80" i="58"/>
  <c r="D44" i="58"/>
  <c r="G17" i="60" l="1"/>
  <c r="X29" i="60"/>
  <c r="D45" i="60"/>
  <c r="D8" i="58"/>
  <c r="K42" i="60"/>
  <c r="K40" i="60"/>
  <c r="O33" i="60"/>
  <c r="I33" i="60"/>
  <c r="K29" i="60"/>
  <c r="M7" i="60"/>
  <c r="H638" i="55"/>
  <c r="O27" i="60" s="1"/>
  <c r="B638" i="55"/>
  <c r="I27" i="60" s="1"/>
  <c r="H601" i="55"/>
  <c r="O38" i="60" s="1"/>
  <c r="B601" i="55"/>
  <c r="H564" i="55"/>
  <c r="O26" i="60" s="1"/>
  <c r="B564" i="55"/>
  <c r="I26" i="60" s="1"/>
  <c r="H527" i="55"/>
  <c r="O24" i="60" s="1"/>
  <c r="B527" i="55"/>
  <c r="I24" i="60" s="1"/>
  <c r="H490" i="55"/>
  <c r="O23" i="60" s="1"/>
  <c r="B490" i="55"/>
  <c r="I23" i="60" s="1"/>
  <c r="H453" i="55"/>
  <c r="O37" i="60" s="1"/>
  <c r="B453" i="55"/>
  <c r="I37" i="60" s="1"/>
  <c r="H416" i="55"/>
  <c r="O21" i="60" s="1"/>
  <c r="B416" i="55"/>
  <c r="I21" i="60" s="1"/>
  <c r="H379" i="55"/>
  <c r="B379" i="55"/>
  <c r="H342" i="55"/>
  <c r="O19" i="60" s="1"/>
  <c r="B342" i="55"/>
  <c r="I19" i="60" s="1"/>
  <c r="H305" i="55"/>
  <c r="O18" i="60" s="1"/>
  <c r="B305" i="55"/>
  <c r="I18" i="60" s="1"/>
  <c r="H268" i="55"/>
  <c r="B268" i="55"/>
  <c r="I16" i="60" s="1"/>
  <c r="H231" i="55"/>
  <c r="B231" i="55"/>
  <c r="H194" i="55"/>
  <c r="O36" i="60" s="1"/>
  <c r="B194" i="55"/>
  <c r="I36" i="60" s="1"/>
  <c r="H156" i="55"/>
  <c r="O25" i="60" s="1"/>
  <c r="B156" i="55"/>
  <c r="I25" i="60" s="1"/>
  <c r="H120" i="55"/>
  <c r="B120" i="55"/>
  <c r="I22" i="60" s="1"/>
  <c r="H84" i="55"/>
  <c r="B84" i="55"/>
  <c r="H48" i="55"/>
  <c r="O15" i="60" s="1"/>
  <c r="B48" i="55"/>
  <c r="I15" i="60" s="1"/>
  <c r="H12" i="55"/>
  <c r="O29" i="60" s="1"/>
  <c r="B12" i="55"/>
  <c r="E12" i="55"/>
  <c r="E48" i="55" s="1"/>
  <c r="E84" i="55" s="1"/>
  <c r="D12" i="55"/>
  <c r="J12" i="55" s="1"/>
  <c r="F50" i="58"/>
  <c r="L668" i="55"/>
  <c r="F631" i="55"/>
  <c r="F446" i="55"/>
  <c r="F409" i="55"/>
  <c r="F298" i="55"/>
  <c r="L261" i="55"/>
  <c r="F379" i="55"/>
  <c r="I637" i="55"/>
  <c r="I600" i="55"/>
  <c r="I526" i="55"/>
  <c r="I489" i="55"/>
  <c r="I452" i="55"/>
  <c r="I415" i="55"/>
  <c r="I378" i="55"/>
  <c r="I341" i="55"/>
  <c r="I304" i="55"/>
  <c r="I267" i="55"/>
  <c r="I230" i="55"/>
  <c r="L594" i="55"/>
  <c r="M32" i="58"/>
  <c r="N32" i="58"/>
  <c r="M33" i="58"/>
  <c r="M34" i="58"/>
  <c r="M36" i="58"/>
  <c r="N36" i="58"/>
  <c r="M37" i="58"/>
  <c r="M38" i="58"/>
  <c r="M39" i="58"/>
  <c r="N39" i="58"/>
  <c r="M40" i="58"/>
  <c r="N40" i="58"/>
  <c r="N31" i="58"/>
  <c r="M31" i="58"/>
  <c r="F224" i="55"/>
  <c r="F33" i="58"/>
  <c r="G33" i="58"/>
  <c r="F32" i="58"/>
  <c r="G32" i="58"/>
  <c r="F35" i="58"/>
  <c r="G35" i="58"/>
  <c r="F36" i="58"/>
  <c r="G36" i="58"/>
  <c r="F37" i="58"/>
  <c r="G37" i="58"/>
  <c r="F38" i="58"/>
  <c r="F40" i="58"/>
  <c r="G40" i="58"/>
  <c r="F39" i="58"/>
  <c r="G39" i="58"/>
  <c r="G31" i="58"/>
  <c r="F31" i="58"/>
  <c r="M52" i="58"/>
  <c r="M51" i="58"/>
  <c r="N53" i="58"/>
  <c r="M54" i="58"/>
  <c r="M55" i="58"/>
  <c r="M56" i="58"/>
  <c r="M59" i="58"/>
  <c r="N58" i="58"/>
  <c r="M57" i="58"/>
  <c r="N57" i="58"/>
  <c r="M50" i="58"/>
  <c r="G51" i="58"/>
  <c r="G52" i="58"/>
  <c r="G53" i="58"/>
  <c r="G54" i="58"/>
  <c r="G56" i="58"/>
  <c r="G55" i="58"/>
  <c r="G50" i="58"/>
  <c r="F52" i="58"/>
  <c r="F53" i="58"/>
  <c r="F56" i="58"/>
  <c r="F58" i="58"/>
  <c r="F57" i="58"/>
  <c r="M68" i="58"/>
  <c r="N68" i="58"/>
  <c r="M71" i="58"/>
  <c r="M69" i="58"/>
  <c r="N70" i="58"/>
  <c r="N72" i="58"/>
  <c r="N74" i="58"/>
  <c r="M74" i="58"/>
  <c r="N73" i="58"/>
  <c r="M75" i="58"/>
  <c r="N75" i="58"/>
  <c r="M76" i="58"/>
  <c r="N76" i="58"/>
  <c r="N67" i="58"/>
  <c r="F67" i="58"/>
  <c r="G67" i="58"/>
  <c r="G71" i="58"/>
  <c r="F70" i="58"/>
  <c r="G70" i="58"/>
  <c r="F72" i="58"/>
  <c r="G72" i="58"/>
  <c r="G69" i="58"/>
  <c r="F73" i="58"/>
  <c r="G73" i="58"/>
  <c r="F74" i="58"/>
  <c r="G74" i="58"/>
  <c r="F75" i="58"/>
  <c r="F76" i="58"/>
  <c r="G76" i="58"/>
  <c r="G68" i="58"/>
  <c r="F68" i="58"/>
  <c r="N104" i="58"/>
  <c r="N106" i="58"/>
  <c r="N103" i="58"/>
  <c r="N107" i="58"/>
  <c r="N110" i="58"/>
  <c r="N112" i="58"/>
  <c r="N105" i="58"/>
  <c r="M106" i="58"/>
  <c r="P106" i="58" s="1"/>
  <c r="M109" i="58"/>
  <c r="M108" i="58"/>
  <c r="M107" i="58"/>
  <c r="M111" i="58"/>
  <c r="M112" i="58"/>
  <c r="G104" i="58"/>
  <c r="G107" i="58"/>
  <c r="G111" i="58"/>
  <c r="G108" i="58"/>
  <c r="G109" i="58"/>
  <c r="G110" i="58"/>
  <c r="G103" i="58"/>
  <c r="F104" i="58"/>
  <c r="F107" i="58"/>
  <c r="F111" i="58"/>
  <c r="F108" i="58"/>
  <c r="F105" i="58"/>
  <c r="F110" i="58"/>
  <c r="F112" i="58"/>
  <c r="F103" i="58"/>
  <c r="F114" i="55"/>
  <c r="J78" i="55"/>
  <c r="N89" i="58"/>
  <c r="N91" i="58"/>
  <c r="N94" i="58"/>
  <c r="N95" i="58"/>
  <c r="N86" i="58"/>
  <c r="M89" i="58"/>
  <c r="M91" i="58"/>
  <c r="M90" i="58"/>
  <c r="M93" i="58"/>
  <c r="M92" i="58"/>
  <c r="M94" i="58"/>
  <c r="M95" i="58"/>
  <c r="J50" i="55"/>
  <c r="G87" i="58"/>
  <c r="G89" i="58"/>
  <c r="G91" i="58"/>
  <c r="G90" i="58"/>
  <c r="G93" i="58"/>
  <c r="G92" i="58"/>
  <c r="G94" i="58"/>
  <c r="G95" i="58"/>
  <c r="F87" i="58"/>
  <c r="F88" i="58"/>
  <c r="F89" i="58"/>
  <c r="F91" i="58"/>
  <c r="F90" i="58"/>
  <c r="F93" i="58"/>
  <c r="F92" i="58"/>
  <c r="F94" i="58"/>
  <c r="F95" i="58"/>
  <c r="D48" i="55"/>
  <c r="J48" i="55" s="1"/>
  <c r="I11" i="55"/>
  <c r="L112" i="58"/>
  <c r="E112" i="58"/>
  <c r="L111" i="58"/>
  <c r="E111" i="58"/>
  <c r="L110" i="58"/>
  <c r="E110" i="58"/>
  <c r="L109" i="58"/>
  <c r="E109" i="58"/>
  <c r="L108" i="58"/>
  <c r="E108" i="58"/>
  <c r="L107" i="58"/>
  <c r="E107" i="58"/>
  <c r="L106" i="58"/>
  <c r="E106" i="58"/>
  <c r="L105" i="58"/>
  <c r="E105" i="58"/>
  <c r="L104" i="58"/>
  <c r="E104" i="58"/>
  <c r="L103" i="58"/>
  <c r="E103" i="58"/>
  <c r="L95" i="58"/>
  <c r="E95" i="58"/>
  <c r="L94" i="58"/>
  <c r="E94" i="58"/>
  <c r="L93" i="58"/>
  <c r="E93" i="58"/>
  <c r="L92" i="58"/>
  <c r="E92" i="58"/>
  <c r="L91" i="58"/>
  <c r="E91" i="58"/>
  <c r="L90" i="58"/>
  <c r="E90" i="58"/>
  <c r="L89" i="58"/>
  <c r="E89" i="58"/>
  <c r="L88" i="58"/>
  <c r="E88" i="58"/>
  <c r="L87" i="58"/>
  <c r="E87" i="58"/>
  <c r="L86" i="58"/>
  <c r="E86" i="58"/>
  <c r="L76" i="58"/>
  <c r="E76" i="58"/>
  <c r="L75" i="58"/>
  <c r="E75" i="58"/>
  <c r="L74" i="58"/>
  <c r="E74" i="58"/>
  <c r="L73" i="58"/>
  <c r="E73" i="58"/>
  <c r="L72" i="58"/>
  <c r="E72" i="58"/>
  <c r="L71" i="58"/>
  <c r="E71" i="58"/>
  <c r="L70" i="58"/>
  <c r="E70" i="58"/>
  <c r="L69" i="58"/>
  <c r="E69" i="58"/>
  <c r="L68" i="58"/>
  <c r="E68" i="58"/>
  <c r="L67" i="58"/>
  <c r="E67" i="58"/>
  <c r="L59" i="58"/>
  <c r="E59" i="58"/>
  <c r="L58" i="58"/>
  <c r="E58" i="58"/>
  <c r="L57" i="58"/>
  <c r="E57" i="58"/>
  <c r="L56" i="58"/>
  <c r="E56" i="58"/>
  <c r="L55" i="58"/>
  <c r="E55" i="58"/>
  <c r="L54" i="58"/>
  <c r="E54" i="58"/>
  <c r="L53" i="58"/>
  <c r="E53" i="58"/>
  <c r="L52" i="58"/>
  <c r="E52" i="58"/>
  <c r="L51" i="58"/>
  <c r="E51" i="58"/>
  <c r="L50" i="58"/>
  <c r="E50" i="58"/>
  <c r="L40" i="58"/>
  <c r="E40" i="58"/>
  <c r="L39" i="58"/>
  <c r="E39" i="58"/>
  <c r="L38" i="58"/>
  <c r="E38" i="58"/>
  <c r="L37" i="58"/>
  <c r="E37" i="58"/>
  <c r="L36" i="58"/>
  <c r="E36" i="58"/>
  <c r="L35" i="58"/>
  <c r="E35" i="58"/>
  <c r="L34" i="58"/>
  <c r="E34" i="58"/>
  <c r="L33" i="58"/>
  <c r="E33" i="58"/>
  <c r="L32" i="58"/>
  <c r="E32" i="58"/>
  <c r="L31" i="58"/>
  <c r="E31" i="58"/>
  <c r="L23" i="58"/>
  <c r="E23" i="58"/>
  <c r="L22" i="58"/>
  <c r="E22" i="58"/>
  <c r="L21" i="58"/>
  <c r="E21" i="58"/>
  <c r="L20" i="58"/>
  <c r="E20" i="58"/>
  <c r="L19" i="58"/>
  <c r="E19" i="58"/>
  <c r="L18" i="58"/>
  <c r="E18" i="58"/>
  <c r="L17" i="58"/>
  <c r="E17" i="58"/>
  <c r="L16" i="58"/>
  <c r="E16" i="58"/>
  <c r="L15" i="58"/>
  <c r="E15" i="58"/>
  <c r="L14" i="58"/>
  <c r="E14" i="58"/>
  <c r="M6" i="58"/>
  <c r="G3" i="55"/>
  <c r="M22" i="58"/>
  <c r="M18" i="58"/>
  <c r="G20" i="58"/>
  <c r="G21" i="58"/>
  <c r="G14" i="58"/>
  <c r="M67" i="58"/>
  <c r="I193" i="55"/>
  <c r="I563" i="55"/>
  <c r="I155" i="55"/>
  <c r="I119" i="55"/>
  <c r="I83" i="55"/>
  <c r="I47" i="55"/>
  <c r="I10" i="55"/>
  <c r="F335" i="55"/>
  <c r="L372" i="55"/>
  <c r="L631" i="55"/>
  <c r="L298" i="55"/>
  <c r="F372" i="55"/>
  <c r="L520" i="55"/>
  <c r="F668" i="55"/>
  <c r="G59" i="58"/>
  <c r="L186" i="55"/>
  <c r="N56" i="58"/>
  <c r="L14" i="60"/>
  <c r="G86" i="58"/>
  <c r="F55" i="58"/>
  <c r="M73" i="58"/>
  <c r="F106" i="58"/>
  <c r="F19" i="58"/>
  <c r="N50" i="58"/>
  <c r="P50" i="58" s="1"/>
  <c r="F150" i="55"/>
  <c r="I38" i="60"/>
  <c r="I20" i="60"/>
  <c r="O16" i="60"/>
  <c r="O35" i="60"/>
  <c r="O22" i="60"/>
  <c r="N37" i="58"/>
  <c r="M104" i="58"/>
  <c r="G38" i="58"/>
  <c r="M70" i="58"/>
  <c r="N34" i="58"/>
  <c r="G34" i="58"/>
  <c r="N51" i="58"/>
  <c r="L557" i="55"/>
  <c r="F22" i="58"/>
  <c r="O17" i="60"/>
  <c r="F109" i="58"/>
  <c r="N90" i="58"/>
  <c r="F86" i="58"/>
  <c r="I29" i="60"/>
  <c r="L483" i="55"/>
  <c r="F17" i="58"/>
  <c r="G17" i="58"/>
  <c r="G16" i="58"/>
  <c r="N54" i="58"/>
  <c r="M88" i="58"/>
  <c r="N88" i="58"/>
  <c r="N69" i="58"/>
  <c r="N71" i="58"/>
  <c r="N93" i="58"/>
  <c r="N108" i="58"/>
  <c r="M58" i="58"/>
  <c r="N55" i="58"/>
  <c r="L638" i="55"/>
  <c r="M35" i="58"/>
  <c r="M87" i="58"/>
  <c r="N109" i="58"/>
  <c r="L379" i="55"/>
  <c r="K185" i="55"/>
  <c r="L335" i="55"/>
  <c r="L446" i="55"/>
  <c r="F14" i="58"/>
  <c r="F23" i="58"/>
  <c r="I87" i="58" l="1"/>
  <c r="P54" i="58"/>
  <c r="P69" i="58"/>
  <c r="M86" i="58"/>
  <c r="P86" i="58" s="1"/>
  <c r="Z15" i="60"/>
  <c r="L50" i="55"/>
  <c r="K12" i="55"/>
  <c r="K48" i="55" s="1"/>
  <c r="L34" i="60"/>
  <c r="Y14" i="60"/>
  <c r="Y34" i="60" s="1"/>
  <c r="I86" i="58"/>
  <c r="L114" i="55"/>
  <c r="L78" i="55"/>
  <c r="F194" i="55"/>
  <c r="E41" i="58" s="1"/>
  <c r="D113" i="55"/>
  <c r="F594" i="55"/>
  <c r="N19" i="58"/>
  <c r="M19" i="58"/>
  <c r="M20" i="58"/>
  <c r="N38" i="58"/>
  <c r="F78" i="55"/>
  <c r="L150" i="55"/>
  <c r="M15" i="58"/>
  <c r="F520" i="55"/>
  <c r="P88" i="58"/>
  <c r="N18" i="58"/>
  <c r="P18" i="58" s="1"/>
  <c r="M16" i="58"/>
  <c r="P51" i="58"/>
  <c r="P94" i="58"/>
  <c r="I32" i="58"/>
  <c r="G19" i="58"/>
  <c r="I17" i="58"/>
  <c r="N15" i="58"/>
  <c r="P67" i="58"/>
  <c r="L224" i="55"/>
  <c r="L453" i="55"/>
  <c r="F490" i="55"/>
  <c r="I104" i="58"/>
  <c r="E445" i="55"/>
  <c r="K519" i="55"/>
  <c r="P112" i="58"/>
  <c r="D297" i="55"/>
  <c r="J630" i="55"/>
  <c r="L409" i="55"/>
  <c r="F483" i="55"/>
  <c r="F557" i="55"/>
  <c r="N26" i="60"/>
  <c r="J519" i="55"/>
  <c r="L490" i="55"/>
  <c r="D482" i="55"/>
  <c r="J408" i="55"/>
  <c r="J371" i="55"/>
  <c r="L342" i="55"/>
  <c r="D371" i="55"/>
  <c r="L305" i="55"/>
  <c r="J334" i="55"/>
  <c r="K334" i="55"/>
  <c r="K297" i="55"/>
  <c r="L268" i="55"/>
  <c r="F231" i="55"/>
  <c r="H35" i="60"/>
  <c r="I35" i="60"/>
  <c r="P31" i="58"/>
  <c r="I40" i="58"/>
  <c r="P56" i="58"/>
  <c r="P58" i="58"/>
  <c r="P55" i="58"/>
  <c r="I55" i="58"/>
  <c r="F51" i="58"/>
  <c r="I51" i="58" s="1"/>
  <c r="P71" i="58"/>
  <c r="M72" i="58"/>
  <c r="P72" i="58" s="1"/>
  <c r="P73" i="58"/>
  <c r="P74" i="58"/>
  <c r="I70" i="58"/>
  <c r="M110" i="58"/>
  <c r="P110" i="58" s="1"/>
  <c r="K113" i="55"/>
  <c r="P108" i="58"/>
  <c r="L84" i="55"/>
  <c r="L113" i="58" s="1"/>
  <c r="P104" i="58"/>
  <c r="I111" i="58"/>
  <c r="I17" i="60"/>
  <c r="G106" i="58"/>
  <c r="I106" i="58" s="1"/>
  <c r="P93" i="58"/>
  <c r="P91" i="58"/>
  <c r="I89" i="58"/>
  <c r="I94" i="58"/>
  <c r="I14" i="58"/>
  <c r="I19" i="58"/>
  <c r="N27" i="60"/>
  <c r="J667" i="55"/>
  <c r="D667" i="55"/>
  <c r="L601" i="55"/>
  <c r="D630" i="55"/>
  <c r="E630" i="55"/>
  <c r="L564" i="55"/>
  <c r="E593" i="55"/>
  <c r="J556" i="55"/>
  <c r="K556" i="55"/>
  <c r="H37" i="60"/>
  <c r="K445" i="55"/>
  <c r="O20" i="60"/>
  <c r="D408" i="55"/>
  <c r="E371" i="55"/>
  <c r="F342" i="55"/>
  <c r="E334" i="55"/>
  <c r="F268" i="55"/>
  <c r="P34" i="58"/>
  <c r="P37" i="58"/>
  <c r="P36" i="58"/>
  <c r="K223" i="55"/>
  <c r="I36" i="58"/>
  <c r="F34" i="58"/>
  <c r="F30" i="58" s="1"/>
  <c r="I38" i="58"/>
  <c r="I33" i="58"/>
  <c r="D223" i="55"/>
  <c r="I39" i="58"/>
  <c r="M53" i="58"/>
  <c r="M49" i="58" s="1"/>
  <c r="P57" i="58"/>
  <c r="J185" i="55"/>
  <c r="I53" i="58"/>
  <c r="I56" i="58"/>
  <c r="E185" i="55"/>
  <c r="I50" i="58"/>
  <c r="P70" i="58"/>
  <c r="K149" i="55"/>
  <c r="P75" i="58"/>
  <c r="L120" i="55"/>
  <c r="L77" i="58" s="1"/>
  <c r="J149" i="55"/>
  <c r="D149" i="55"/>
  <c r="G75" i="58"/>
  <c r="G66" i="58" s="1"/>
  <c r="J113" i="55"/>
  <c r="M103" i="58"/>
  <c r="P103" i="58" s="1"/>
  <c r="I110" i="58"/>
  <c r="G105" i="58"/>
  <c r="I109" i="58"/>
  <c r="I108" i="58"/>
  <c r="I107" i="58"/>
  <c r="P95" i="58"/>
  <c r="J77" i="55"/>
  <c r="K77" i="55"/>
  <c r="I95" i="58"/>
  <c r="I90" i="58"/>
  <c r="I91" i="58"/>
  <c r="E77" i="55"/>
  <c r="K667" i="55"/>
  <c r="F638" i="55"/>
  <c r="E667" i="55"/>
  <c r="F601" i="55"/>
  <c r="F564" i="55"/>
  <c r="F527" i="55"/>
  <c r="E556" i="55"/>
  <c r="E519" i="55"/>
  <c r="D519" i="55"/>
  <c r="N37" i="60"/>
  <c r="J482" i="55"/>
  <c r="K482" i="55"/>
  <c r="F453" i="55"/>
  <c r="D445" i="55"/>
  <c r="F416" i="55"/>
  <c r="F305" i="55"/>
  <c r="N16" i="60"/>
  <c r="E297" i="55"/>
  <c r="D260" i="55"/>
  <c r="P32" i="58"/>
  <c r="J223" i="55"/>
  <c r="M30" i="58"/>
  <c r="I31" i="58"/>
  <c r="G30" i="58"/>
  <c r="E223" i="55"/>
  <c r="I37" i="58"/>
  <c r="N59" i="58"/>
  <c r="P59" i="58" s="1"/>
  <c r="N52" i="58"/>
  <c r="I52" i="58"/>
  <c r="G58" i="58"/>
  <c r="I58" i="58" s="1"/>
  <c r="G57" i="58"/>
  <c r="I57" i="58" s="1"/>
  <c r="F59" i="58"/>
  <c r="I59" i="58" s="1"/>
  <c r="F156" i="55"/>
  <c r="E60" i="58" s="1"/>
  <c r="P68" i="58"/>
  <c r="N66" i="58"/>
  <c r="N77" i="58" s="1"/>
  <c r="I74" i="58"/>
  <c r="I67" i="58"/>
  <c r="I76" i="58"/>
  <c r="I72" i="58"/>
  <c r="E149" i="55"/>
  <c r="F120" i="55"/>
  <c r="E77" i="58" s="1"/>
  <c r="P109" i="58"/>
  <c r="M105" i="58"/>
  <c r="P105" i="58" s="1"/>
  <c r="N111" i="58"/>
  <c r="N102" i="58" s="1"/>
  <c r="I103" i="58"/>
  <c r="H27" i="60"/>
  <c r="N87" i="58"/>
  <c r="P87" i="58" s="1"/>
  <c r="H20" i="60"/>
  <c r="H16" i="60"/>
  <c r="L48" i="55"/>
  <c r="L96" i="58" s="1"/>
  <c r="P90" i="58"/>
  <c r="I93" i="58"/>
  <c r="G88" i="58"/>
  <c r="D77" i="55"/>
  <c r="F85" i="58"/>
  <c r="F20" i="58"/>
  <c r="I20" i="58" s="1"/>
  <c r="F34" i="60"/>
  <c r="M34" i="60" s="1"/>
  <c r="E34" i="60"/>
  <c r="D84" i="55"/>
  <c r="E120" i="55"/>
  <c r="E156" i="55" s="1"/>
  <c r="K84" i="55"/>
  <c r="K32" i="60"/>
  <c r="M14" i="60"/>
  <c r="Z14" i="60" s="1"/>
  <c r="Z34" i="60" s="1"/>
  <c r="N35" i="60"/>
  <c r="N23" i="60"/>
  <c r="N18" i="60"/>
  <c r="N92" i="58"/>
  <c r="L156" i="55"/>
  <c r="L60" i="58" s="1"/>
  <c r="L194" i="55"/>
  <c r="L41" i="58" s="1"/>
  <c r="N33" i="58"/>
  <c r="J593" i="55"/>
  <c r="K593" i="55"/>
  <c r="J260" i="55"/>
  <c r="J297" i="55"/>
  <c r="K408" i="55"/>
  <c r="N21" i="58"/>
  <c r="P89" i="58"/>
  <c r="P39" i="58"/>
  <c r="M23" i="58"/>
  <c r="N23" i="58"/>
  <c r="L416" i="55"/>
  <c r="L527" i="55"/>
  <c r="L231" i="55"/>
  <c r="K260" i="55"/>
  <c r="P76" i="58"/>
  <c r="P40" i="58"/>
  <c r="P38" i="58"/>
  <c r="N35" i="58"/>
  <c r="J445" i="55"/>
  <c r="P107" i="58"/>
  <c r="K371" i="55"/>
  <c r="K630" i="55"/>
  <c r="F16" i="58"/>
  <c r="I16" i="58" s="1"/>
  <c r="G22" i="58"/>
  <c r="G26" i="60"/>
  <c r="G37" i="60"/>
  <c r="F48" i="55"/>
  <c r="E96" i="58" s="1"/>
  <c r="F102" i="58"/>
  <c r="G112" i="58"/>
  <c r="E113" i="55"/>
  <c r="F84" i="55"/>
  <c r="E113" i="58" s="1"/>
  <c r="F69" i="58"/>
  <c r="I68" i="58"/>
  <c r="F18" i="58"/>
  <c r="F71" i="58"/>
  <c r="I71" i="58" s="1"/>
  <c r="F54" i="58"/>
  <c r="D185" i="55"/>
  <c r="E408" i="55"/>
  <c r="F408" i="55" s="1"/>
  <c r="D334" i="55"/>
  <c r="E260" i="55"/>
  <c r="I92" i="58"/>
  <c r="I73" i="58"/>
  <c r="F186" i="55"/>
  <c r="I35" i="58"/>
  <c r="E482" i="55"/>
  <c r="D556" i="55"/>
  <c r="D593" i="55"/>
  <c r="F261" i="55"/>
  <c r="N22" i="58"/>
  <c r="N16" i="58"/>
  <c r="L185" i="55" l="1"/>
  <c r="F556" i="55"/>
  <c r="M85" i="58"/>
  <c r="M96" i="58" s="1"/>
  <c r="M97" i="58" s="1"/>
  <c r="L630" i="55"/>
  <c r="L519" i="55"/>
  <c r="L371" i="55"/>
  <c r="L408" i="55"/>
  <c r="F371" i="55"/>
  <c r="L667" i="55"/>
  <c r="F667" i="55"/>
  <c r="F630" i="55"/>
  <c r="F519" i="55"/>
  <c r="L297" i="55"/>
  <c r="M15" i="60"/>
  <c r="N15" i="60" s="1"/>
  <c r="Z29" i="60"/>
  <c r="F113" i="58"/>
  <c r="L334" i="55"/>
  <c r="F593" i="55"/>
  <c r="F445" i="55"/>
  <c r="F297" i="55"/>
  <c r="I34" i="58"/>
  <c r="P53" i="58"/>
  <c r="L149" i="55"/>
  <c r="F149" i="55"/>
  <c r="L113" i="55"/>
  <c r="P15" i="58"/>
  <c r="N20" i="58"/>
  <c r="P20" i="58" s="1"/>
  <c r="M41" i="58"/>
  <c r="M42" i="58" s="1"/>
  <c r="M14" i="58"/>
  <c r="F482" i="55"/>
  <c r="F260" i="55"/>
  <c r="I75" i="58"/>
  <c r="L556" i="55"/>
  <c r="L445" i="55"/>
  <c r="L260" i="55"/>
  <c r="F334" i="55"/>
  <c r="M17" i="58"/>
  <c r="G23" i="58"/>
  <c r="I23" i="58" s="1"/>
  <c r="M66" i="58"/>
  <c r="P66" i="58" s="1"/>
  <c r="G19" i="60"/>
  <c r="G35" i="60"/>
  <c r="G27" i="60"/>
  <c r="N25" i="60"/>
  <c r="L223" i="55"/>
  <c r="N19" i="60"/>
  <c r="H26" i="60"/>
  <c r="N22" i="60"/>
  <c r="H19" i="60"/>
  <c r="L77" i="55"/>
  <c r="L593" i="55"/>
  <c r="N24" i="60"/>
  <c r="E40" i="60"/>
  <c r="N78" i="58"/>
  <c r="O77" i="58" s="1"/>
  <c r="I105" i="58"/>
  <c r="N20" i="60"/>
  <c r="G20" i="60"/>
  <c r="L482" i="55"/>
  <c r="F41" i="58"/>
  <c r="F42" i="58" s="1"/>
  <c r="I30" i="58"/>
  <c r="G41" i="58"/>
  <c r="F223" i="55"/>
  <c r="P52" i="58"/>
  <c r="N49" i="58"/>
  <c r="G49" i="58"/>
  <c r="G60" i="58" s="1"/>
  <c r="N113" i="58"/>
  <c r="N114" i="58" s="1"/>
  <c r="P111" i="58"/>
  <c r="M102" i="58"/>
  <c r="M113" i="58" s="1"/>
  <c r="M114" i="58" s="1"/>
  <c r="G18" i="60"/>
  <c r="H18" i="60"/>
  <c r="N17" i="60"/>
  <c r="G16" i="60"/>
  <c r="H24" i="60"/>
  <c r="H38" i="60"/>
  <c r="G85" i="58"/>
  <c r="I88" i="58"/>
  <c r="F96" i="58"/>
  <c r="F97" i="58" s="1"/>
  <c r="F77" i="55"/>
  <c r="K120" i="55"/>
  <c r="J84" i="55"/>
  <c r="D120" i="55"/>
  <c r="E194" i="55"/>
  <c r="K156" i="55"/>
  <c r="D32" i="60"/>
  <c r="M21" i="58"/>
  <c r="P21" i="58" s="1"/>
  <c r="M60" i="58"/>
  <c r="M61" i="58" s="1"/>
  <c r="N36" i="60"/>
  <c r="L40" i="60"/>
  <c r="P33" i="58"/>
  <c r="N30" i="58"/>
  <c r="P35" i="58"/>
  <c r="P92" i="58"/>
  <c r="N85" i="58"/>
  <c r="F49" i="58"/>
  <c r="F60" i="58" s="1"/>
  <c r="I54" i="58"/>
  <c r="F15" i="58"/>
  <c r="F113" i="55"/>
  <c r="I112" i="58"/>
  <c r="G102" i="58"/>
  <c r="G15" i="58"/>
  <c r="I69" i="58"/>
  <c r="F66" i="58"/>
  <c r="I66" i="58" s="1"/>
  <c r="H21" i="60"/>
  <c r="G21" i="60"/>
  <c r="H15" i="60"/>
  <c r="H17" i="60"/>
  <c r="G18" i="58"/>
  <c r="G77" i="58"/>
  <c r="G78" i="58" s="1"/>
  <c r="F114" i="58"/>
  <c r="F42" i="55"/>
  <c r="G36" i="60"/>
  <c r="F40" i="60"/>
  <c r="I22" i="58"/>
  <c r="F185" i="55"/>
  <c r="P16" i="58"/>
  <c r="P23" i="58"/>
  <c r="P19" i="58"/>
  <c r="P22" i="58"/>
  <c r="M77" i="58" l="1"/>
  <c r="P77" i="58" s="1"/>
  <c r="M29" i="60"/>
  <c r="G15" i="60"/>
  <c r="O75" i="58"/>
  <c r="O69" i="58"/>
  <c r="O74" i="58"/>
  <c r="O68" i="58"/>
  <c r="P78" i="58"/>
  <c r="L12" i="55"/>
  <c r="L24" i="58" s="1"/>
  <c r="F21" i="58"/>
  <c r="I21" i="58" s="1"/>
  <c r="E41" i="55"/>
  <c r="E29" i="60"/>
  <c r="E42" i="60" s="1"/>
  <c r="K41" i="55"/>
  <c r="F12" i="55"/>
  <c r="E24" i="58" s="1"/>
  <c r="H36" i="60"/>
  <c r="D41" i="55"/>
  <c r="J41" i="55"/>
  <c r="M13" i="58"/>
  <c r="N17" i="58"/>
  <c r="P17" i="58" s="1"/>
  <c r="O66" i="58"/>
  <c r="O73" i="58"/>
  <c r="N14" i="58"/>
  <c r="F29" i="60"/>
  <c r="O71" i="58"/>
  <c r="O67" i="58"/>
  <c r="G24" i="60"/>
  <c r="L42" i="55"/>
  <c r="I60" i="58"/>
  <c r="G25" i="60"/>
  <c r="H25" i="60"/>
  <c r="O72" i="58"/>
  <c r="O70" i="58"/>
  <c r="O78" i="58"/>
  <c r="O76" i="58"/>
  <c r="O105" i="58"/>
  <c r="O108" i="58"/>
  <c r="O102" i="58"/>
  <c r="O111" i="58"/>
  <c r="O107" i="58"/>
  <c r="O110" i="58"/>
  <c r="O106" i="58"/>
  <c r="O104" i="58"/>
  <c r="O113" i="58"/>
  <c r="O112" i="58"/>
  <c r="O109" i="58"/>
  <c r="O103" i="58"/>
  <c r="O114" i="58"/>
  <c r="P114" i="58"/>
  <c r="N38" i="60"/>
  <c r="M40" i="60"/>
  <c r="N40" i="60" s="1"/>
  <c r="G38" i="60"/>
  <c r="G23" i="60"/>
  <c r="H23" i="60"/>
  <c r="G42" i="58"/>
  <c r="I41" i="58"/>
  <c r="I42" i="58" s="1"/>
  <c r="P49" i="58"/>
  <c r="N60" i="58"/>
  <c r="G61" i="58"/>
  <c r="H60" i="58" s="1"/>
  <c r="M78" i="58"/>
  <c r="P102" i="58"/>
  <c r="P113" i="58"/>
  <c r="G96" i="58"/>
  <c r="G97" i="58" s="1"/>
  <c r="H102" i="58" s="1"/>
  <c r="I85" i="58"/>
  <c r="D156" i="55"/>
  <c r="J120" i="55"/>
  <c r="E601" i="55"/>
  <c r="K194" i="55"/>
  <c r="E564" i="55"/>
  <c r="P85" i="58"/>
  <c r="N96" i="58"/>
  <c r="N97" i="58" s="1"/>
  <c r="L29" i="60"/>
  <c r="N21" i="60"/>
  <c r="N41" i="58"/>
  <c r="P30" i="58"/>
  <c r="H78" i="58"/>
  <c r="H73" i="58"/>
  <c r="H69" i="58"/>
  <c r="H72" i="58"/>
  <c r="H71" i="58"/>
  <c r="H74" i="58"/>
  <c r="H68" i="58"/>
  <c r="H67" i="58"/>
  <c r="H70" i="58"/>
  <c r="H75" i="58"/>
  <c r="H76" i="58"/>
  <c r="H77" i="58"/>
  <c r="F77" i="58"/>
  <c r="I77" i="58" s="1"/>
  <c r="H57" i="58"/>
  <c r="H40" i="60"/>
  <c r="H66" i="58"/>
  <c r="I18" i="58"/>
  <c r="G13" i="58"/>
  <c r="I15" i="58"/>
  <c r="I102" i="58"/>
  <c r="G113" i="58"/>
  <c r="F61" i="58"/>
  <c r="I49" i="58"/>
  <c r="H55" i="58" l="1"/>
  <c r="H29" i="60"/>
  <c r="G40" i="60"/>
  <c r="F42" i="60"/>
  <c r="H42" i="60" s="1"/>
  <c r="M24" i="58"/>
  <c r="M25" i="58" s="1"/>
  <c r="F13" i="58"/>
  <c r="F24" i="58" s="1"/>
  <c r="F25" i="58" s="1"/>
  <c r="F41" i="55"/>
  <c r="L41" i="55"/>
  <c r="H49" i="58"/>
  <c r="H53" i="58"/>
  <c r="I61" i="58"/>
  <c r="H52" i="58"/>
  <c r="H54" i="58"/>
  <c r="H58" i="58"/>
  <c r="P14" i="58"/>
  <c r="N13" i="58"/>
  <c r="H50" i="58"/>
  <c r="H51" i="58"/>
  <c r="H56" i="58"/>
  <c r="H59" i="58"/>
  <c r="H61" i="58"/>
  <c r="H22" i="60"/>
  <c r="G22" i="60"/>
  <c r="M42" i="60"/>
  <c r="H37" i="58"/>
  <c r="H35" i="58"/>
  <c r="H33" i="58"/>
  <c r="H42" i="58"/>
  <c r="H31" i="58"/>
  <c r="H38" i="58"/>
  <c r="H40" i="58"/>
  <c r="H30" i="58"/>
  <c r="H36" i="58"/>
  <c r="H39" i="58"/>
  <c r="H34" i="58"/>
  <c r="H32" i="58"/>
  <c r="H41" i="58"/>
  <c r="P60" i="58"/>
  <c r="N61" i="58"/>
  <c r="F78" i="58"/>
  <c r="I78" i="58" s="1"/>
  <c r="H85" i="58"/>
  <c r="H97" i="58"/>
  <c r="H90" i="58"/>
  <c r="H91" i="58"/>
  <c r="H93" i="58"/>
  <c r="H88" i="58"/>
  <c r="H86" i="58"/>
  <c r="H89" i="58"/>
  <c r="H87" i="58"/>
  <c r="H94" i="58"/>
  <c r="I97" i="58"/>
  <c r="H92" i="58"/>
  <c r="H95" i="58"/>
  <c r="H96" i="58"/>
  <c r="I96" i="58"/>
  <c r="J156" i="55"/>
  <c r="D194" i="55"/>
  <c r="K564" i="55"/>
  <c r="E231" i="55"/>
  <c r="K601" i="55"/>
  <c r="E638" i="55"/>
  <c r="K638" i="55" s="1"/>
  <c r="P97" i="58"/>
  <c r="O86" i="58"/>
  <c r="O97" i="58"/>
  <c r="O88" i="58"/>
  <c r="O95" i="58"/>
  <c r="O93" i="58"/>
  <c r="O89" i="58"/>
  <c r="O94" i="58"/>
  <c r="O90" i="58"/>
  <c r="O91" i="58"/>
  <c r="O87" i="58"/>
  <c r="O92" i="58"/>
  <c r="P41" i="58"/>
  <c r="L42" i="60"/>
  <c r="N29" i="60"/>
  <c r="N42" i="58"/>
  <c r="P96" i="58"/>
  <c r="O96" i="58"/>
  <c r="O85" i="58"/>
  <c r="I113" i="58"/>
  <c r="G114" i="58"/>
  <c r="G24" i="58"/>
  <c r="I13" i="58" l="1"/>
  <c r="N42" i="60"/>
  <c r="G42" i="60"/>
  <c r="N24" i="58"/>
  <c r="P13" i="58"/>
  <c r="O60" i="58"/>
  <c r="O61" i="58"/>
  <c r="O53" i="58"/>
  <c r="O58" i="58"/>
  <c r="O59" i="58"/>
  <c r="O57" i="58"/>
  <c r="O49" i="58"/>
  <c r="P61" i="58"/>
  <c r="O52" i="58"/>
  <c r="O50" i="58"/>
  <c r="O54" i="58"/>
  <c r="O55" i="58"/>
  <c r="O56" i="58"/>
  <c r="O51" i="58"/>
  <c r="D601" i="55"/>
  <c r="J194" i="55"/>
  <c r="D564" i="55"/>
  <c r="E268" i="55"/>
  <c r="K231" i="55"/>
  <c r="O42" i="58"/>
  <c r="O31" i="58"/>
  <c r="O32" i="58"/>
  <c r="O37" i="58"/>
  <c r="P42" i="58"/>
  <c r="O40" i="58"/>
  <c r="O36" i="58"/>
  <c r="O38" i="58"/>
  <c r="O34" i="58"/>
  <c r="O39" i="58"/>
  <c r="O35" i="58"/>
  <c r="O33" i="58"/>
  <c r="O30" i="58"/>
  <c r="O41" i="58"/>
  <c r="I24" i="58"/>
  <c r="H109" i="58"/>
  <c r="H106" i="58"/>
  <c r="H111" i="58"/>
  <c r="H108" i="58"/>
  <c r="I114" i="58"/>
  <c r="H103" i="58"/>
  <c r="H107" i="58"/>
  <c r="H104" i="58"/>
  <c r="H114" i="58"/>
  <c r="H110" i="58"/>
  <c r="H105" i="58"/>
  <c r="H112" i="58"/>
  <c r="G25" i="58"/>
  <c r="H113" i="58"/>
  <c r="P24" i="58" l="1"/>
  <c r="N25" i="58"/>
  <c r="J564" i="55"/>
  <c r="D231" i="55"/>
  <c r="J601" i="55"/>
  <c r="D638" i="55"/>
  <c r="J638" i="55" s="1"/>
  <c r="E305" i="55"/>
  <c r="K268" i="55"/>
  <c r="H20" i="58"/>
  <c r="H21" i="58"/>
  <c r="I25" i="58"/>
  <c r="H19" i="58"/>
  <c r="H23" i="58"/>
  <c r="H25" i="58"/>
  <c r="H16" i="58"/>
  <c r="H14" i="58"/>
  <c r="H17" i="58"/>
  <c r="H22" i="58"/>
  <c r="H18" i="58"/>
  <c r="H15" i="58"/>
  <c r="H13" i="58"/>
  <c r="H24" i="58"/>
  <c r="O15" i="58" l="1"/>
  <c r="O24" i="58"/>
  <c r="O23" i="58"/>
  <c r="O16" i="58"/>
  <c r="P25" i="58"/>
  <c r="O18" i="58"/>
  <c r="O21" i="58"/>
  <c r="O17" i="58"/>
  <c r="O13" i="58"/>
  <c r="O14" i="58"/>
  <c r="O19" i="58"/>
  <c r="O22" i="58"/>
  <c r="O25" i="58"/>
  <c r="O20" i="58"/>
  <c r="D268" i="55"/>
  <c r="J231" i="55"/>
  <c r="E342" i="55"/>
  <c r="K305" i="55"/>
  <c r="J268" i="55" l="1"/>
  <c r="D305" i="55"/>
  <c r="K342" i="55"/>
  <c r="E379" i="55"/>
  <c r="D342" i="55" l="1"/>
  <c r="J305" i="55"/>
  <c r="E416" i="55"/>
  <c r="K379" i="55"/>
  <c r="D379" i="55" l="1"/>
  <c r="J342" i="55"/>
  <c r="K416" i="55"/>
  <c r="E453" i="55"/>
  <c r="D416" i="55" l="1"/>
  <c r="J379" i="55"/>
  <c r="K453" i="55"/>
  <c r="E490" i="55"/>
  <c r="D453" i="55" l="1"/>
  <c r="J416" i="55"/>
  <c r="E527" i="55"/>
  <c r="K527" i="55" s="1"/>
  <c r="K490" i="55"/>
  <c r="D490" i="55" l="1"/>
  <c r="J453" i="55"/>
  <c r="J490" i="55" l="1"/>
  <c r="D527" i="55"/>
  <c r="J527" i="55" s="1"/>
</calcChain>
</file>

<file path=xl/sharedStrings.xml><?xml version="1.0" encoding="utf-8"?>
<sst xmlns="http://schemas.openxmlformats.org/spreadsheetml/2006/main" count="3985" uniqueCount="210">
  <si>
    <t>-</t>
  </si>
  <si>
    <t>Área plantada (Hectares)</t>
  </si>
  <si>
    <t>Produção</t>
  </si>
  <si>
    <t xml:space="preserve"> -</t>
  </si>
  <si>
    <t>Goiás</t>
  </si>
  <si>
    <t>Variável = Área plantada (Hectares)</t>
  </si>
  <si>
    <t>Área plantada</t>
  </si>
  <si>
    <t>Período</t>
  </si>
  <si>
    <t>Variação (%)</t>
  </si>
  <si>
    <t>Total</t>
  </si>
  <si>
    <t>Produção de grãos</t>
  </si>
  <si>
    <t>Outros</t>
  </si>
  <si>
    <t>Ranking Nacional</t>
  </si>
  <si>
    <t>Tabela 1618 - Área plantada, área colhida e produção, por ano da safra e produto</t>
  </si>
  <si>
    <t>Unidade da Federação</t>
  </si>
  <si>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</si>
  <si>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</si>
  <si>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</si>
  <si>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</si>
  <si>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</si>
  <si>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</si>
  <si>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</si>
  <si>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</si>
  <si>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</si>
  <si>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</si>
  <si>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</si>
  <si>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</si>
  <si>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</si>
  <si>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</si>
  <si>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</si>
  <si>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</si>
  <si>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</si>
  <si>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Espírito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</si>
  <si>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</si>
  <si>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</si>
  <si>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</si>
  <si>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</si>
  <si>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</si>
  <si>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</si>
  <si>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</si>
  <si>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Distrito Federal</t>
  </si>
  <si>
    <t>Variável = Produção (Toneladas)</t>
  </si>
  <si>
    <t>Variável = Produção</t>
  </si>
  <si>
    <t>Produto, em hectares</t>
  </si>
  <si>
    <t>Feijão - 1ª Safra</t>
  </si>
  <si>
    <t>Feijão - 2ª Safra</t>
  </si>
  <si>
    <t>Feijão - 3ª Safra</t>
  </si>
  <si>
    <t>Milho - 1ª Safra</t>
  </si>
  <si>
    <t>Milho - 2ª Safra</t>
  </si>
  <si>
    <t>Produto, em toneladas</t>
  </si>
  <si>
    <t xml:space="preserve"> Arroz</t>
  </si>
  <si>
    <t xml:space="preserve"> Feijão total</t>
  </si>
  <si>
    <t xml:space="preserve"> Girassol</t>
  </si>
  <si>
    <t xml:space="preserve"> Milho total</t>
  </si>
  <si>
    <t xml:space="preserve"> Soja</t>
  </si>
  <si>
    <t xml:space="preserve"> Sorgo</t>
  </si>
  <si>
    <t xml:space="preserve"> Trigo</t>
  </si>
  <si>
    <t xml:space="preserve"> Algodão herbáceo</t>
  </si>
  <si>
    <t xml:space="preserve"> Cana-de-açúcar</t>
  </si>
  <si>
    <t xml:space="preserve"> Mandioca</t>
  </si>
  <si>
    <t xml:space="preserve"> Tomate</t>
  </si>
  <si>
    <t xml:space="preserve"> Abacaxi</t>
  </si>
  <si>
    <t xml:space="preserve"> Abacaxi (Mil frutos)</t>
  </si>
  <si>
    <t xml:space="preserve"> Total (Grãos) - A</t>
  </si>
  <si>
    <t xml:space="preserve"> Total (Outros) - B</t>
  </si>
  <si>
    <t xml:space="preserve"> Total Geral (A + B)</t>
  </si>
  <si>
    <t>Var. %</t>
  </si>
  <si>
    <t>Clas</t>
  </si>
  <si>
    <t>Total – 10 primeiros</t>
  </si>
  <si>
    <t>% Prod</t>
  </si>
  <si>
    <t>Produção (Toneladas)</t>
  </si>
  <si>
    <t>UF</t>
  </si>
  <si>
    <t>Produto: Cana-de-açúcar</t>
  </si>
  <si>
    <t>Produção e área plantada, por ano, por unidade da federação</t>
  </si>
  <si>
    <t>Produto: Soja</t>
  </si>
  <si>
    <t>Todos os produtos</t>
  </si>
  <si>
    <t>Produto: Feijão</t>
  </si>
  <si>
    <t>Produto: Milho</t>
  </si>
  <si>
    <t>Produto: Sorgo</t>
  </si>
  <si>
    <t>Produto: Algodão</t>
  </si>
  <si>
    <t>Preenchimento obrigatório:</t>
  </si>
  <si>
    <t>1. Safra de referência:</t>
  </si>
  <si>
    <t>2. Safra de previsão:</t>
  </si>
  <si>
    <t>Correção</t>
  </si>
  <si>
    <t>TOTAL</t>
  </si>
  <si>
    <t xml:space="preserve">TOTAL </t>
  </si>
  <si>
    <t>OBS.:</t>
  </si>
  <si>
    <t xml:space="preserve"> (cereais, leguminosas e oleaginosas)</t>
  </si>
  <si>
    <t>Ranging</t>
  </si>
  <si>
    <t>Nº Estad</t>
  </si>
  <si>
    <t>Produt</t>
  </si>
  <si>
    <t>Produto: Abacaxi</t>
  </si>
  <si>
    <t>Produto: Arroz</t>
  </si>
  <si>
    <t>Produto: Feijão 1ª safra</t>
  </si>
  <si>
    <t>Produto: Feijão 3ª safra</t>
  </si>
  <si>
    <t>Produto: Feijão 2ª safra</t>
  </si>
  <si>
    <t>Produto: Girassol</t>
  </si>
  <si>
    <t>Produto: Mandioca</t>
  </si>
  <si>
    <t>Produto: Milho 2ª safra</t>
  </si>
  <si>
    <t>Produto: Milho 1ª safra</t>
  </si>
  <si>
    <t>Produto: Tomate</t>
  </si>
  <si>
    <t>Produto: Trigo</t>
  </si>
  <si>
    <t>XXXXXXXXXXXXXXXXXXXXXXXXXXXXXXXX      XXXXXXXXXXXXXXXXXXXXXXXXXXXXX     XXXXXXXXXXXXXXXXXXXXXXXXXX</t>
  </si>
  <si>
    <t>Ano</t>
  </si>
  <si>
    <t>Mês</t>
  </si>
  <si>
    <t>dezembro</t>
  </si>
  <si>
    <t>PREVISÃO DA PRODUÇÃO E ÁREA PLANTADA POR UNIDADE DA FEDERAÇÃO</t>
  </si>
  <si>
    <t>(kg/ha)</t>
  </si>
  <si>
    <t>Rend.</t>
  </si>
  <si>
    <t xml:space="preserve">      -</t>
  </si>
  <si>
    <t>Fonte: IBGE / Levantamento Sistemático da Produção Agrícola (LSPA) - Adaptado pela SED/SupexAgricultura/CEMEAS</t>
  </si>
  <si>
    <t xml:space="preserve"> - Culturas levantadas (42): todas</t>
  </si>
  <si>
    <t>1 Cereais, leguminosas e oleaginosas</t>
  </si>
  <si>
    <t>1.1 Algodão herbáceo</t>
  </si>
  <si>
    <t>1.2 Amendoim (1ª Safra)</t>
  </si>
  <si>
    <t>1.3 Amendoim (2ª Safra)</t>
  </si>
  <si>
    <t>1.4 Arroz</t>
  </si>
  <si>
    <t>1.5 Aveia</t>
  </si>
  <si>
    <t>1.6 Centeio</t>
  </si>
  <si>
    <t>1.7 Cevada</t>
  </si>
  <si>
    <t>1.8 Feijão (1ª Safra)</t>
  </si>
  <si>
    <t>1.9 Feijão (2ª Safra)</t>
  </si>
  <si>
    <t>1.10 Feijão (3ª Safra)</t>
  </si>
  <si>
    <t>1.11 Girassol</t>
  </si>
  <si>
    <t>1.12 Mamona</t>
  </si>
  <si>
    <t>1.13 Milho (1ª Safra)</t>
  </si>
  <si>
    <t>1.14 Milho (2ª Safra)</t>
  </si>
  <si>
    <t>1.15 Soja</t>
  </si>
  <si>
    <t>1.16 Sorgo</t>
  </si>
  <si>
    <t>1.17 Trigo</t>
  </si>
  <si>
    <t>1.18 Triticale</t>
  </si>
  <si>
    <t>2 Abacaxi</t>
  </si>
  <si>
    <t>3 Alho</t>
  </si>
  <si>
    <t>4 Banana</t>
  </si>
  <si>
    <t>5 Batata - inglesa (1ª Safra)</t>
  </si>
  <si>
    <t>6 Batata - inglesa (2ª Safra)</t>
  </si>
  <si>
    <t>7 Batata - inglesa (3ª Safra)</t>
  </si>
  <si>
    <t>8 Cacau</t>
  </si>
  <si>
    <t>9 Café arábica</t>
  </si>
  <si>
    <t>10 Café canephora</t>
  </si>
  <si>
    <t>11 Cana-de-açúcar</t>
  </si>
  <si>
    <t>12 Castanha-de-caju</t>
  </si>
  <si>
    <t>13 Cebola</t>
  </si>
  <si>
    <t>14 Coco-da-baía</t>
  </si>
  <si>
    <t>15 Fumo</t>
  </si>
  <si>
    <t>16 Guaraná</t>
  </si>
  <si>
    <t>17 Juta</t>
  </si>
  <si>
    <t>18 Laranja</t>
  </si>
  <si>
    <t>19 Maçã</t>
  </si>
  <si>
    <t>20 Malva</t>
  </si>
  <si>
    <t>21 Mandioca</t>
  </si>
  <si>
    <t>22 Pimenta-do-reino</t>
  </si>
  <si>
    <t>23 Sisal ou agave</t>
  </si>
  <si>
    <t>24 Tomate</t>
  </si>
  <si>
    <t>25 Uva</t>
  </si>
  <si>
    <r>
      <t>Ano da safra</t>
    </r>
    <r>
      <rPr>
        <b/>
        <sz val="10"/>
        <color rgb="FF00008B"/>
        <rFont val="Arial"/>
        <family val="2"/>
      </rPr>
      <t xml:space="preserve"> X </t>
    </r>
    <r>
      <rPr>
        <b/>
        <sz val="10"/>
        <rFont val="Arial"/>
        <family val="2"/>
      </rPr>
      <t>Produto</t>
    </r>
  </si>
  <si>
    <t>1 Cereais, leguminosas e oleaginosas (Toneladas)</t>
  </si>
  <si>
    <t>1.1 Algodão herbáceo (Toneladas)</t>
  </si>
  <si>
    <t>1.2 Amendoim (1ª Safra) (Toneladas)</t>
  </si>
  <si>
    <t>1.3 Amendoim (2ª Safra) (Toneladas)</t>
  </si>
  <si>
    <t>1.4 Arroz (Toneladas)</t>
  </si>
  <si>
    <t>1.5 Aveia (Toneladas)</t>
  </si>
  <si>
    <t>1.6 Centeio (Toneladas)</t>
  </si>
  <si>
    <t>1.7 Cevada (Toneladas)</t>
  </si>
  <si>
    <t>1.8 Feijão (1ª Safra) (Toneladas)</t>
  </si>
  <si>
    <t>1.9 Feijão (2ª Safra) (Toneladas)</t>
  </si>
  <si>
    <t>1.10 Feijão (3ª Safra) (Toneladas)</t>
  </si>
  <si>
    <t>1.11 Girassol (Toneladas)</t>
  </si>
  <si>
    <t>1.12 Mamona (Toneladas)</t>
  </si>
  <si>
    <t>1.13 Milho (1ª Safra) (Toneladas)</t>
  </si>
  <si>
    <t>1.14 Milho (2ª Safra) (Toneladas)</t>
  </si>
  <si>
    <t>1.15 Soja (Toneladas)</t>
  </si>
  <si>
    <t>1.16 Sorgo (Toneladas)</t>
  </si>
  <si>
    <t>1.17 Trigo (Toneladas)</t>
  </si>
  <si>
    <t>1.18 Triticale (Toneladas)</t>
  </si>
  <si>
    <t>2 Abacaxi (Mil frutos)</t>
  </si>
  <si>
    <t>3 Alho (Toneladas)</t>
  </si>
  <si>
    <t>4 Banana (Toneladas)</t>
  </si>
  <si>
    <t>5 Batata - inglesa (1ª Safra) (Toneladas)</t>
  </si>
  <si>
    <t>6 Batata - inglesa (2ª Safra) (Toneladas)</t>
  </si>
  <si>
    <t>7 Batata - inglesa (3ª Safra) (Toneladas)</t>
  </si>
  <si>
    <t>8 Cacau (Toneladas)</t>
  </si>
  <si>
    <t>9 Café arábica (Toneladas)</t>
  </si>
  <si>
    <t>10 Café canephora (Toneladas)</t>
  </si>
  <si>
    <t>11 Cana-de-açúcar (Toneladas)</t>
  </si>
  <si>
    <t>12 Castanha-de-caju (Toneladas)</t>
  </si>
  <si>
    <t>13 Cebola (Toneladas)</t>
  </si>
  <si>
    <t>14 Coco-da-baía (Mil frutos)</t>
  </si>
  <si>
    <t>15 Fumo (Toneladas)</t>
  </si>
  <si>
    <t>16 Guaraná (Toneladas)</t>
  </si>
  <si>
    <t>17 Juta (Toneladas)</t>
  </si>
  <si>
    <t>18 Laranja (Toneladas)</t>
  </si>
  <si>
    <t>19 Maçã (Toneladas)</t>
  </si>
  <si>
    <t>20 Malva (Toneladas)</t>
  </si>
  <si>
    <t>21 Mandioca (Toneladas)</t>
  </si>
  <si>
    <t>22 Pimenta-do-reino (Toneladas)</t>
  </si>
  <si>
    <t>23 Sisal ou agave (Toneladas)</t>
  </si>
  <si>
    <t>24 Tomate (Toneladas)</t>
  </si>
  <si>
    <t>25 Uva (Toneladas)</t>
  </si>
  <si>
    <t>Produto: Feijão Total</t>
  </si>
  <si>
    <t>Produto: Algodão herbáceo (caroço)</t>
  </si>
  <si>
    <t>Produto: Milho total</t>
  </si>
  <si>
    <t>Área Plantada (ha)</t>
  </si>
  <si>
    <t>Produção (t)</t>
  </si>
  <si>
    <t>GOIÁS</t>
  </si>
  <si>
    <t>TABULAÇÃO - Toda produção de grãos</t>
  </si>
  <si>
    <t>(QUADRO COMPARATIVO da Produção, Área Plantada, Rendimento Médio, Variação e Ranking Nacional)</t>
  </si>
  <si>
    <r>
      <rPr>
        <vertAlign val="superscript"/>
        <sz val="7"/>
        <rFont val="Arial"/>
        <family val="2"/>
      </rPr>
      <t>*</t>
    </r>
    <r>
      <rPr>
        <sz val="7"/>
        <rFont val="Arial"/>
        <family val="2"/>
      </rPr>
      <t xml:space="preserve"> Algodão (caroço), amendoim, arroz, aveia, centeio, cevada, feijão, girassol, mamona, milho, soja, sorgo, trigo e triticale.</t>
    </r>
  </si>
  <si>
    <r>
      <t xml:space="preserve">Produtos: Cereais, leguminosas e oleaginosas </t>
    </r>
    <r>
      <rPr>
        <b/>
        <i/>
        <vertAlign val="superscript"/>
        <sz val="11"/>
        <rFont val="Arial"/>
        <family val="2"/>
      </rPr>
      <t>*</t>
    </r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</si>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</sst>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\ &quot;º&quot;"/>
    <numFmt numFmtId="166" formatCode="0.0"/>
    <numFmt numFmtId="167" formatCode="&quot;Data / hora: &quot;d/m/yyyy\ &quot;-&quot;\ hh&quot;h&quot;mm&quot;min&quot;"/>
  </numFmts>
  <fonts count="31" x14ac:knownFonts="1">
    <font>
      <sz val="10"/>
      <name val="Arial"/>
    </font>
    <font>
      <b/>
      <i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sz val="10"/>
      <name val="Verdana"/>
      <family val="2"/>
    </font>
    <font>
      <b/>
      <i/>
      <sz val="8"/>
      <name val="Arial"/>
      <family val="2"/>
    </font>
    <font>
      <b/>
      <sz val="10"/>
      <color rgb="FF5E98C4"/>
      <name val="Arial"/>
      <family val="2"/>
    </font>
    <font>
      <b/>
      <sz val="10"/>
      <color rgb="FFFF0000"/>
      <name val="Arial"/>
      <family val="2"/>
    </font>
    <font>
      <sz val="10"/>
      <color rgb="FF008000"/>
      <name val="Arial"/>
      <family val="2"/>
    </font>
    <font>
      <b/>
      <i/>
      <sz val="10"/>
      <color rgb="FF008000"/>
      <name val="Arial"/>
      <family val="2"/>
    </font>
    <font>
      <b/>
      <i/>
      <sz val="10"/>
      <color rgb="FF5E98C4"/>
      <name val="Arial"/>
      <family val="2"/>
    </font>
    <font>
      <b/>
      <i/>
      <sz val="10"/>
      <color rgb="FFFF0000"/>
      <name val="Arial"/>
      <family val="2"/>
    </font>
    <font>
      <b/>
      <i/>
      <sz val="10"/>
      <color theme="4" tint="-0.249977111117893"/>
      <name val="Arial"/>
      <family val="2"/>
    </font>
    <font>
      <b/>
      <sz val="10"/>
      <color rgb="FFFFFF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1"/>
      <color rgb="FFFFFFFF"/>
      <name val="Arial"/>
      <family val="2"/>
    </font>
    <font>
      <b/>
      <i/>
      <sz val="11"/>
      <color rgb="FFFFFFFF"/>
      <name val="Arial"/>
      <family val="2"/>
    </font>
    <font>
      <b/>
      <sz val="12"/>
      <color rgb="FFFFFFFF"/>
      <name val="Arial"/>
      <family val="2"/>
    </font>
    <font>
      <b/>
      <i/>
      <sz val="10"/>
      <color rgb="FFFFFFFF"/>
      <name val="Arial"/>
      <family val="2"/>
    </font>
    <font>
      <b/>
      <sz val="10"/>
      <color rgb="FF00008B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i/>
      <vertAlign val="superscript"/>
      <sz val="11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0"/>
      <color rgb="FF00000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2F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F3F8"/>
        <bgColor indexed="64"/>
      </patternFill>
    </fill>
    <fill>
      <patternFill patternType="solid">
        <fgColor rgb="FF5E98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C4DAF2"/>
        <bgColor indexed="64"/>
      </patternFill>
    </fill>
  </fills>
  <borders count="46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rgb="FF5E98C4"/>
      </left>
      <right style="thin">
        <color rgb="FF5E98C4"/>
      </right>
      <top style="thin">
        <color rgb="FF5E98C4"/>
      </top>
      <bottom style="thin">
        <color rgb="FF5E98C4"/>
      </bottom>
      <diagonal/>
    </border>
    <border>
      <left/>
      <right/>
      <top style="thin">
        <color rgb="FF5E98C4"/>
      </top>
      <bottom style="thin">
        <color rgb="FF5E98C4"/>
      </bottom>
      <diagonal/>
    </border>
    <border>
      <left/>
      <right/>
      <top style="thin">
        <color rgb="FF5E98C4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hair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rgb="FF5E98C4"/>
      </left>
      <right/>
      <top style="thin">
        <color rgb="FF5E98C4"/>
      </top>
      <bottom style="thin">
        <color rgb="FF5E98C4"/>
      </bottom>
      <diagonal/>
    </border>
    <border>
      <left/>
      <right style="thin">
        <color rgb="FF5E98C4"/>
      </right>
      <top style="thin">
        <color rgb="FF5E98C4"/>
      </top>
      <bottom style="thin">
        <color rgb="FF5E98C4"/>
      </bottom>
      <diagonal/>
    </border>
    <border>
      <left style="thin">
        <color theme="8" tint="-0.24994659260841701"/>
      </left>
      <right style="hair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hair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hair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hair">
        <color theme="8" tint="-0.24994659260841701"/>
      </bottom>
      <diagonal/>
    </border>
    <border>
      <left style="thick">
        <color theme="9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rgb="FF5E98C4"/>
      </left>
      <right style="thin">
        <color rgb="FF5E98C4"/>
      </right>
      <top style="thin">
        <color rgb="FF5E98C4"/>
      </top>
      <bottom/>
      <diagonal/>
    </border>
    <border>
      <left style="thin">
        <color rgb="FF5E98C4"/>
      </left>
      <right style="thin">
        <color rgb="FF5E98C4"/>
      </right>
      <top/>
      <bottom/>
      <diagonal/>
    </border>
    <border>
      <left style="thin">
        <color rgb="FF5E98C4"/>
      </left>
      <right style="thin">
        <color rgb="FF5E98C4"/>
      </right>
      <top/>
      <bottom style="thin">
        <color rgb="FF5E98C4"/>
      </bottom>
      <diagonal/>
    </border>
    <border>
      <left/>
      <right style="thin">
        <color rgb="FF5E98C4"/>
      </right>
      <top style="thin">
        <color rgb="FF5E98C4"/>
      </top>
      <bottom/>
      <diagonal/>
    </border>
    <border>
      <left style="thin">
        <color rgb="FF5E98C4"/>
      </left>
      <right/>
      <top/>
      <bottom style="thin">
        <color rgb="FF5E98C4"/>
      </bottom>
      <diagonal/>
    </border>
    <border>
      <left/>
      <right/>
      <top/>
      <bottom style="thin">
        <color rgb="FF5E98C4"/>
      </bottom>
      <diagonal/>
    </border>
    <border>
      <left style="thin">
        <color rgb="FF5E98C4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rgb="FF5E98C4"/>
      </left>
      <right/>
      <top style="thin">
        <color rgb="FF5E98C4"/>
      </top>
      <bottom/>
      <diagonal/>
    </border>
    <border>
      <left/>
      <right style="thin">
        <color rgb="FF5E98C4"/>
      </right>
      <top/>
      <bottom style="thin">
        <color rgb="FF5E98C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0" fillId="0" borderId="0" xfId="0" applyAlignment="1"/>
    <xf numFmtId="3" fontId="4" fillId="4" borderId="3" xfId="0" applyNumberFormat="1" applyFont="1" applyFill="1" applyBorder="1" applyAlignment="1">
      <alignment horizontal="center" wrapText="1"/>
    </xf>
    <xf numFmtId="0" fontId="0" fillId="0" borderId="0" xfId="0" applyProtection="1"/>
    <xf numFmtId="0" fontId="5" fillId="0" borderId="0" xfId="0" applyFont="1" applyProtection="1"/>
    <xf numFmtId="0" fontId="10" fillId="5" borderId="3" xfId="0" applyFont="1" applyFill="1" applyBorder="1" applyAlignment="1" applyProtection="1">
      <alignment horizontal="center" vertical="center" wrapText="1"/>
    </xf>
    <xf numFmtId="3" fontId="4" fillId="4" borderId="3" xfId="0" applyNumberFormat="1" applyFont="1" applyFill="1" applyBorder="1" applyAlignment="1" applyProtection="1">
      <alignment horizontal="right" wrapText="1"/>
    </xf>
    <xf numFmtId="0" fontId="4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6" fillId="0" borderId="0" xfId="0" applyFont="1" applyProtection="1"/>
    <xf numFmtId="0" fontId="4" fillId="4" borderId="3" xfId="0" applyFont="1" applyFill="1" applyBorder="1" applyAlignment="1" applyProtection="1">
      <alignment wrapText="1"/>
    </xf>
    <xf numFmtId="165" fontId="0" fillId="4" borderId="3" xfId="0" applyNumberFormat="1" applyFill="1" applyBorder="1" applyAlignment="1" applyProtection="1">
      <alignment horizontal="center" wrapText="1"/>
    </xf>
    <xf numFmtId="0" fontId="4" fillId="4" borderId="3" xfId="0" applyFont="1" applyFill="1" applyBorder="1" applyAlignment="1" applyProtection="1">
      <alignment horizontal="left" wrapText="1" indent="2"/>
    </xf>
    <xf numFmtId="0" fontId="0" fillId="0" borderId="0" xfId="0" applyAlignment="1" applyProtection="1">
      <alignment horizontal="center"/>
    </xf>
    <xf numFmtId="0" fontId="5" fillId="4" borderId="3" xfId="0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horizontal="right" wrapText="1"/>
    </xf>
    <xf numFmtId="166" fontId="12" fillId="4" borderId="3" xfId="0" applyNumberFormat="1" applyFont="1" applyFill="1" applyBorder="1" applyAlignment="1" applyProtection="1">
      <alignment horizontal="right" wrapText="1"/>
    </xf>
    <xf numFmtId="166" fontId="13" fillId="4" borderId="3" xfId="0" applyNumberFormat="1" applyFont="1" applyFill="1" applyBorder="1" applyAlignment="1" applyProtection="1">
      <alignment horizontal="right" wrapText="1"/>
    </xf>
    <xf numFmtId="166" fontId="0" fillId="0" borderId="0" xfId="0" applyNumberFormat="1" applyProtection="1"/>
    <xf numFmtId="166" fontId="4" fillId="0" borderId="0" xfId="0" applyNumberFormat="1" applyFont="1" applyProtection="1"/>
    <xf numFmtId="165" fontId="0" fillId="4" borderId="0" xfId="0" applyNumberFormat="1" applyFill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wrapText="1"/>
    </xf>
    <xf numFmtId="3" fontId="5" fillId="4" borderId="0" xfId="0" applyNumberFormat="1" applyFont="1" applyFill="1" applyBorder="1" applyAlignment="1" applyProtection="1">
      <alignment horizontal="right" wrapText="1"/>
    </xf>
    <xf numFmtId="0" fontId="5" fillId="4" borderId="5" xfId="0" applyFont="1" applyFill="1" applyBorder="1" applyAlignment="1" applyProtection="1">
      <alignment wrapText="1"/>
    </xf>
    <xf numFmtId="166" fontId="13" fillId="4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3" fillId="4" borderId="3" xfId="0" applyFont="1" applyFill="1" applyBorder="1" applyAlignment="1">
      <alignment horizontal="left" vertical="center"/>
    </xf>
    <xf numFmtId="3" fontId="4" fillId="4" borderId="3" xfId="0" applyNumberFormat="1" applyFont="1" applyFill="1" applyBorder="1" applyAlignment="1">
      <alignment horizontal="right"/>
    </xf>
    <xf numFmtId="3" fontId="0" fillId="0" borderId="0" xfId="0" applyNumberFormat="1"/>
    <xf numFmtId="0" fontId="3" fillId="4" borderId="3" xfId="0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vertical="center"/>
    </xf>
    <xf numFmtId="166" fontId="3" fillId="2" borderId="7" xfId="0" applyNumberFormat="1" applyFont="1" applyFill="1" applyBorder="1" applyAlignment="1">
      <alignment vertical="center"/>
    </xf>
    <xf numFmtId="3" fontId="4" fillId="4" borderId="3" xfId="0" applyNumberFormat="1" applyFont="1" applyFill="1" applyBorder="1" applyAlignment="1">
      <alignment horizontal="center"/>
    </xf>
    <xf numFmtId="0" fontId="14" fillId="5" borderId="8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4" fillId="5" borderId="8" xfId="0" applyFont="1" applyFill="1" applyBorder="1" applyAlignment="1" applyProtection="1">
      <alignment horizontal="center" vertical="center" shrinkToFit="1"/>
    </xf>
    <xf numFmtId="0" fontId="5" fillId="0" borderId="0" xfId="0" applyFont="1" applyAlignment="1"/>
    <xf numFmtId="0" fontId="8" fillId="0" borderId="5" xfId="0" applyFont="1" applyBorder="1" applyAlignment="1"/>
    <xf numFmtId="0" fontId="0" fillId="0" borderId="0" xfId="0" applyAlignment="1">
      <alignment horizontal="left"/>
    </xf>
    <xf numFmtId="3" fontId="0" fillId="0" borderId="0" xfId="0" applyNumberFormat="1" applyAlignment="1"/>
    <xf numFmtId="3" fontId="0" fillId="0" borderId="3" xfId="0" applyNumberFormat="1" applyBorder="1" applyAlignment="1"/>
    <xf numFmtId="0" fontId="8" fillId="0" borderId="10" xfId="0" applyFont="1" applyBorder="1" applyAlignment="1"/>
    <xf numFmtId="0" fontId="15" fillId="0" borderId="0" xfId="0" applyFont="1" applyAlignment="1">
      <alignment horizontal="left" indent="1"/>
    </xf>
    <xf numFmtId="0" fontId="5" fillId="0" borderId="3" xfId="0" applyFont="1" applyBorder="1" applyAlignment="1">
      <alignment horizontal="right"/>
    </xf>
    <xf numFmtId="0" fontId="4" fillId="0" borderId="11" xfId="0" applyFont="1" applyBorder="1" applyAlignment="1"/>
    <xf numFmtId="164" fontId="3" fillId="2" borderId="6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0" fontId="3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14" fontId="0" fillId="0" borderId="0" xfId="0" applyNumberFormat="1" applyAlignment="1" applyProtection="1"/>
    <xf numFmtId="21" fontId="0" fillId="0" borderId="0" xfId="0" applyNumberFormat="1" applyAlignment="1" applyProtection="1"/>
    <xf numFmtId="0" fontId="11" fillId="7" borderId="10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17" fillId="9" borderId="10" xfId="0" applyFont="1" applyFill="1" applyBorder="1" applyAlignment="1">
      <alignment vertical="center"/>
    </xf>
    <xf numFmtId="0" fontId="17" fillId="9" borderId="4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0" fontId="3" fillId="8" borderId="4" xfId="0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0" fontId="19" fillId="0" borderId="0" xfId="0" applyFont="1"/>
    <xf numFmtId="0" fontId="2" fillId="0" borderId="0" xfId="0" applyFont="1" applyAlignment="1"/>
    <xf numFmtId="0" fontId="3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3" fontId="3" fillId="2" borderId="8" xfId="0" applyNumberFormat="1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6" fontId="3" fillId="2" borderId="8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right" vertical="center"/>
    </xf>
    <xf numFmtId="0" fontId="4" fillId="3" borderId="13" xfId="0" applyFont="1" applyFill="1" applyBorder="1" applyAlignment="1">
      <alignment horizontal="left" vertical="center"/>
    </xf>
    <xf numFmtId="3" fontId="4" fillId="3" borderId="13" xfId="0" applyNumberFormat="1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vertical="center"/>
    </xf>
    <xf numFmtId="164" fontId="4" fillId="3" borderId="13" xfId="0" applyNumberFormat="1" applyFont="1" applyFill="1" applyBorder="1" applyAlignment="1">
      <alignment vertical="center"/>
    </xf>
    <xf numFmtId="166" fontId="4" fillId="3" borderId="13" xfId="0" applyNumberFormat="1" applyFont="1" applyFill="1" applyBorder="1" applyAlignment="1">
      <alignment vertical="center"/>
    </xf>
    <xf numFmtId="0" fontId="3" fillId="0" borderId="14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3" fontId="4" fillId="2" borderId="14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6" fontId="4" fillId="0" borderId="14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right" vertical="center"/>
    </xf>
    <xf numFmtId="0" fontId="4" fillId="3" borderId="14" xfId="0" applyFont="1" applyFill="1" applyBorder="1" applyAlignment="1">
      <alignment horizontal="left" vertical="center"/>
    </xf>
    <xf numFmtId="3" fontId="4" fillId="3" borderId="14" xfId="0" applyNumberFormat="1" applyFont="1" applyFill="1" applyBorder="1" applyAlignment="1">
      <alignment horizontal="right" vertical="center"/>
    </xf>
    <xf numFmtId="3" fontId="4" fillId="3" borderId="14" xfId="0" applyNumberFormat="1" applyFont="1" applyFill="1" applyBorder="1" applyAlignment="1">
      <alignment vertical="center"/>
    </xf>
    <xf numFmtId="164" fontId="4" fillId="3" borderId="14" xfId="0" applyNumberFormat="1" applyFont="1" applyFill="1" applyBorder="1" applyAlignment="1">
      <alignment vertical="center"/>
    </xf>
    <xf numFmtId="166" fontId="4" fillId="3" borderId="14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left" vertical="center"/>
    </xf>
    <xf numFmtId="3" fontId="3" fillId="3" borderId="15" xfId="0" applyNumberFormat="1" applyFont="1" applyFill="1" applyBorder="1" applyAlignment="1">
      <alignment horizontal="right" vertical="center"/>
    </xf>
    <xf numFmtId="164" fontId="3" fillId="3" borderId="15" xfId="0" applyNumberFormat="1" applyFont="1" applyFill="1" applyBorder="1" applyAlignment="1">
      <alignment horizontal="right" vertical="center"/>
    </xf>
    <xf numFmtId="166" fontId="3" fillId="3" borderId="15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6" fontId="3" fillId="0" borderId="9" xfId="0" applyNumberFormat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left" vertical="center"/>
    </xf>
    <xf numFmtId="3" fontId="4" fillId="3" borderId="16" xfId="0" applyNumberFormat="1" applyFont="1" applyFill="1" applyBorder="1" applyAlignment="1">
      <alignment horizontal="right" vertical="center"/>
    </xf>
    <xf numFmtId="3" fontId="4" fillId="3" borderId="16" xfId="0" applyNumberFormat="1" applyFont="1" applyFill="1" applyBorder="1" applyAlignment="1">
      <alignment vertical="center"/>
    </xf>
    <xf numFmtId="164" fontId="4" fillId="3" borderId="16" xfId="0" applyNumberFormat="1" applyFont="1" applyFill="1" applyBorder="1" applyAlignment="1">
      <alignment vertical="center"/>
    </xf>
    <xf numFmtId="166" fontId="4" fillId="3" borderId="16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3" fontId="3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6" fontId="3" fillId="0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0" fontId="6" fillId="0" borderId="0" xfId="0" applyFont="1" applyBorder="1"/>
    <xf numFmtId="0" fontId="7" fillId="0" borderId="0" xfId="0" applyFont="1" applyBorder="1" applyAlignment="1"/>
    <xf numFmtId="0" fontId="0" fillId="0" borderId="17" xfId="0" applyFill="1" applyBorder="1" applyProtection="1">
      <protection hidden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0" xfId="0" applyFont="1"/>
    <xf numFmtId="3" fontId="11" fillId="10" borderId="3" xfId="0" applyNumberFormat="1" applyFont="1" applyFill="1" applyBorder="1" applyAlignment="1">
      <alignment horizontal="center" wrapText="1"/>
    </xf>
    <xf numFmtId="3" fontId="3" fillId="10" borderId="3" xfId="0" applyNumberFormat="1" applyFont="1" applyFill="1" applyBorder="1" applyAlignment="1">
      <alignment horizontal="center" wrapText="1"/>
    </xf>
    <xf numFmtId="165" fontId="4" fillId="4" borderId="3" xfId="0" applyNumberFormat="1" applyFont="1" applyFill="1" applyBorder="1" applyAlignment="1" applyProtection="1">
      <alignment horizontal="center" wrapText="1"/>
    </xf>
    <xf numFmtId="0" fontId="9" fillId="0" borderId="0" xfId="0" applyFont="1" applyAlignment="1" applyProtection="1">
      <alignment vertical="top"/>
    </xf>
    <xf numFmtId="0" fontId="0" fillId="0" borderId="0" xfId="0" applyAlignment="1" applyProtection="1"/>
    <xf numFmtId="0" fontId="4" fillId="4" borderId="3" xfId="0" applyFont="1" applyFill="1" applyBorder="1" applyAlignment="1" applyProtection="1">
      <alignment horizontal="left" indent="2"/>
    </xf>
    <xf numFmtId="0" fontId="4" fillId="4" borderId="3" xfId="0" applyFont="1" applyFill="1" applyBorder="1" applyAlignment="1" applyProtection="1"/>
    <xf numFmtId="3" fontId="4" fillId="6" borderId="3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center"/>
    </xf>
    <xf numFmtId="0" fontId="0" fillId="0" borderId="18" xfId="0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24" xfId="0" applyFill="1" applyBorder="1" applyProtection="1">
      <protection hidden="1"/>
    </xf>
    <xf numFmtId="0" fontId="0" fillId="0" borderId="22" xfId="0" applyFill="1" applyBorder="1" applyProtection="1">
      <protection hidden="1"/>
    </xf>
    <xf numFmtId="0" fontId="0" fillId="0" borderId="23" xfId="0" applyFill="1" applyBorder="1" applyProtection="1">
      <protection hidden="1"/>
    </xf>
    <xf numFmtId="0" fontId="4" fillId="11" borderId="13" xfId="0" applyFont="1" applyFill="1" applyBorder="1" applyAlignment="1">
      <alignment horizontal="left" vertical="center"/>
    </xf>
    <xf numFmtId="0" fontId="4" fillId="12" borderId="3" xfId="0" applyFont="1" applyFill="1" applyBorder="1" applyAlignment="1" applyProtection="1">
      <alignment wrapText="1"/>
    </xf>
    <xf numFmtId="3" fontId="4" fillId="12" borderId="3" xfId="0" applyNumberFormat="1" applyFont="1" applyFill="1" applyBorder="1" applyAlignment="1" applyProtection="1">
      <alignment horizontal="right" wrapText="1"/>
    </xf>
    <xf numFmtId="166" fontId="12" fillId="12" borderId="3" xfId="0" applyNumberFormat="1" applyFont="1" applyFill="1" applyBorder="1" applyAlignment="1" applyProtection="1">
      <alignment horizontal="right" wrapText="1"/>
    </xf>
    <xf numFmtId="165" fontId="0" fillId="12" borderId="3" xfId="0" applyNumberFormat="1" applyFill="1" applyBorder="1" applyAlignment="1" applyProtection="1">
      <alignment horizontal="center" wrapText="1"/>
    </xf>
    <xf numFmtId="0" fontId="4" fillId="12" borderId="3" xfId="0" applyFont="1" applyFill="1" applyBorder="1" applyAlignment="1" applyProtection="1">
      <alignment horizontal="left" indent="2"/>
    </xf>
    <xf numFmtId="166" fontId="12" fillId="12" borderId="3" xfId="0" applyNumberFormat="1" applyFont="1" applyFill="1" applyBorder="1" applyAlignment="1" applyProtection="1">
      <alignment horizontal="right"/>
    </xf>
    <xf numFmtId="165" fontId="0" fillId="12" borderId="3" xfId="0" applyNumberFormat="1" applyFill="1" applyBorder="1" applyAlignment="1" applyProtection="1">
      <alignment horizontal="center"/>
    </xf>
    <xf numFmtId="0" fontId="4" fillId="12" borderId="3" xfId="0" applyFont="1" applyFill="1" applyBorder="1" applyAlignment="1" applyProtection="1"/>
    <xf numFmtId="0" fontId="4" fillId="12" borderId="3" xfId="0" applyFont="1" applyFill="1" applyBorder="1" applyAlignment="1" applyProtection="1">
      <alignment horizontal="left" wrapText="1" indent="2"/>
    </xf>
    <xf numFmtId="3" fontId="4" fillId="12" borderId="3" xfId="0" applyNumberFormat="1" applyFont="1" applyFill="1" applyBorder="1" applyAlignment="1" applyProtection="1">
      <alignment horizontal="right"/>
    </xf>
    <xf numFmtId="0" fontId="3" fillId="8" borderId="25" xfId="0" applyFont="1" applyFill="1" applyBorder="1" applyAlignment="1">
      <alignment vertical="center"/>
    </xf>
    <xf numFmtId="0" fontId="3" fillId="8" borderId="26" xfId="0" applyFont="1" applyFill="1" applyBorder="1" applyAlignment="1">
      <alignment vertical="center"/>
    </xf>
    <xf numFmtId="4" fontId="4" fillId="4" borderId="3" xfId="0" applyNumberFormat="1" applyFont="1" applyFill="1" applyBorder="1" applyAlignment="1">
      <alignment horizontal="right" shrinkToFit="1"/>
    </xf>
    <xf numFmtId="0" fontId="15" fillId="0" borderId="0" xfId="0" applyFont="1" applyAlignment="1">
      <alignment horizontal="center"/>
    </xf>
    <xf numFmtId="4" fontId="3" fillId="4" borderId="3" xfId="0" applyNumberFormat="1" applyFont="1" applyFill="1" applyBorder="1" applyAlignment="1">
      <alignment horizontal="right" shrinkToFit="1"/>
    </xf>
    <xf numFmtId="0" fontId="15" fillId="0" borderId="0" xfId="0" applyFont="1" applyAlignment="1" applyProtection="1">
      <alignment horizontal="left" indent="1"/>
      <protection locked="0"/>
    </xf>
    <xf numFmtId="0" fontId="10" fillId="5" borderId="27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10" fillId="5" borderId="28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0" fontId="0" fillId="13" borderId="0" xfId="0" applyFill="1" applyProtection="1"/>
    <xf numFmtId="0" fontId="0" fillId="13" borderId="0" xfId="0" applyFill="1"/>
    <xf numFmtId="0" fontId="0" fillId="13" borderId="0" xfId="0" applyFill="1" applyAlignment="1">
      <alignment wrapText="1"/>
    </xf>
    <xf numFmtId="0" fontId="0" fillId="0" borderId="0" xfId="0" applyFill="1"/>
    <xf numFmtId="0" fontId="0" fillId="13" borderId="0" xfId="0" applyFill="1" applyBorder="1" applyProtection="1">
      <protection hidden="1"/>
    </xf>
    <xf numFmtId="0" fontId="5" fillId="13" borderId="0" xfId="0" applyFont="1" applyFill="1" applyProtection="1"/>
    <xf numFmtId="0" fontId="0" fillId="13" borderId="0" xfId="0" applyFill="1" applyAlignment="1" applyProtection="1">
      <alignment horizontal="center"/>
    </xf>
    <xf numFmtId="0" fontId="0" fillId="0" borderId="0" xfId="0" applyFill="1" applyProtection="1"/>
    <xf numFmtId="0" fontId="5" fillId="0" borderId="0" xfId="0" applyFont="1" applyFill="1" applyProtection="1"/>
    <xf numFmtId="0" fontId="3" fillId="4" borderId="4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8" borderId="25" xfId="0" applyFont="1" applyFill="1" applyBorder="1" applyAlignment="1"/>
    <xf numFmtId="0" fontId="11" fillId="0" borderId="0" xfId="0" applyFont="1" applyBorder="1" applyAlignment="1"/>
    <xf numFmtId="3" fontId="0" fillId="0" borderId="0" xfId="0" applyNumberFormat="1" applyBorder="1" applyAlignment="1"/>
    <xf numFmtId="0" fontId="10" fillId="5" borderId="3" xfId="0" applyFont="1" applyFill="1" applyBorder="1" applyAlignment="1" applyProtection="1">
      <alignment horizontal="center" vertical="center"/>
    </xf>
    <xf numFmtId="3" fontId="4" fillId="4" borderId="3" xfId="0" applyNumberFormat="1" applyFont="1" applyFill="1" applyBorder="1" applyAlignment="1" applyProtection="1">
      <alignment horizontal="right"/>
    </xf>
    <xf numFmtId="0" fontId="4" fillId="12" borderId="3" xfId="0" applyFont="1" applyFill="1" applyBorder="1" applyAlignment="1" applyProtection="1">
      <alignment horizontal="left"/>
    </xf>
    <xf numFmtId="0" fontId="4" fillId="4" borderId="3" xfId="0" applyFont="1" applyFill="1" applyBorder="1" applyAlignment="1" applyProtection="1">
      <alignment horizontal="left"/>
    </xf>
    <xf numFmtId="0" fontId="5" fillId="4" borderId="3" xfId="0" applyFont="1" applyFill="1" applyBorder="1" applyAlignment="1" applyProtection="1"/>
    <xf numFmtId="3" fontId="5" fillId="4" borderId="3" xfId="0" applyNumberFormat="1" applyFont="1" applyFill="1" applyBorder="1" applyAlignment="1" applyProtection="1">
      <alignment horizontal="right"/>
    </xf>
    <xf numFmtId="0" fontId="6" fillId="0" borderId="0" xfId="0" applyFont="1" applyAlignment="1" applyProtection="1"/>
    <xf numFmtId="0" fontId="5" fillId="0" borderId="0" xfId="0" applyFont="1" applyAlignment="1" applyProtection="1"/>
    <xf numFmtId="0" fontId="11" fillId="0" borderId="0" xfId="0" applyFont="1" applyAlignment="1" applyProtection="1">
      <alignment horizontal="center"/>
    </xf>
    <xf numFmtId="0" fontId="11" fillId="0" borderId="29" xfId="0" applyFont="1" applyBorder="1" applyAlignment="1"/>
    <xf numFmtId="0" fontId="3" fillId="8" borderId="25" xfId="0" applyFont="1" applyFill="1" applyBorder="1" applyAlignment="1">
      <alignment horizont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25" fillId="0" borderId="0" xfId="0" applyFont="1" applyBorder="1" applyAlignment="1">
      <alignment vertical="top"/>
    </xf>
    <xf numFmtId="0" fontId="6" fillId="0" borderId="0" xfId="0" applyFont="1" applyBorder="1" applyAlignment="1"/>
    <xf numFmtId="3" fontId="0" fillId="0" borderId="0" xfId="0" applyNumberFormat="1" applyAlignment="1">
      <alignment shrinkToFit="1"/>
    </xf>
    <xf numFmtId="0" fontId="10" fillId="5" borderId="10" xfId="0" applyFont="1" applyFill="1" applyBorder="1" applyAlignment="1" applyProtection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</xf>
    <xf numFmtId="0" fontId="21" fillId="9" borderId="30" xfId="0" applyFont="1" applyFill="1" applyBorder="1" applyAlignment="1" applyProtection="1">
      <alignment horizontal="center" vertical="center"/>
    </xf>
    <xf numFmtId="0" fontId="10" fillId="5" borderId="25" xfId="0" applyFont="1" applyFill="1" applyBorder="1" applyAlignment="1" applyProtection="1">
      <alignment horizontal="center" vertical="center"/>
    </xf>
    <xf numFmtId="0" fontId="10" fillId="5" borderId="27" xfId="0" applyFont="1" applyFill="1" applyBorder="1" applyAlignment="1" applyProtection="1">
      <alignment horizontal="center" vertical="center"/>
    </xf>
    <xf numFmtId="0" fontId="21" fillId="9" borderId="29" xfId="0" applyFont="1" applyFill="1" applyBorder="1" applyAlignment="1" applyProtection="1">
      <alignment horizontal="center" vertical="center"/>
    </xf>
    <xf numFmtId="167" fontId="1" fillId="0" borderId="30" xfId="0" applyNumberFormat="1" applyFont="1" applyBorder="1" applyAlignment="1">
      <alignment horizontal="right"/>
    </xf>
    <xf numFmtId="0" fontId="10" fillId="5" borderId="25" xfId="0" applyFont="1" applyFill="1" applyBorder="1" applyAlignment="1" applyProtection="1">
      <alignment horizontal="center" vertical="center" wrapText="1"/>
    </xf>
    <xf numFmtId="0" fontId="10" fillId="5" borderId="27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 applyProtection="1">
      <alignment horizontal="center" vertical="center" wrapText="1"/>
    </xf>
    <xf numFmtId="0" fontId="22" fillId="9" borderId="10" xfId="0" applyFont="1" applyFill="1" applyBorder="1" applyAlignment="1" applyProtection="1">
      <alignment horizontal="center" vertical="center" wrapText="1"/>
    </xf>
    <xf numFmtId="0" fontId="22" fillId="9" borderId="4" xfId="0" applyFont="1" applyFill="1" applyBorder="1" applyAlignment="1" applyProtection="1">
      <alignment horizontal="center" vertical="center" wrapText="1"/>
    </xf>
    <xf numFmtId="0" fontId="22" fillId="9" borderId="11" xfId="0" applyFont="1" applyFill="1" applyBorder="1" applyAlignment="1" applyProtection="1">
      <alignment horizontal="center" vertical="center" wrapText="1"/>
    </xf>
    <xf numFmtId="0" fontId="17" fillId="9" borderId="10" xfId="0" applyFont="1" applyFill="1" applyBorder="1" applyAlignment="1" applyProtection="1">
      <alignment horizontal="center" vertical="center" wrapText="1"/>
    </xf>
    <xf numFmtId="0" fontId="17" fillId="9" borderId="4" xfId="0" applyFont="1" applyFill="1" applyBorder="1" applyAlignment="1" applyProtection="1">
      <alignment horizontal="center" vertical="center" wrapText="1"/>
    </xf>
    <xf numFmtId="0" fontId="17" fillId="9" borderId="11" xfId="0" applyFont="1" applyFill="1" applyBorder="1" applyAlignment="1" applyProtection="1">
      <alignment horizontal="center" vertical="center" wrapText="1"/>
    </xf>
    <xf numFmtId="0" fontId="21" fillId="9" borderId="29" xfId="0" applyFont="1" applyFill="1" applyBorder="1" applyAlignment="1" applyProtection="1">
      <alignment horizontal="center" vertical="center" wrapText="1"/>
    </xf>
    <xf numFmtId="0" fontId="21" fillId="9" borderId="30" xfId="0" applyFont="1" applyFill="1" applyBorder="1" applyAlignment="1" applyProtection="1">
      <alignment horizontal="center" vertical="center" wrapText="1"/>
    </xf>
    <xf numFmtId="0" fontId="21" fillId="9" borderId="29" xfId="0" applyFont="1" applyFill="1" applyBorder="1" applyAlignment="1" applyProtection="1">
      <alignment horizontal="center" vertical="center" shrinkToFit="1"/>
    </xf>
    <xf numFmtId="0" fontId="21" fillId="9" borderId="30" xfId="0" applyFont="1" applyFill="1" applyBorder="1" applyAlignment="1" applyProtection="1">
      <alignment horizontal="center" vertical="center" shrinkToFit="1"/>
    </xf>
    <xf numFmtId="0" fontId="20" fillId="9" borderId="10" xfId="0" applyFont="1" applyFill="1" applyBorder="1" applyAlignment="1" applyProtection="1">
      <alignment horizontal="center"/>
    </xf>
    <xf numFmtId="0" fontId="20" fillId="9" borderId="4" xfId="0" applyFont="1" applyFill="1" applyBorder="1" applyAlignment="1" applyProtection="1">
      <alignment horizontal="center"/>
    </xf>
    <xf numFmtId="0" fontId="20" fillId="9" borderId="11" xfId="0" applyFont="1" applyFill="1" applyBorder="1" applyAlignment="1" applyProtection="1">
      <alignment horizontal="center"/>
    </xf>
    <xf numFmtId="167" fontId="1" fillId="0" borderId="0" xfId="0" applyNumberFormat="1" applyFont="1" applyBorder="1" applyAlignment="1">
      <alignment horizontal="right"/>
    </xf>
    <xf numFmtId="0" fontId="21" fillId="9" borderId="31" xfId="0" applyFont="1" applyFill="1" applyBorder="1" applyAlignment="1" applyProtection="1">
      <alignment horizontal="center" vertical="center"/>
    </xf>
    <xf numFmtId="0" fontId="21" fillId="9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/>
    </xf>
    <xf numFmtId="0" fontId="23" fillId="9" borderId="31" xfId="0" applyFont="1" applyFill="1" applyBorder="1" applyAlignment="1" applyProtection="1">
      <alignment horizontal="center" vertical="center"/>
    </xf>
    <xf numFmtId="0" fontId="23" fillId="9" borderId="0" xfId="0" applyFont="1" applyFill="1" applyBorder="1" applyAlignment="1" applyProtection="1">
      <alignment horizontal="center" vertical="center"/>
    </xf>
    <xf numFmtId="0" fontId="14" fillId="5" borderId="32" xfId="0" applyFont="1" applyFill="1" applyBorder="1" applyAlignment="1" applyProtection="1">
      <alignment horizontal="center" vertical="center"/>
    </xf>
    <xf numFmtId="0" fontId="14" fillId="5" borderId="33" xfId="0" applyFont="1" applyFill="1" applyBorder="1" applyAlignment="1" applyProtection="1">
      <alignment horizontal="center" vertical="center"/>
    </xf>
    <xf numFmtId="0" fontId="14" fillId="5" borderId="34" xfId="0" applyFont="1" applyFill="1" applyBorder="1" applyAlignment="1" applyProtection="1">
      <alignment horizontal="center" vertical="center"/>
    </xf>
    <xf numFmtId="0" fontId="11" fillId="0" borderId="29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0" borderId="0" xfId="0" applyFont="1" applyAlignment="1">
      <alignment horizontal="left" vertical="center" indent="25"/>
    </xf>
    <xf numFmtId="0" fontId="3" fillId="6" borderId="28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center" vertical="center" wrapText="1"/>
    </xf>
    <xf numFmtId="0" fontId="18" fillId="7" borderId="3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0" fillId="0" borderId="27" xfId="0" applyBorder="1" applyAlignment="1">
      <alignment wrapText="1"/>
    </xf>
    <xf numFmtId="0" fontId="5" fillId="0" borderId="0" xfId="0" applyFont="1" applyAlignment="1">
      <alignment horizontal="right"/>
    </xf>
    <xf numFmtId="3" fontId="28" fillId="4" borderId="37" xfId="0" applyNumberFormat="1" applyFont="1" applyFill="1" applyBorder="1" applyAlignment="1">
      <alignment horizontal="right" vertical="center" wrapText="1"/>
    </xf>
    <xf numFmtId="0" fontId="28" fillId="4" borderId="37" xfId="0" applyFont="1" applyFill="1" applyBorder="1" applyAlignment="1">
      <alignment horizontal="right" vertical="center" wrapText="1"/>
    </xf>
    <xf numFmtId="0" fontId="29" fillId="4" borderId="38" xfId="0" applyFont="1" applyFill="1" applyBorder="1" applyAlignment="1">
      <alignment horizontal="left" vertical="center" wrapText="1"/>
    </xf>
    <xf numFmtId="3" fontId="28" fillId="4" borderId="39" xfId="0" applyNumberFormat="1" applyFont="1" applyFill="1" applyBorder="1" applyAlignment="1">
      <alignment horizontal="right" vertical="center" wrapText="1"/>
    </xf>
    <xf numFmtId="0" fontId="28" fillId="4" borderId="39" xfId="0" applyFont="1" applyFill="1" applyBorder="1" applyAlignment="1">
      <alignment horizontal="right" vertical="center" wrapText="1"/>
    </xf>
    <xf numFmtId="0" fontId="28" fillId="4" borderId="40" xfId="0" applyFont="1" applyFill="1" applyBorder="1" applyAlignment="1">
      <alignment horizontal="right" vertical="center" wrapText="1"/>
    </xf>
    <xf numFmtId="0" fontId="29" fillId="4" borderId="41" xfId="0" applyFont="1" applyFill="1" applyBorder="1" applyAlignment="1">
      <alignment horizontal="left" vertical="center" wrapText="1"/>
    </xf>
    <xf numFmtId="0" fontId="28" fillId="4" borderId="42" xfId="0" applyFont="1" applyFill="1" applyBorder="1" applyAlignment="1">
      <alignment horizontal="right" vertical="center" wrapText="1"/>
    </xf>
    <xf numFmtId="3" fontId="28" fillId="4" borderId="42" xfId="0" applyNumberFormat="1" applyFont="1" applyFill="1" applyBorder="1" applyAlignment="1">
      <alignment horizontal="right" vertical="center" wrapText="1"/>
    </xf>
    <xf numFmtId="0" fontId="29" fillId="4" borderId="43" xfId="0" applyFont="1" applyFill="1" applyBorder="1" applyAlignment="1">
      <alignment horizontal="left" vertical="center" wrapText="1"/>
    </xf>
    <xf numFmtId="3" fontId="28" fillId="4" borderId="44" xfId="0" applyNumberFormat="1" applyFont="1" applyFill="1" applyBorder="1" applyAlignment="1">
      <alignment horizontal="right" vertical="center" wrapText="1"/>
    </xf>
    <xf numFmtId="0" fontId="28" fillId="4" borderId="44" xfId="0" applyFont="1" applyFill="1" applyBorder="1" applyAlignment="1">
      <alignment horizontal="right" vertical="center" wrapText="1"/>
    </xf>
    <xf numFmtId="3" fontId="28" fillId="4" borderId="45" xfId="0" applyNumberFormat="1" applyFont="1" applyFill="1" applyBorder="1" applyAlignment="1">
      <alignment horizontal="right" vertical="center" wrapText="1"/>
    </xf>
    <xf numFmtId="0" fontId="30" fillId="0" borderId="0" xfId="0" applyFont="1"/>
    <xf numFmtId="0" fontId="28" fillId="4" borderId="45" xfId="0" applyFont="1" applyFill="1" applyBorder="1" applyAlignment="1">
      <alignment horizontal="right" vertical="center" wrapText="1"/>
    </xf>
  </cellXfs>
  <cellStyles count="1">
    <cellStyle name="Normal" xfId="0" builtinId="0"/>
  </cellStyles>
  <dxfs count="179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  <name val="Cambria"/>
        <scheme val="none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D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4DA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'P&#225;g_2_Previs&#227;o_U F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5.jpeg"/><Relationship Id="rId1" Type="http://schemas.openxmlformats.org/officeDocument/2006/relationships/hyperlink" Target="#P&#225;g_1_Previsao_GO!A1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2</xdr:row>
      <xdr:rowOff>57150</xdr:rowOff>
    </xdr:from>
    <xdr:to>
      <xdr:col>19</xdr:col>
      <xdr:colOff>428625</xdr:colOff>
      <xdr:row>32</xdr:row>
      <xdr:rowOff>47625</xdr:rowOff>
    </xdr:to>
    <xdr:grpSp>
      <xdr:nvGrpSpPr>
        <xdr:cNvPr id="1808447" name="Grupo 7"/>
        <xdr:cNvGrpSpPr>
          <a:grpSpLocks/>
        </xdr:cNvGrpSpPr>
      </xdr:nvGrpSpPr>
      <xdr:grpSpPr bwMode="auto">
        <a:xfrm>
          <a:off x="11477625" y="352425"/>
          <a:ext cx="1600200" cy="5114925"/>
          <a:chOff x="10515600" y="457200"/>
          <a:chExt cx="1600200" cy="4953000"/>
        </a:xfrm>
      </xdr:grpSpPr>
      <xdr:sp macro="" textlink="">
        <xdr:nvSpPr>
          <xdr:cNvPr id="5" name="Rectangle 10"/>
          <xdr:cNvSpPr>
            <a:spLocks noChangeArrowheads="1"/>
          </xdr:cNvSpPr>
        </xdr:nvSpPr>
        <xdr:spPr bwMode="auto">
          <a:xfrm>
            <a:off x="10515600" y="2019300"/>
            <a:ext cx="1590675" cy="1143000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INFORMAÇÕES:</a:t>
            </a:r>
          </a:p>
          <a:p>
            <a:pPr algn="l" rtl="0">
              <a:defRPr sz="1000"/>
            </a:pPr>
            <a:endParaRPr lang="pt-BR" sz="10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Aqui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você  tem a </a:t>
            </a:r>
            <a:r>
              <a:rPr lang="pt-BR" sz="1000" b="1" i="1" strike="noStrike" baseline="0">
                <a:solidFill>
                  <a:srgbClr val="0000FF"/>
                </a:solidFill>
                <a:latin typeface="Arial"/>
                <a:cs typeface="Arial"/>
              </a:rPr>
              <a:t>produção de grãos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dos principais produtos produzidos em Goiás.</a:t>
            </a:r>
          </a:p>
          <a:p>
            <a:pPr algn="l" rtl="0">
              <a:defRPr sz="1000"/>
            </a:pPr>
            <a:endParaRPr lang="pt-BR" sz="10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Rectangle 10"/>
          <xdr:cNvSpPr>
            <a:spLocks noChangeArrowheads="1"/>
          </xdr:cNvSpPr>
        </xdr:nvSpPr>
        <xdr:spPr bwMode="auto">
          <a:xfrm>
            <a:off x="10525125" y="3238500"/>
            <a:ext cx="1590675" cy="2171700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ATUALIZAÇÃO: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Mensalmente,</a:t>
            </a: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depois de disponibilizados pelo IBGE</a:t>
            </a:r>
          </a:p>
          <a:p>
            <a:pPr algn="l" rtl="0">
              <a:defRPr sz="1000"/>
            </a:pPr>
            <a:endParaRPr lang="pt-BR" sz="11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Dúvidas</a:t>
            </a: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, s</a:t>
            </a: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ugestões ou outras informações: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SED/Agricultura</a:t>
            </a: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(62) 3201-8922</a:t>
            </a:r>
          </a:p>
        </xdr:txBody>
      </xdr:sp>
      <xdr:sp macro="" textlink="">
        <xdr:nvSpPr>
          <xdr:cNvPr id="7" name="Rectangle 10">
            <a:hlinkClick xmlns:r="http://schemas.openxmlformats.org/officeDocument/2006/relationships" r:id="rId1"/>
          </xdr:cNvPr>
          <xdr:cNvSpPr>
            <a:spLocks noChangeArrowheads="1"/>
          </xdr:cNvSpPr>
        </xdr:nvSpPr>
        <xdr:spPr bwMode="auto">
          <a:xfrm>
            <a:off x="10525125" y="457200"/>
            <a:ext cx="1590675" cy="676275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IR PARA PLANILHA:</a:t>
            </a:r>
          </a:p>
          <a:p>
            <a:pPr algn="l" rtl="0">
              <a:defRPr sz="1000"/>
            </a:pPr>
            <a:endParaRPr lang="pt-BR" sz="10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Previsão de safra por Unidade da Federação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 fPrintsWithSheet="0"/>
  </xdr:twoCellAnchor>
  <xdr:twoCellAnchor editAs="oneCell">
    <xdr:from>
      <xdr:col>18</xdr:col>
      <xdr:colOff>66675</xdr:colOff>
      <xdr:row>7</xdr:row>
      <xdr:rowOff>123826</xdr:rowOff>
    </xdr:from>
    <xdr:to>
      <xdr:col>18</xdr:col>
      <xdr:colOff>638175</xdr:colOff>
      <xdr:row>10</xdr:row>
      <xdr:rowOff>57151</xdr:rowOff>
    </xdr:to>
    <xdr:pic>
      <xdr:nvPicPr>
        <xdr:cNvPr id="1808449" name="Imagem 9" descr="http://www.pousadapordosol.tur.br/images/k11669354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80000">
          <a:off x="12096750" y="1228726"/>
          <a:ext cx="571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161925</xdr:colOff>
      <xdr:row>1</xdr:row>
      <xdr:rowOff>114300</xdr:rowOff>
    </xdr:from>
    <xdr:to>
      <xdr:col>14</xdr:col>
      <xdr:colOff>549275</xdr:colOff>
      <xdr:row>6</xdr:row>
      <xdr:rowOff>1270</xdr:rowOff>
    </xdr:to>
    <xdr:grpSp>
      <xdr:nvGrpSpPr>
        <xdr:cNvPr id="2" name="Grupo 1"/>
        <xdr:cNvGrpSpPr/>
      </xdr:nvGrpSpPr>
      <xdr:grpSpPr>
        <a:xfrm>
          <a:off x="666750" y="285750"/>
          <a:ext cx="10321925" cy="658495"/>
          <a:chOff x="666750" y="285750"/>
          <a:chExt cx="10321925" cy="658495"/>
        </a:xfrm>
      </xdr:grpSpPr>
      <xdr:grpSp>
        <xdr:nvGrpSpPr>
          <xdr:cNvPr id="1808448" name="Grupo 1"/>
          <xdr:cNvGrpSpPr>
            <a:grpSpLocks/>
          </xdr:cNvGrpSpPr>
        </xdr:nvGrpSpPr>
        <xdr:grpSpPr bwMode="auto">
          <a:xfrm>
            <a:off x="666750" y="438150"/>
            <a:ext cx="5819814" cy="447675"/>
            <a:chOff x="-57151" y="333375"/>
            <a:chExt cx="5819815" cy="444559"/>
          </a:xfrm>
        </xdr:grpSpPr>
        <xdr:pic>
          <xdr:nvPicPr>
            <xdr:cNvPr id="1808451" name="Imagem 11" descr="papel timbrado S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1043" t="89751" r="3915" b="4578"/>
            <a:stretch>
              <a:fillRect/>
            </a:stretch>
          </xdr:blipFill>
          <xdr:spPr bwMode="auto">
            <a:xfrm>
              <a:off x="-57151" y="333375"/>
              <a:ext cx="1381125" cy="4438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08452" name="Imagem 12" descr="papel timbrado S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794" t="3192" r="65305" b="89127"/>
            <a:stretch>
              <a:fillRect/>
            </a:stretch>
          </xdr:blipFill>
          <xdr:spPr bwMode="auto">
            <a:xfrm>
              <a:off x="4387728" y="335134"/>
              <a:ext cx="1374936" cy="442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2" name="Imagem 11"/>
          <xdr:cNvPicPr/>
        </xdr:nvPicPr>
        <xdr:blipFill rotWithShape="1">
          <a:blip xmlns:r="http://schemas.openxmlformats.org/officeDocument/2006/relationships" r:embed="rId5"/>
          <a:srcRect l="71913" t="39046" r="2306" b="37509"/>
          <a:stretch/>
        </xdr:blipFill>
        <xdr:spPr bwMode="auto">
          <a:xfrm>
            <a:off x="9829800" y="285750"/>
            <a:ext cx="1158875" cy="65849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2</xdr:row>
      <xdr:rowOff>0</xdr:rowOff>
    </xdr:from>
    <xdr:to>
      <xdr:col>20</xdr:col>
      <xdr:colOff>438150</xdr:colOff>
      <xdr:row>29</xdr:row>
      <xdr:rowOff>9525</xdr:rowOff>
    </xdr:to>
    <xdr:grpSp>
      <xdr:nvGrpSpPr>
        <xdr:cNvPr id="1809479" name="Grupo 10"/>
        <xdr:cNvGrpSpPr>
          <a:grpSpLocks/>
        </xdr:cNvGrpSpPr>
      </xdr:nvGrpSpPr>
      <xdr:grpSpPr bwMode="auto">
        <a:xfrm>
          <a:off x="10810875" y="266700"/>
          <a:ext cx="1600200" cy="4838700"/>
          <a:chOff x="10067925" y="495300"/>
          <a:chExt cx="1600200" cy="4838700"/>
        </a:xfrm>
      </xdr:grpSpPr>
      <xdr:sp macro="" textlink="">
        <xdr:nvSpPr>
          <xdr:cNvPr id="7" name="Rectangle 10"/>
          <xdr:cNvSpPr>
            <a:spLocks noChangeArrowheads="1"/>
          </xdr:cNvSpPr>
        </xdr:nvSpPr>
        <xdr:spPr bwMode="auto">
          <a:xfrm>
            <a:off x="10067925" y="1943100"/>
            <a:ext cx="1590675" cy="1143000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INFORMAÇÕES:</a:t>
            </a:r>
          </a:p>
          <a:p>
            <a:pPr algn="l" rtl="0">
              <a:defRPr sz="1000"/>
            </a:pPr>
            <a:endParaRPr lang="pt-BR" sz="10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Aqui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você  tem a </a:t>
            </a:r>
            <a:r>
              <a:rPr lang="pt-BR" sz="1000" b="1" i="1" strike="noStrike" baseline="0">
                <a:solidFill>
                  <a:srgbClr val="0000FF"/>
                </a:solidFill>
                <a:latin typeface="Arial"/>
                <a:cs typeface="Arial"/>
              </a:rPr>
              <a:t>produção de grãos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dos 10 maiores Estados produtores do Brasil.</a:t>
            </a:r>
          </a:p>
          <a:p>
            <a:pPr algn="l" rtl="0">
              <a:defRPr sz="1000"/>
            </a:pPr>
            <a:endParaRPr lang="pt-BR" sz="10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Rectangle 10"/>
          <xdr:cNvSpPr>
            <a:spLocks noChangeArrowheads="1"/>
          </xdr:cNvSpPr>
        </xdr:nvSpPr>
        <xdr:spPr bwMode="auto">
          <a:xfrm>
            <a:off x="10077450" y="3162300"/>
            <a:ext cx="1590675" cy="2171700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ATUALIZAÇÃO: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 Mensalmente,</a:t>
            </a:r>
          </a:p>
          <a:p>
            <a:pPr algn="l" rtl="0">
              <a:defRPr sz="1000"/>
            </a:pPr>
            <a:r>
              <a:rPr lang="pt-BR" sz="11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depois de disponibilizados pelo IBGE</a:t>
            </a:r>
          </a:p>
          <a:p>
            <a:pPr algn="l" rtl="0">
              <a:defRPr sz="1000"/>
            </a:pPr>
            <a:endParaRPr lang="pt-BR" sz="1100" b="1" i="1" strike="noStrike" baseline="0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Dúvidas, sugestões ou outras informações:</a:t>
            </a:r>
          </a:p>
          <a:p>
            <a:pPr algn="l" rtl="0">
              <a:defRPr sz="1000"/>
            </a:pPr>
            <a:endParaRPr lang="pt-BR" sz="11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SED/Agricultura</a:t>
            </a:r>
          </a:p>
          <a:p>
            <a:pPr algn="l" rtl="0">
              <a:defRPr sz="1000"/>
            </a:pPr>
            <a:r>
              <a:rPr lang="pt-BR" sz="11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(62) 3201-8922</a:t>
            </a:r>
          </a:p>
        </xdr:txBody>
      </xdr:sp>
      <xdr:sp macro="" textlink="">
        <xdr:nvSpPr>
          <xdr:cNvPr id="9" name="Rectangle 10">
            <a:hlinkClick xmlns:r="http://schemas.openxmlformats.org/officeDocument/2006/relationships" r:id="rId1"/>
          </xdr:cNvPr>
          <xdr:cNvSpPr>
            <a:spLocks noChangeArrowheads="1"/>
          </xdr:cNvSpPr>
        </xdr:nvSpPr>
        <xdr:spPr bwMode="auto">
          <a:xfrm>
            <a:off x="10077450" y="495300"/>
            <a:ext cx="1590675" cy="676275"/>
          </a:xfrm>
          <a:prstGeom prst="rect">
            <a:avLst/>
          </a:prstGeom>
          <a:noFill/>
          <a:ln w="9525">
            <a:solidFill>
              <a:schemeClr val="accent1"/>
            </a:solidFill>
            <a:miter lim="800000"/>
            <a:headEnd/>
            <a:tailEnd/>
          </a:ln>
        </xdr:spPr>
        <xdr:txBody>
          <a:bodyPr vertOverflow="clip" wrap="square" lIns="27432" tIns="22860" rIns="27432" bIns="22860" anchor="t" upright="1"/>
          <a:lstStyle/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 IR PARA PLANILHA:</a:t>
            </a:r>
          </a:p>
          <a:p>
            <a:pPr algn="l" rtl="0">
              <a:defRPr sz="1000"/>
            </a:pPr>
            <a:endParaRPr lang="pt-BR" sz="1000" b="1" i="1" strike="noStrike">
              <a:solidFill>
                <a:sysClr val="windowText" lastClr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pt-BR" sz="1000" b="1" i="1" strike="noStrike">
                <a:solidFill>
                  <a:sysClr val="windowText" lastClr="000000"/>
                </a:solidFill>
                <a:latin typeface="Arial"/>
                <a:cs typeface="Arial"/>
              </a:rPr>
              <a:t>Previsão de safra para Goiás</a:t>
            </a:r>
            <a:r>
              <a:rPr lang="pt-BR" sz="1000" b="1" i="1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.</a:t>
            </a:r>
          </a:p>
        </xdr:txBody>
      </xdr:sp>
    </xdr:grpSp>
    <xdr:clientData fPrintsWithSheet="0"/>
  </xdr:twoCellAnchor>
  <xdr:twoCellAnchor editAs="oneCell">
    <xdr:from>
      <xdr:col>19</xdr:col>
      <xdr:colOff>66675</xdr:colOff>
      <xdr:row>7</xdr:row>
      <xdr:rowOff>0</xdr:rowOff>
    </xdr:from>
    <xdr:to>
      <xdr:col>19</xdr:col>
      <xdr:colOff>600075</xdr:colOff>
      <xdr:row>9</xdr:row>
      <xdr:rowOff>57150</xdr:rowOff>
    </xdr:to>
    <xdr:pic>
      <xdr:nvPicPr>
        <xdr:cNvPr id="1809481" name="Imagem 11" descr="http://www.pousadapordosol.tur.br/images/k11669354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80000">
          <a:off x="11191875" y="1152525"/>
          <a:ext cx="533400" cy="4000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  <a:extLst/>
      </xdr:spPr>
    </xdr:pic>
    <xdr:clientData/>
  </xdr:twoCellAnchor>
  <xdr:twoCellAnchor>
    <xdr:from>
      <xdr:col>3</xdr:col>
      <xdr:colOff>114300</xdr:colOff>
      <xdr:row>1</xdr:row>
      <xdr:rowOff>47625</xdr:rowOff>
    </xdr:from>
    <xdr:to>
      <xdr:col>15</xdr:col>
      <xdr:colOff>368300</xdr:colOff>
      <xdr:row>5</xdr:row>
      <xdr:rowOff>29845</xdr:rowOff>
    </xdr:to>
    <xdr:grpSp>
      <xdr:nvGrpSpPr>
        <xdr:cNvPr id="2" name="Grupo 1"/>
        <xdr:cNvGrpSpPr/>
      </xdr:nvGrpSpPr>
      <xdr:grpSpPr>
        <a:xfrm>
          <a:off x="1114425" y="180975"/>
          <a:ext cx="9083675" cy="658495"/>
          <a:chOff x="1114425" y="180975"/>
          <a:chExt cx="9083675" cy="658495"/>
        </a:xfrm>
      </xdr:grpSpPr>
      <xdr:grpSp>
        <xdr:nvGrpSpPr>
          <xdr:cNvPr id="1809480" name="Grupo 1"/>
          <xdr:cNvGrpSpPr>
            <a:grpSpLocks/>
          </xdr:cNvGrpSpPr>
        </xdr:nvGrpSpPr>
        <xdr:grpSpPr bwMode="auto">
          <a:xfrm>
            <a:off x="1114425" y="323850"/>
            <a:ext cx="5537268" cy="428625"/>
            <a:chOff x="428625" y="314325"/>
            <a:chExt cx="5648365" cy="444559"/>
          </a:xfrm>
        </xdr:grpSpPr>
        <xdr:pic>
          <xdr:nvPicPr>
            <xdr:cNvPr id="1809483" name="Imagem 15" descr="papel timbrado S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1043" t="89751" r="3915" b="4578"/>
            <a:stretch>
              <a:fillRect/>
            </a:stretch>
          </xdr:blipFill>
          <xdr:spPr bwMode="auto">
            <a:xfrm>
              <a:off x="428625" y="314325"/>
              <a:ext cx="1381125" cy="4438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809484" name="Imagem 16" descr="papel timbrado S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794" t="3192" r="65305" b="89127"/>
            <a:stretch>
              <a:fillRect/>
            </a:stretch>
          </xdr:blipFill>
          <xdr:spPr bwMode="auto">
            <a:xfrm>
              <a:off x="4702054" y="316084"/>
              <a:ext cx="1374936" cy="4428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1" name="Imagem 10"/>
          <xdr:cNvPicPr/>
        </xdr:nvPicPr>
        <xdr:blipFill rotWithShape="1">
          <a:blip xmlns:r="http://schemas.openxmlformats.org/officeDocument/2006/relationships" r:embed="rId6"/>
          <a:srcRect l="71913" t="39046" r="2306" b="37509"/>
          <a:stretch/>
        </xdr:blipFill>
        <xdr:spPr bwMode="auto">
          <a:xfrm>
            <a:off x="9039225" y="180975"/>
            <a:ext cx="1158875" cy="65849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2</xdr:row>
      <xdr:rowOff>76200</xdr:rowOff>
    </xdr:from>
    <xdr:to>
      <xdr:col>1</xdr:col>
      <xdr:colOff>553178</xdr:colOff>
      <xdr:row>7</xdr:row>
      <xdr:rowOff>133350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400050"/>
          <a:ext cx="715102" cy="1190625"/>
        </a:xfrm>
        <a:prstGeom prst="rect">
          <a:avLst/>
        </a:prstGeom>
      </xdr:spPr>
    </xdr:pic>
    <xdr:clientData/>
  </xdr:twoCellAnchor>
  <xdr:twoCellAnchor>
    <xdr:from>
      <xdr:col>13</xdr:col>
      <xdr:colOff>276226</xdr:colOff>
      <xdr:row>4</xdr:row>
      <xdr:rowOff>47625</xdr:rowOff>
    </xdr:from>
    <xdr:to>
      <xdr:col>15</xdr:col>
      <xdr:colOff>0</xdr:colOff>
      <xdr:row>6</xdr:row>
      <xdr:rowOff>188770</xdr:rowOff>
    </xdr:to>
    <xdr:sp macro="" textlink="">
      <xdr:nvSpPr>
        <xdr:cNvPr id="2" name="CaixaDeTexto 1"/>
        <xdr:cNvSpPr txBox="1"/>
      </xdr:nvSpPr>
      <xdr:spPr>
        <a:xfrm>
          <a:off x="9734551" y="695325"/>
          <a:ext cx="1800224" cy="474520"/>
        </a:xfrm>
        <a:prstGeom prst="rect">
          <a:avLst/>
        </a:prstGeom>
        <a:solidFill>
          <a:srgbClr val="EDF2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pt-BR" sz="1600" b="1" i="1">
              <a:solidFill>
                <a:srgbClr val="FF0000"/>
              </a:solidFill>
            </a:rPr>
            <a:t>PRODUÇÃO</a:t>
          </a:r>
        </a:p>
      </xdr:txBody>
    </xdr:sp>
    <xdr:clientData/>
  </xdr:twoCellAnchor>
  <xdr:twoCellAnchor>
    <xdr:from>
      <xdr:col>13</xdr:col>
      <xdr:colOff>200025</xdr:colOff>
      <xdr:row>43</xdr:row>
      <xdr:rowOff>22512</xdr:rowOff>
    </xdr:from>
    <xdr:to>
      <xdr:col>14</xdr:col>
      <xdr:colOff>1435677</xdr:colOff>
      <xdr:row>44</xdr:row>
      <xdr:rowOff>167987</xdr:rowOff>
    </xdr:to>
    <xdr:sp macro="" textlink="">
      <xdr:nvSpPr>
        <xdr:cNvPr id="3" name="CaixaDeTexto 2"/>
        <xdr:cNvSpPr txBox="1"/>
      </xdr:nvSpPr>
      <xdr:spPr>
        <a:xfrm>
          <a:off x="9658350" y="7652037"/>
          <a:ext cx="1816677" cy="316925"/>
        </a:xfrm>
        <a:prstGeom prst="rect">
          <a:avLst/>
        </a:prstGeom>
        <a:solidFill>
          <a:srgbClr val="E9EFF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pt-BR" sz="1300" b="1" i="1">
              <a:solidFill>
                <a:srgbClr val="FF0000"/>
              </a:solidFill>
            </a:rPr>
            <a:t>ÁREA PLANTADA</a:t>
          </a:r>
        </a:p>
      </xdr:txBody>
    </xdr:sp>
    <xdr:clientData/>
  </xdr:twoCellAnchor>
  <xdr:twoCellAnchor>
    <xdr:from>
      <xdr:col>2</xdr:col>
      <xdr:colOff>66675</xdr:colOff>
      <xdr:row>5</xdr:row>
      <xdr:rowOff>76201</xdr:rowOff>
    </xdr:from>
    <xdr:to>
      <xdr:col>3</xdr:col>
      <xdr:colOff>85725</xdr:colOff>
      <xdr:row>7</xdr:row>
      <xdr:rowOff>133351</xdr:rowOff>
    </xdr:to>
    <xdr:grpSp>
      <xdr:nvGrpSpPr>
        <xdr:cNvPr id="7" name="Grupo 6"/>
        <xdr:cNvGrpSpPr/>
      </xdr:nvGrpSpPr>
      <xdr:grpSpPr>
        <a:xfrm>
          <a:off x="857250" y="885826"/>
          <a:ext cx="1314450" cy="704850"/>
          <a:chOff x="7534275" y="1019175"/>
          <a:chExt cx="1314450" cy="561975"/>
        </a:xfrm>
      </xdr:grpSpPr>
      <xdr:pic macro="[0]!Classificar_Produção"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34275" y="1019175"/>
            <a:ext cx="561975" cy="561975"/>
          </a:xfrm>
          <a:prstGeom prst="rect">
            <a:avLst/>
          </a:prstGeom>
        </xdr:spPr>
      </xdr:pic>
      <xdr:sp macro="[0]!Classificar_Produção" textlink="">
        <xdr:nvSpPr>
          <xdr:cNvPr id="6" name="Fluxograma: Processo alternativo 5"/>
          <xdr:cNvSpPr/>
        </xdr:nvSpPr>
        <xdr:spPr bwMode="auto">
          <a:xfrm>
            <a:off x="7810500" y="1019175"/>
            <a:ext cx="1038225" cy="523875"/>
          </a:xfrm>
          <a:prstGeom prst="flowChartAlternateProcess">
            <a:avLst/>
          </a:prstGeom>
          <a:solidFill>
            <a:schemeClr val="accent1">
              <a:lumMod val="20000"/>
              <a:lumOff val="8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pt-BR" sz="1100">
                <a:latin typeface="Arial Black" pitchFamily="34" charset="0"/>
              </a:rPr>
              <a:t>Classificar</a:t>
            </a:r>
          </a:p>
          <a:p>
            <a:pPr algn="ctr"/>
            <a:r>
              <a:rPr lang="pt-BR" sz="1100">
                <a:latin typeface="Arial Black" pitchFamily="34" charset="0"/>
              </a:rPr>
              <a:t>Produção</a:t>
            </a:r>
          </a:p>
        </xdr:txBody>
      </xdr:sp>
    </xdr:grpSp>
    <xdr:clientData fPrintsWithSheet="0"/>
  </xdr:twoCellAnchor>
  <xdr:twoCellAnchor>
    <xdr:from>
      <xdr:col>56</xdr:col>
      <xdr:colOff>219076</xdr:colOff>
      <xdr:row>2</xdr:row>
      <xdr:rowOff>38100</xdr:rowOff>
    </xdr:from>
    <xdr:to>
      <xdr:col>57</xdr:col>
      <xdr:colOff>723900</xdr:colOff>
      <xdr:row>5</xdr:row>
      <xdr:rowOff>26845</xdr:rowOff>
    </xdr:to>
    <xdr:sp macro="" textlink="">
      <xdr:nvSpPr>
        <xdr:cNvPr id="8" name="CaixaDeTexto 7"/>
        <xdr:cNvSpPr txBox="1"/>
      </xdr:nvSpPr>
      <xdr:spPr>
        <a:xfrm>
          <a:off x="43776901" y="361950"/>
          <a:ext cx="1285874" cy="474520"/>
        </a:xfrm>
        <a:prstGeom prst="rect">
          <a:avLst/>
        </a:prstGeom>
        <a:solidFill>
          <a:srgbClr val="EDF2F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pt-BR" sz="1600" b="1" i="1">
              <a:solidFill>
                <a:srgbClr val="FF0000"/>
              </a:solidFill>
            </a:rPr>
            <a:t>PRODUÇÃO</a:t>
          </a:r>
        </a:p>
      </xdr:txBody>
    </xdr:sp>
    <xdr:clientData/>
  </xdr:twoCellAnchor>
  <xdr:twoCellAnchor>
    <xdr:from>
      <xdr:col>55</xdr:col>
      <xdr:colOff>638175</xdr:colOff>
      <xdr:row>41</xdr:row>
      <xdr:rowOff>89187</xdr:rowOff>
    </xdr:from>
    <xdr:to>
      <xdr:col>57</xdr:col>
      <xdr:colOff>721302</xdr:colOff>
      <xdr:row>43</xdr:row>
      <xdr:rowOff>63212</xdr:rowOff>
    </xdr:to>
    <xdr:sp macro="" textlink="">
      <xdr:nvSpPr>
        <xdr:cNvPr id="9" name="CaixaDeTexto 8"/>
        <xdr:cNvSpPr txBox="1"/>
      </xdr:nvSpPr>
      <xdr:spPr>
        <a:xfrm>
          <a:off x="43567350" y="7375812"/>
          <a:ext cx="1645227" cy="316925"/>
        </a:xfrm>
        <a:prstGeom prst="rect">
          <a:avLst/>
        </a:prstGeom>
        <a:solidFill>
          <a:srgbClr val="E9EFF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pt-BR" sz="1300" b="1" i="1">
              <a:solidFill>
                <a:srgbClr val="FF0000"/>
              </a:solidFill>
            </a:rPr>
            <a:t>ÁREA PLANTADA</a:t>
          </a: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18</xdr:col>
      <xdr:colOff>771525</xdr:colOff>
      <xdr:row>79</xdr:row>
      <xdr:rowOff>145475</xdr:rowOff>
    </xdr:to>
    <xdr:sp macro="" textlink="">
      <xdr:nvSpPr>
        <xdr:cNvPr id="10" name="CaixaDeTexto 9"/>
        <xdr:cNvSpPr txBox="1"/>
      </xdr:nvSpPr>
      <xdr:spPr>
        <a:xfrm>
          <a:off x="10039350" y="13906500"/>
          <a:ext cx="4762500" cy="316925"/>
        </a:xfrm>
        <a:prstGeom prst="rect">
          <a:avLst/>
        </a:prstGeom>
        <a:solidFill>
          <a:srgbClr val="E9EFF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pt-BR" sz="1300" b="1" i="1">
              <a:solidFill>
                <a:srgbClr val="0000FF"/>
              </a:solidFill>
            </a:rPr>
            <a:t>ATENÇÃO: Não mexer nesta tabela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Z48"/>
  <sheetViews>
    <sheetView showGridLines="0" showRowColHeaders="0" tabSelected="1" workbookViewId="0"/>
  </sheetViews>
  <sheetFormatPr defaultColWidth="0" defaultRowHeight="12.75" zeroHeight="1" x14ac:dyDescent="0.2"/>
  <cols>
    <col min="1" max="1" width="2.140625" style="11" customWidth="1"/>
    <col min="2" max="2" width="3.5703125" style="11" customWidth="1"/>
    <col min="3" max="3" width="1.85546875" style="11" customWidth="1"/>
    <col min="4" max="4" width="27.7109375" style="11" customWidth="1"/>
    <col min="5" max="6" width="13" style="11" customWidth="1"/>
    <col min="7" max="7" width="10.28515625" style="11" customWidth="1"/>
    <col min="8" max="8" width="9.5703125" style="11" customWidth="1"/>
    <col min="9" max="9" width="9.28515625" style="11" customWidth="1"/>
    <col min="10" max="10" width="2.85546875" style="11" customWidth="1"/>
    <col min="11" max="11" width="27.7109375" style="11" customWidth="1"/>
    <col min="12" max="13" width="13" style="11" customWidth="1"/>
    <col min="14" max="14" width="9.5703125" style="11" customWidth="1"/>
    <col min="15" max="15" width="9.28515625" style="11" customWidth="1"/>
    <col min="16" max="16" width="1.85546875" style="11" customWidth="1"/>
    <col min="17" max="17" width="3.5703125" style="11" customWidth="1"/>
    <col min="18" max="18" width="7.7109375" style="11" customWidth="1"/>
    <col min="19" max="19" width="10.7109375" style="11" customWidth="1"/>
    <col min="20" max="20" width="7.7109375" style="11" customWidth="1"/>
    <col min="21" max="21" width="11.140625" style="11" hidden="1" customWidth="1"/>
    <col min="22" max="22" width="20.140625" style="11" hidden="1" customWidth="1"/>
    <col min="23" max="26" width="14.5703125" style="11" hidden="1" customWidth="1"/>
    <col min="27" max="16384" width="9.140625" style="11" hidden="1"/>
  </cols>
  <sheetData>
    <row r="1" spans="1:26" ht="13.5" thickBot="1" x14ac:dyDescent="0.25">
      <c r="A1" s="167"/>
      <c r="B1"/>
      <c r="C1"/>
      <c r="R1" s="166"/>
      <c r="S1" s="166"/>
      <c r="T1" s="166"/>
    </row>
    <row r="2" spans="1:26" ht="9.75" customHeight="1" thickTop="1" x14ac:dyDescent="0.2">
      <c r="A2" s="166"/>
      <c r="B2" s="33"/>
      <c r="C2" s="119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8"/>
      <c r="R2" s="166"/>
      <c r="S2" s="166"/>
      <c r="T2" s="166"/>
    </row>
    <row r="3" spans="1:26" x14ac:dyDescent="0.2">
      <c r="A3" s="166"/>
      <c r="B3" s="33"/>
      <c r="C3" s="139"/>
      <c r="P3" s="33"/>
      <c r="Q3" s="139"/>
      <c r="R3" s="170"/>
      <c r="S3" s="166"/>
      <c r="T3" s="166"/>
    </row>
    <row r="4" spans="1:26" x14ac:dyDescent="0.2">
      <c r="A4" s="166"/>
      <c r="B4" s="33"/>
      <c r="C4" s="139"/>
      <c r="M4" s="15"/>
      <c r="N4" s="62"/>
      <c r="O4" s="62"/>
      <c r="P4" s="33"/>
      <c r="Q4" s="139"/>
      <c r="R4" s="170"/>
      <c r="S4" s="166"/>
      <c r="T4" s="166"/>
    </row>
    <row r="5" spans="1:26" x14ac:dyDescent="0.2">
      <c r="A5" s="166"/>
      <c r="B5" s="33"/>
      <c r="C5" s="139"/>
      <c r="M5" s="16"/>
      <c r="P5" s="33"/>
      <c r="Q5" s="139"/>
      <c r="R5" s="170"/>
      <c r="S5" s="166"/>
      <c r="T5" s="166"/>
    </row>
    <row r="6" spans="1:26" x14ac:dyDescent="0.2">
      <c r="A6" s="166"/>
      <c r="B6" s="33"/>
      <c r="C6" s="139"/>
      <c r="M6" s="15"/>
      <c r="N6" s="63"/>
      <c r="O6" s="63"/>
      <c r="P6" s="33"/>
      <c r="Q6" s="139"/>
      <c r="R6" s="170"/>
      <c r="S6" s="166"/>
      <c r="T6" s="166"/>
    </row>
    <row r="7" spans="1:26" x14ac:dyDescent="0.2">
      <c r="A7" s="166"/>
      <c r="B7" s="33"/>
      <c r="C7" s="139"/>
      <c r="M7" s="202">
        <f ca="1">NOW()</f>
        <v>42765.595905555558</v>
      </c>
      <c r="N7" s="202"/>
      <c r="O7" s="202"/>
      <c r="P7" s="33"/>
      <c r="Q7" s="139"/>
      <c r="R7" s="170"/>
      <c r="S7" s="166"/>
      <c r="T7" s="166"/>
    </row>
    <row r="8" spans="1:26" ht="15" customHeight="1" x14ac:dyDescent="0.2">
      <c r="A8" s="166"/>
      <c r="B8" s="33"/>
      <c r="C8" s="139"/>
      <c r="D8" s="207" t="str">
        <f>CONCATENATE("PREVISÃO DE SAFRA PARA GOIÁS - Referência: ",Entrada_Dados!E5," / ",Entrada_Dados!D5)</f>
        <v>PREVISÃO DE SAFRA PARA GOIÁS - Referência: dezembro / 2016</v>
      </c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9"/>
      <c r="P8" s="33"/>
      <c r="Q8" s="139"/>
      <c r="R8" s="170"/>
      <c r="S8" s="173"/>
      <c r="T8" s="166"/>
    </row>
    <row r="9" spans="1:26" ht="12.75" customHeight="1" x14ac:dyDescent="0.2">
      <c r="A9" s="166"/>
      <c r="B9" s="33"/>
      <c r="C9" s="139"/>
      <c r="D9" s="210" t="s">
        <v>206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2"/>
      <c r="P9" s="33"/>
      <c r="Q9" s="139"/>
      <c r="R9" s="170"/>
      <c r="S9" s="173"/>
      <c r="T9" s="166"/>
    </row>
    <row r="10" spans="1:26" x14ac:dyDescent="0.2">
      <c r="A10" s="166"/>
      <c r="B10" s="33"/>
      <c r="C10" s="139"/>
      <c r="P10" s="33"/>
      <c r="Q10" s="139"/>
      <c r="R10" s="170"/>
      <c r="S10" s="173"/>
      <c r="T10" s="166"/>
    </row>
    <row r="11" spans="1:26" s="12" customFormat="1" ht="14.25" x14ac:dyDescent="0.2">
      <c r="A11" s="166"/>
      <c r="B11" s="33"/>
      <c r="C11" s="139"/>
      <c r="D11" s="17" t="s">
        <v>10</v>
      </c>
      <c r="P11" s="33"/>
      <c r="Q11" s="139"/>
      <c r="R11" s="170"/>
      <c r="S11" s="174"/>
      <c r="T11" s="171"/>
    </row>
    <row r="12" spans="1:26" ht="14.25" customHeight="1" x14ac:dyDescent="0.2">
      <c r="A12" s="166"/>
      <c r="B12" s="33"/>
      <c r="C12" s="139"/>
      <c r="D12" s="213" t="str">
        <f>CONCATENATE("Produção - ",Entrada_Dados!D4," (",Entrada_Dados!E4,")"," e Previsão de safra ",Entrada_Dados!D5," (",Entrada_Dados!E5,")")</f>
        <v>Produção - 2015 (dezembro) e Previsão de safra 2016 (dezembro)</v>
      </c>
      <c r="E12" s="214"/>
      <c r="F12" s="214"/>
      <c r="G12" s="214"/>
      <c r="H12" s="214"/>
      <c r="I12" s="214"/>
      <c r="K12" s="215" t="str">
        <f>CONCATENATE("Área plantada - ",Entrada_Dados!D4," (",Entrada_Dados!E4,")"," e Previsão de safra ",Entrada_Dados!D5," (",Entrada_Dados!E5,")")</f>
        <v>Área plantada - 2015 (dezembro) e Previsão de safra 2016 (dezembro)</v>
      </c>
      <c r="L12" s="216"/>
      <c r="M12" s="216"/>
      <c r="N12" s="216"/>
      <c r="O12" s="216"/>
      <c r="P12" s="33"/>
      <c r="Q12" s="139"/>
      <c r="R12" s="170"/>
      <c r="S12" s="171"/>
      <c r="T12" s="166"/>
      <c r="V12" s="188" t="s">
        <v>204</v>
      </c>
      <c r="W12" s="12" t="s">
        <v>203</v>
      </c>
      <c r="Y12" s="12" t="s">
        <v>202</v>
      </c>
    </row>
    <row r="13" spans="1:26" ht="12.75" customHeight="1" x14ac:dyDescent="0.2">
      <c r="A13" s="166"/>
      <c r="B13" s="33"/>
      <c r="C13" s="139"/>
      <c r="D13" s="203" t="s">
        <v>49</v>
      </c>
      <c r="E13" s="205" t="s">
        <v>7</v>
      </c>
      <c r="F13" s="206"/>
      <c r="G13" s="163" t="s">
        <v>108</v>
      </c>
      <c r="H13" s="203" t="s">
        <v>8</v>
      </c>
      <c r="I13" s="203" t="s">
        <v>12</v>
      </c>
      <c r="K13" s="203" t="s">
        <v>43</v>
      </c>
      <c r="L13" s="205" t="s">
        <v>7</v>
      </c>
      <c r="M13" s="206"/>
      <c r="N13" s="203" t="s">
        <v>8</v>
      </c>
      <c r="O13" s="203" t="s">
        <v>12</v>
      </c>
      <c r="P13" s="33"/>
      <c r="Q13" s="139"/>
      <c r="R13" s="170"/>
      <c r="S13" s="171"/>
      <c r="T13" s="166"/>
      <c r="V13" s="199" t="s">
        <v>49</v>
      </c>
      <c r="W13" s="196" t="s">
        <v>7</v>
      </c>
      <c r="X13" s="197"/>
      <c r="Y13" s="196" t="s">
        <v>7</v>
      </c>
      <c r="Z13" s="197"/>
    </row>
    <row r="14" spans="1:26" ht="25.5" customHeight="1" x14ac:dyDescent="0.2">
      <c r="A14" s="166"/>
      <c r="B14" s="33"/>
      <c r="C14" s="139"/>
      <c r="D14" s="204"/>
      <c r="E14" s="13" t="str">
        <f>CONCATENATE("Safra ",Entrada_Dados!D4)</f>
        <v>Safra 2015</v>
      </c>
      <c r="F14" s="13" t="str">
        <f>CONCATENATE("Safra ",Entrada_Dados!D5)</f>
        <v>Safra 2016</v>
      </c>
      <c r="G14" s="160" t="s">
        <v>107</v>
      </c>
      <c r="H14" s="204"/>
      <c r="I14" s="204"/>
      <c r="K14" s="204"/>
      <c r="L14" s="13" t="str">
        <f>E14</f>
        <v>Safra 2015</v>
      </c>
      <c r="M14" s="13" t="str">
        <f>F14</f>
        <v>Safra 2016</v>
      </c>
      <c r="N14" s="204"/>
      <c r="O14" s="204"/>
      <c r="P14" s="33"/>
      <c r="Q14" s="139"/>
      <c r="R14" s="170"/>
      <c r="S14" s="171"/>
      <c r="T14" s="166"/>
      <c r="V14" s="200"/>
      <c r="W14" s="180" t="str">
        <f>E14</f>
        <v>Safra 2015</v>
      </c>
      <c r="X14" s="180" t="str">
        <f>F14</f>
        <v>Safra 2016</v>
      </c>
      <c r="Y14" s="180" t="str">
        <f>L14</f>
        <v>Safra 2015</v>
      </c>
      <c r="Z14" s="180" t="str">
        <f>M14</f>
        <v>Safra 2016</v>
      </c>
    </row>
    <row r="15" spans="1:26" x14ac:dyDescent="0.2">
      <c r="A15" s="166"/>
      <c r="B15" s="33"/>
      <c r="C15" s="139"/>
      <c r="D15" s="18" t="s">
        <v>57</v>
      </c>
      <c r="E15" s="14">
        <f>W15</f>
        <v>131995</v>
      </c>
      <c r="F15" s="14">
        <f>X15</f>
        <v>86446</v>
      </c>
      <c r="G15" s="14">
        <f ca="1">+F15/M15*1000</f>
        <v>2953.0967102790969</v>
      </c>
      <c r="H15" s="24">
        <f>TRUNC(((F15/E15)-1)*100,2)</f>
        <v>-34.5</v>
      </c>
      <c r="I15" s="19">
        <f>Entrada_Dados!B48</f>
        <v>4</v>
      </c>
      <c r="K15" s="18" t="s">
        <v>57</v>
      </c>
      <c r="L15" s="14">
        <f>Y15</f>
        <v>32175</v>
      </c>
      <c r="M15" s="14">
        <f ca="1">Z15</f>
        <v>29273</v>
      </c>
      <c r="N15" s="24">
        <f ca="1">TRUNC(((M15/L15)-1)*100,2)</f>
        <v>-9.01</v>
      </c>
      <c r="O15" s="19">
        <f>Entrada_Dados!H48</f>
        <v>4</v>
      </c>
      <c r="P15" s="33"/>
      <c r="Q15" s="139"/>
      <c r="R15" s="170"/>
      <c r="S15" s="171"/>
      <c r="T15" s="166"/>
      <c r="V15" s="134" t="s">
        <v>57</v>
      </c>
      <c r="W15" s="181">
        <f>SUMIF(Entrada_Dados!$C$50:$C$76,$V$12,Entrada_Dados!D50:D76)</f>
        <v>131995</v>
      </c>
      <c r="X15" s="181">
        <f>SUMIF(Entrada_Dados!$C$50:$C$76,$V$12,Entrada_Dados!E50:E76)</f>
        <v>86446</v>
      </c>
      <c r="Y15" s="181">
        <f>SUMIF(Entrada_Dados!$I$50:I76,$V$12,Entrada_Dados!J50:J76)</f>
        <v>32175</v>
      </c>
      <c r="Z15" s="181">
        <f ca="1">SUMIF(Entrada_Dados!$I$50:J76,$V$12,Entrada_Dados!K50:K76)</f>
        <v>29273</v>
      </c>
    </row>
    <row r="16" spans="1:26" x14ac:dyDescent="0.2">
      <c r="A16" s="166"/>
      <c r="B16" s="33"/>
      <c r="C16" s="139"/>
      <c r="D16" s="144" t="s">
        <v>50</v>
      </c>
      <c r="E16" s="145">
        <f>W16</f>
        <v>108938</v>
      </c>
      <c r="F16" s="145">
        <f ca="1">X16</f>
        <v>109506</v>
      </c>
      <c r="G16" s="145">
        <f ca="1">+F16/M16*1000</f>
        <v>4450.1970983866377</v>
      </c>
      <c r="H16" s="146">
        <f t="shared" ref="H16:H27" ca="1" si="0">TRUNC(((F16/E16)-1)*100,2)</f>
        <v>0.52</v>
      </c>
      <c r="I16" s="147">
        <f>Entrada_Dados!B268</f>
        <v>9</v>
      </c>
      <c r="K16" s="144" t="s">
        <v>50</v>
      </c>
      <c r="L16" s="145">
        <f>Y16</f>
        <v>25558</v>
      </c>
      <c r="M16" s="145">
        <f>Z16</f>
        <v>24607</v>
      </c>
      <c r="N16" s="146">
        <f t="shared" ref="N16:N27" si="1">TRUNC(((M16/L16)-1)*100,2)</f>
        <v>-3.72</v>
      </c>
      <c r="O16" s="147">
        <f>Entrada_Dados!H268</f>
        <v>10</v>
      </c>
      <c r="P16" s="33"/>
      <c r="Q16" s="139"/>
      <c r="R16" s="170"/>
      <c r="S16" s="171"/>
      <c r="T16" s="166"/>
      <c r="V16" s="151" t="s">
        <v>50</v>
      </c>
      <c r="W16" s="153">
        <f>SUMIF(Entrada_Dados!$C$270:C296,$V$12,Entrada_Dados!D270:D296)</f>
        <v>108938</v>
      </c>
      <c r="X16" s="153">
        <f ca="1">SUMIF(Entrada_Dados!$C$270:D296,$V$12,Entrada_Dados!E270:E296)</f>
        <v>109506</v>
      </c>
      <c r="Y16" s="153">
        <f>SUMIF(Entrada_Dados!$I$270:$I$296,$V$12,Entrada_Dados!J270:J296)</f>
        <v>25558</v>
      </c>
      <c r="Z16" s="153">
        <f>SUMIF(Entrada_Dados!$I$270:$I$296,$V$12,Entrada_Dados!K270:K296)</f>
        <v>24607</v>
      </c>
    </row>
    <row r="17" spans="1:26" x14ac:dyDescent="0.2">
      <c r="A17" s="166"/>
      <c r="B17" s="33"/>
      <c r="C17" s="139"/>
      <c r="D17" s="18" t="s">
        <v>51</v>
      </c>
      <c r="E17" s="14">
        <f>SUM(E18:E20)</f>
        <v>289463</v>
      </c>
      <c r="F17" s="14">
        <f t="shared" ref="F17" ca="1" si="2">SUM(F18:F20)</f>
        <v>345458</v>
      </c>
      <c r="G17" s="14">
        <f t="shared" ref="G17:G27" ca="1" si="3">+F17/M17*1000</f>
        <v>2311.6990879221626</v>
      </c>
      <c r="H17" s="24">
        <f t="shared" ca="1" si="0"/>
        <v>19.34</v>
      </c>
      <c r="I17" s="19">
        <f>Entrada_Dados!B84</f>
        <v>3</v>
      </c>
      <c r="K17" s="18" t="s">
        <v>51</v>
      </c>
      <c r="L17" s="14">
        <f>SUM(L18:L20)</f>
        <v>123052</v>
      </c>
      <c r="M17" s="14">
        <f>SUM(M18:M20)</f>
        <v>149439</v>
      </c>
      <c r="N17" s="24">
        <f t="shared" si="1"/>
        <v>21.44</v>
      </c>
      <c r="O17" s="19">
        <f>Entrada_Dados!H84</f>
        <v>8</v>
      </c>
      <c r="P17" s="33"/>
      <c r="Q17" s="139"/>
      <c r="R17" s="170"/>
      <c r="S17" s="171"/>
      <c r="T17" s="166"/>
      <c r="V17" s="134" t="s">
        <v>51</v>
      </c>
      <c r="W17" s="181" t="e">
        <f>#REF!</f>
        <v>#REF!</v>
      </c>
      <c r="X17" s="181" t="e">
        <f>#REF!</f>
        <v>#REF!</v>
      </c>
      <c r="Y17" s="181" t="e">
        <f>#REF!</f>
        <v>#REF!</v>
      </c>
      <c r="Z17" s="181" t="e">
        <f>#REF!</f>
        <v>#REF!</v>
      </c>
    </row>
    <row r="18" spans="1:26" x14ac:dyDescent="0.2">
      <c r="A18" s="166"/>
      <c r="B18" s="33"/>
      <c r="C18" s="139"/>
      <c r="D18" s="148" t="s">
        <v>44</v>
      </c>
      <c r="E18" s="145">
        <f t="shared" ref="E18:F27" si="4">W18</f>
        <v>131142</v>
      </c>
      <c r="F18" s="145">
        <f t="shared" si="4"/>
        <v>134545</v>
      </c>
      <c r="G18" s="145">
        <f t="shared" si="3"/>
        <v>2260.1209474214679</v>
      </c>
      <c r="H18" s="149">
        <f t="shared" si="0"/>
        <v>2.59</v>
      </c>
      <c r="I18" s="150">
        <f>Entrada_Dados!B305</f>
        <v>3</v>
      </c>
      <c r="J18" s="132"/>
      <c r="K18" s="148" t="s">
        <v>44</v>
      </c>
      <c r="L18" s="145">
        <f t="shared" ref="L18:M21" si="5">Y18</f>
        <v>59919</v>
      </c>
      <c r="M18" s="145">
        <f t="shared" si="5"/>
        <v>59530</v>
      </c>
      <c r="N18" s="149">
        <f t="shared" si="1"/>
        <v>-0.64</v>
      </c>
      <c r="O18" s="150">
        <f>Entrada_Dados!H305</f>
        <v>7</v>
      </c>
      <c r="P18" s="33"/>
      <c r="Q18" s="139"/>
      <c r="R18" s="170"/>
      <c r="S18" s="171"/>
      <c r="T18" s="166"/>
      <c r="V18" s="182" t="s">
        <v>44</v>
      </c>
      <c r="W18" s="153">
        <f>SUMIF(Entrada_Dados!$C$307:$C$333,$V$12,Entrada_Dados!D307:D333)</f>
        <v>131142</v>
      </c>
      <c r="X18" s="153">
        <f>SUMIF(Entrada_Dados!$C$307:$C$333,$V$12,Entrada_Dados!E307:E333)</f>
        <v>134545</v>
      </c>
      <c r="Y18" s="153">
        <f>SUMIF(Entrada_Dados!$I$307:$I$333,$V$12,Entrada_Dados!J307:J333)</f>
        <v>59919</v>
      </c>
      <c r="Z18" s="153">
        <f>SUMIF(Entrada_Dados!$I$307:$I$333,$V$12,Entrada_Dados!K307:K333)</f>
        <v>59530</v>
      </c>
    </row>
    <row r="19" spans="1:26" x14ac:dyDescent="0.2">
      <c r="A19" s="166"/>
      <c r="B19" s="33"/>
      <c r="C19" s="139"/>
      <c r="D19" s="133" t="s">
        <v>45</v>
      </c>
      <c r="E19" s="14">
        <f t="shared" si="4"/>
        <v>44231</v>
      </c>
      <c r="F19" s="14">
        <f t="shared" ca="1" si="4"/>
        <v>56924</v>
      </c>
      <c r="G19" s="14">
        <f t="shared" ca="1" si="3"/>
        <v>1768.6499922324065</v>
      </c>
      <c r="H19" s="24">
        <f t="shared" ca="1" si="0"/>
        <v>28.69</v>
      </c>
      <c r="I19" s="19">
        <f>Entrada_Dados!B342</f>
        <v>5</v>
      </c>
      <c r="K19" s="133" t="s">
        <v>45</v>
      </c>
      <c r="L19" s="14">
        <f t="shared" si="5"/>
        <v>21935</v>
      </c>
      <c r="M19" s="14">
        <f t="shared" si="5"/>
        <v>32185</v>
      </c>
      <c r="N19" s="24">
        <f t="shared" si="1"/>
        <v>46.72</v>
      </c>
      <c r="O19" s="19">
        <f>Entrada_Dados!H342</f>
        <v>8</v>
      </c>
      <c r="P19" s="33"/>
      <c r="Q19" s="139"/>
      <c r="R19" s="170"/>
      <c r="S19" s="171"/>
      <c r="T19" s="166"/>
      <c r="V19" s="183" t="s">
        <v>45</v>
      </c>
      <c r="W19" s="181">
        <f>SUMIF(Entrada_Dados!$C$344:C370,$V$12,Entrada_Dados!D344:D370)</f>
        <v>44231</v>
      </c>
      <c r="X19" s="181">
        <f ca="1">SUMIF(Entrada_Dados!$C$344:D370,$V$12,Entrada_Dados!E344:E370)</f>
        <v>56924</v>
      </c>
      <c r="Y19" s="181">
        <f>SUMIF(Entrada_Dados!$I$344:$I$370,$V$12,Entrada_Dados!J344:J370)</f>
        <v>21935</v>
      </c>
      <c r="Z19" s="181">
        <f>SUMIF(Entrada_Dados!$I$344:$I$370,$V$12,Entrada_Dados!K344:K370)</f>
        <v>32185</v>
      </c>
    </row>
    <row r="20" spans="1:26" x14ac:dyDescent="0.2">
      <c r="A20" s="166"/>
      <c r="B20" s="33"/>
      <c r="C20" s="139"/>
      <c r="D20" s="148" t="s">
        <v>46</v>
      </c>
      <c r="E20" s="145">
        <f t="shared" si="4"/>
        <v>114090</v>
      </c>
      <c r="F20" s="145">
        <f t="shared" si="4"/>
        <v>153989</v>
      </c>
      <c r="G20" s="145">
        <f t="shared" si="3"/>
        <v>2667.6772226456933</v>
      </c>
      <c r="H20" s="146">
        <f t="shared" si="0"/>
        <v>34.97</v>
      </c>
      <c r="I20" s="147">
        <f>Entrada_Dados!B379</f>
        <v>2</v>
      </c>
      <c r="K20" s="152" t="s">
        <v>46</v>
      </c>
      <c r="L20" s="145">
        <f t="shared" si="5"/>
        <v>41198</v>
      </c>
      <c r="M20" s="145">
        <f t="shared" si="5"/>
        <v>57724</v>
      </c>
      <c r="N20" s="146">
        <f t="shared" si="1"/>
        <v>40.11</v>
      </c>
      <c r="O20" s="147">
        <f>Entrada_Dados!H379</f>
        <v>2</v>
      </c>
      <c r="P20" s="33"/>
      <c r="Q20" s="139"/>
      <c r="R20" s="170"/>
      <c r="S20" s="171"/>
      <c r="T20" s="166"/>
      <c r="V20" s="182" t="s">
        <v>46</v>
      </c>
      <c r="W20" s="153">
        <f>SUMIF(Entrada_Dados!$C$381:$C$407,$V$12,Entrada_Dados!D381:D407)</f>
        <v>114090</v>
      </c>
      <c r="X20" s="153">
        <f>SUMIF(Entrada_Dados!$C$381:$C$407,$V$12,Entrada_Dados!E381:E407)</f>
        <v>153989</v>
      </c>
      <c r="Y20" s="153">
        <f>SUMIF(Entrada_Dados!$I$381:$I$407,$V$12,Entrada_Dados!J381:J407)</f>
        <v>41198</v>
      </c>
      <c r="Z20" s="153">
        <f>SUMIF(Entrada_Dados!$I$381:$I$407,$V$12,Entrada_Dados!K381:K407)</f>
        <v>57724</v>
      </c>
    </row>
    <row r="21" spans="1:26" x14ac:dyDescent="0.2">
      <c r="A21" s="166"/>
      <c r="B21" s="33"/>
      <c r="C21" s="139"/>
      <c r="D21" s="18" t="s">
        <v>52</v>
      </c>
      <c r="E21" s="14">
        <f t="shared" si="4"/>
        <v>11133</v>
      </c>
      <c r="F21" s="14">
        <f t="shared" si="4"/>
        <v>14712</v>
      </c>
      <c r="G21" s="14">
        <f t="shared" si="3"/>
        <v>881.96151309873505</v>
      </c>
      <c r="H21" s="24">
        <f t="shared" si="0"/>
        <v>32.14</v>
      </c>
      <c r="I21" s="19">
        <f>Entrada_Dados!B416</f>
        <v>2</v>
      </c>
      <c r="K21" s="18" t="s">
        <v>52</v>
      </c>
      <c r="L21" s="14">
        <f t="shared" si="5"/>
        <v>7290</v>
      </c>
      <c r="M21" s="14">
        <f t="shared" si="5"/>
        <v>16681</v>
      </c>
      <c r="N21" s="24">
        <f t="shared" si="1"/>
        <v>128.82</v>
      </c>
      <c r="O21" s="19">
        <f>Entrada_Dados!H416</f>
        <v>2</v>
      </c>
      <c r="P21" s="33"/>
      <c r="Q21" s="139"/>
      <c r="R21" s="170"/>
      <c r="S21" s="171"/>
      <c r="T21" s="166"/>
      <c r="V21" s="134" t="s">
        <v>52</v>
      </c>
      <c r="W21" s="181">
        <f>SUMIF(Entrada_Dados!$C$418:$C$444,$V$12,Entrada_Dados!D418:D444)</f>
        <v>11133</v>
      </c>
      <c r="X21" s="181">
        <f>SUMIF(Entrada_Dados!$C$418:$C$444,$V$12,Entrada_Dados!E418:E444)</f>
        <v>14712</v>
      </c>
      <c r="Y21" s="181">
        <f>SUMIF(Entrada_Dados!$I$418:$I$444,$V$12,Entrada_Dados!J418:J444)</f>
        <v>7290</v>
      </c>
      <c r="Z21" s="181">
        <f>SUMIF(Entrada_Dados!$I$418:$I$444,$V$12,Entrada_Dados!K418:K444)</f>
        <v>16681</v>
      </c>
    </row>
    <row r="22" spans="1:26" x14ac:dyDescent="0.2">
      <c r="A22" s="166"/>
      <c r="B22" s="33"/>
      <c r="C22" s="139"/>
      <c r="D22" s="144" t="s">
        <v>53</v>
      </c>
      <c r="E22" s="145">
        <f>SUM(E23:E24)</f>
        <v>9512503</v>
      </c>
      <c r="F22" s="145">
        <f>SUM(F23:F24)</f>
        <v>5743008</v>
      </c>
      <c r="G22" s="145">
        <f t="shared" si="3"/>
        <v>3652.070065213175</v>
      </c>
      <c r="H22" s="146">
        <f t="shared" si="0"/>
        <v>-39.619999999999997</v>
      </c>
      <c r="I22" s="147">
        <f>Entrada_Dados!B120</f>
        <v>5</v>
      </c>
      <c r="K22" s="144" t="s">
        <v>53</v>
      </c>
      <c r="L22" s="145">
        <f>SUM(L23:L24)</f>
        <v>1409102</v>
      </c>
      <c r="M22" s="145">
        <f>SUM(M23:M24)</f>
        <v>1572535</v>
      </c>
      <c r="N22" s="146">
        <f t="shared" si="1"/>
        <v>11.59</v>
      </c>
      <c r="O22" s="147">
        <f>Entrada_Dados!H120</f>
        <v>4</v>
      </c>
      <c r="P22" s="33"/>
      <c r="Q22" s="139"/>
      <c r="R22" s="170"/>
      <c r="S22" s="171"/>
      <c r="T22" s="166"/>
      <c r="V22" s="151" t="s">
        <v>53</v>
      </c>
      <c r="W22" s="153" t="e">
        <f>#REF!</f>
        <v>#REF!</v>
      </c>
      <c r="X22" s="153" t="e">
        <f>#REF!</f>
        <v>#REF!</v>
      </c>
      <c r="Y22" s="153" t="e">
        <f>#REF!</f>
        <v>#REF!</v>
      </c>
      <c r="Z22" s="153" t="e">
        <f>#REF!</f>
        <v>#REF!</v>
      </c>
    </row>
    <row r="23" spans="1:26" x14ac:dyDescent="0.2">
      <c r="A23" s="166"/>
      <c r="B23" s="33"/>
      <c r="C23" s="139"/>
      <c r="D23" s="133" t="s">
        <v>47</v>
      </c>
      <c r="E23" s="14">
        <f t="shared" si="4"/>
        <v>1735340</v>
      </c>
      <c r="F23" s="14">
        <f t="shared" si="4"/>
        <v>1867503</v>
      </c>
      <c r="G23" s="14">
        <f t="shared" si="3"/>
        <v>7811.7935932937899</v>
      </c>
      <c r="H23" s="24">
        <f t="shared" si="0"/>
        <v>7.61</v>
      </c>
      <c r="I23" s="19">
        <f>Entrada_Dados!B490</f>
        <v>6</v>
      </c>
      <c r="K23" s="20" t="s">
        <v>47</v>
      </c>
      <c r="L23" s="14">
        <f t="shared" ref="L23:M27" si="6">Y23</f>
        <v>260157</v>
      </c>
      <c r="M23" s="14">
        <f t="shared" si="6"/>
        <v>239062</v>
      </c>
      <c r="N23" s="24">
        <f t="shared" si="1"/>
        <v>-8.1</v>
      </c>
      <c r="O23" s="19">
        <f>Entrada_Dados!H490</f>
        <v>10</v>
      </c>
      <c r="P23" s="33"/>
      <c r="Q23" s="139"/>
      <c r="R23" s="170"/>
      <c r="S23" s="171"/>
      <c r="T23" s="166"/>
      <c r="V23" s="183" t="s">
        <v>47</v>
      </c>
      <c r="W23" s="181">
        <f>SUMIF(Entrada_Dados!$C$492:$C$518,$V$12,Entrada_Dados!D492:D518)</f>
        <v>1735340</v>
      </c>
      <c r="X23" s="181">
        <f>SUMIF(Entrada_Dados!$C$492:$C$518,$V$12,Entrada_Dados!E492:E518)</f>
        <v>1867503</v>
      </c>
      <c r="Y23" s="181">
        <f>SUMIF(Entrada_Dados!$I$492:$I$518,$V$12,Entrada_Dados!J492:J518)</f>
        <v>260157</v>
      </c>
      <c r="Z23" s="181">
        <f>SUMIF(Entrada_Dados!$I$492:$I$518,$V$12,Entrada_Dados!K492:K518)</f>
        <v>239062</v>
      </c>
    </row>
    <row r="24" spans="1:26" x14ac:dyDescent="0.2">
      <c r="A24" s="166"/>
      <c r="B24" s="33"/>
      <c r="C24" s="139"/>
      <c r="D24" s="148" t="s">
        <v>48</v>
      </c>
      <c r="E24" s="145">
        <f t="shared" si="4"/>
        <v>7777163</v>
      </c>
      <c r="F24" s="145">
        <f t="shared" si="4"/>
        <v>3875505</v>
      </c>
      <c r="G24" s="145">
        <f t="shared" si="3"/>
        <v>2906.3243125282625</v>
      </c>
      <c r="H24" s="146">
        <f t="shared" si="0"/>
        <v>-50.16</v>
      </c>
      <c r="I24" s="147">
        <f>Entrada_Dados!B527</f>
        <v>4</v>
      </c>
      <c r="K24" s="152" t="s">
        <v>48</v>
      </c>
      <c r="L24" s="145">
        <f t="shared" si="6"/>
        <v>1148945</v>
      </c>
      <c r="M24" s="145">
        <f t="shared" si="6"/>
        <v>1333473</v>
      </c>
      <c r="N24" s="146">
        <f t="shared" si="1"/>
        <v>16.059999999999999</v>
      </c>
      <c r="O24" s="147">
        <f>Entrada_Dados!H527</f>
        <v>4</v>
      </c>
      <c r="P24" s="33"/>
      <c r="Q24" s="139"/>
      <c r="R24" s="170"/>
      <c r="S24" s="171"/>
      <c r="T24" s="166"/>
      <c r="V24" s="182" t="s">
        <v>48</v>
      </c>
      <c r="W24" s="153">
        <f>SUMIF(Entrada_Dados!$C$529:$C$555,$V$12,Entrada_Dados!D529:D555)</f>
        <v>7777163</v>
      </c>
      <c r="X24" s="153">
        <f>SUMIF(Entrada_Dados!$C$529:$C$555,$V$12,Entrada_Dados!E529:E555)</f>
        <v>3875505</v>
      </c>
      <c r="Y24" s="153">
        <f>SUMIF(Entrada_Dados!$I$529:$I$555,$V$12,Entrada_Dados!J529:J555)</f>
        <v>1148945</v>
      </c>
      <c r="Z24" s="153">
        <f>SUMIF(Entrada_Dados!$I$529:$I$555,$V$12,Entrada_Dados!K529:K555)</f>
        <v>1333473</v>
      </c>
    </row>
    <row r="25" spans="1:26" x14ac:dyDescent="0.2">
      <c r="A25" s="166"/>
      <c r="B25" s="33"/>
      <c r="C25" s="139"/>
      <c r="D25" s="134" t="s">
        <v>54</v>
      </c>
      <c r="E25" s="14">
        <f t="shared" si="4"/>
        <v>8606210</v>
      </c>
      <c r="F25" s="14">
        <f t="shared" si="4"/>
        <v>10233537</v>
      </c>
      <c r="G25" s="14">
        <f t="shared" si="3"/>
        <v>3085.9218123388782</v>
      </c>
      <c r="H25" s="24">
        <f t="shared" si="0"/>
        <v>18.899999999999999</v>
      </c>
      <c r="I25" s="19">
        <f>Entrada_Dados!B156</f>
        <v>4</v>
      </c>
      <c r="K25" s="134" t="s">
        <v>54</v>
      </c>
      <c r="L25" s="14">
        <f t="shared" si="6"/>
        <v>3263118</v>
      </c>
      <c r="M25" s="14">
        <f t="shared" si="6"/>
        <v>3316201</v>
      </c>
      <c r="N25" s="24">
        <f t="shared" si="1"/>
        <v>1.62</v>
      </c>
      <c r="O25" s="19">
        <f>Entrada_Dados!H156</f>
        <v>4</v>
      </c>
      <c r="P25" s="33"/>
      <c r="Q25" s="139"/>
      <c r="R25" s="170"/>
      <c r="S25" s="171"/>
      <c r="T25" s="166"/>
      <c r="V25" s="134" t="s">
        <v>54</v>
      </c>
      <c r="W25" s="181">
        <f>SUMIF(Entrada_Dados!$C$158:$C$184,$V$12,Entrada_Dados!D158:D184)</f>
        <v>8606210</v>
      </c>
      <c r="X25" s="181">
        <f>SUMIF(Entrada_Dados!$C$158:$C$184,$V$12,Entrada_Dados!E158:E184)</f>
        <v>10233537</v>
      </c>
      <c r="Y25" s="181">
        <f>SUMIF(Entrada_Dados!$I$158:$I$184,$V$12,Entrada_Dados!J158:J184)</f>
        <v>3263118</v>
      </c>
      <c r="Z25" s="181">
        <f>SUMIF(Entrada_Dados!$I$158:$I$184,$V$12,Entrada_Dados!K158:K184)</f>
        <v>3316201</v>
      </c>
    </row>
    <row r="26" spans="1:26" x14ac:dyDescent="0.2">
      <c r="A26" s="166"/>
      <c r="B26" s="33"/>
      <c r="C26" s="139"/>
      <c r="D26" s="151" t="s">
        <v>55</v>
      </c>
      <c r="E26" s="145">
        <f t="shared" si="4"/>
        <v>898123</v>
      </c>
      <c r="F26" s="145">
        <f t="shared" si="4"/>
        <v>351823</v>
      </c>
      <c r="G26" s="145">
        <f t="shared" si="3"/>
        <v>1596.9959555702828</v>
      </c>
      <c r="H26" s="146">
        <f t="shared" si="0"/>
        <v>-60.82</v>
      </c>
      <c r="I26" s="147">
        <f>Entrada_Dados!B564</f>
        <v>1</v>
      </c>
      <c r="K26" s="151" t="s">
        <v>55</v>
      </c>
      <c r="L26" s="145">
        <f t="shared" si="6"/>
        <v>243974</v>
      </c>
      <c r="M26" s="145">
        <f t="shared" si="6"/>
        <v>220303</v>
      </c>
      <c r="N26" s="146">
        <f t="shared" si="1"/>
        <v>-9.6999999999999993</v>
      </c>
      <c r="O26" s="147">
        <f>Entrada_Dados!H564</f>
        <v>1</v>
      </c>
      <c r="P26" s="33"/>
      <c r="Q26" s="139"/>
      <c r="R26" s="170"/>
      <c r="S26" s="171"/>
      <c r="T26" s="166"/>
      <c r="V26" s="151" t="s">
        <v>55</v>
      </c>
      <c r="W26" s="153">
        <f>SUMIF(Entrada_Dados!$C$566:$C$592,V$12,Entrada_Dados!D566:D592)</f>
        <v>898123</v>
      </c>
      <c r="X26" s="153">
        <f>SUMIF(Entrada_Dados!C566:C592,Pág_1_Previsao_GO!V12,Entrada_Dados!E566:E592)</f>
        <v>351823</v>
      </c>
      <c r="Y26" s="153">
        <f>SUMIF(Entrada_Dados!$I$566:$I$592,$V$12,Entrada_Dados!J566:J592)</f>
        <v>243974</v>
      </c>
      <c r="Z26" s="153">
        <f>SUMIF(Entrada_Dados!$I$566:$I$592,$V$12,Entrada_Dados!K566:K592)</f>
        <v>220303</v>
      </c>
    </row>
    <row r="27" spans="1:26" x14ac:dyDescent="0.2">
      <c r="A27" s="166"/>
      <c r="B27" s="33"/>
      <c r="C27" s="139"/>
      <c r="D27" s="134" t="s">
        <v>56</v>
      </c>
      <c r="E27" s="14">
        <f t="shared" si="4"/>
        <v>43857</v>
      </c>
      <c r="F27" s="14">
        <f t="shared" si="4"/>
        <v>65461</v>
      </c>
      <c r="G27" s="14">
        <f t="shared" si="3"/>
        <v>5124.148727984345</v>
      </c>
      <c r="H27" s="24">
        <f t="shared" si="0"/>
        <v>49.26</v>
      </c>
      <c r="I27" s="19">
        <f>Entrada_Dados!B638</f>
        <v>6</v>
      </c>
      <c r="K27" s="134" t="s">
        <v>56</v>
      </c>
      <c r="L27" s="14">
        <f t="shared" si="6"/>
        <v>9190</v>
      </c>
      <c r="M27" s="14">
        <f t="shared" si="6"/>
        <v>12775</v>
      </c>
      <c r="N27" s="24">
        <f t="shared" si="1"/>
        <v>39</v>
      </c>
      <c r="O27" s="19">
        <f>Entrada_Dados!H638</f>
        <v>7</v>
      </c>
      <c r="P27" s="33"/>
      <c r="Q27" s="139"/>
      <c r="R27" s="170"/>
      <c r="S27" s="171"/>
      <c r="T27" s="166"/>
      <c r="V27" s="134" t="s">
        <v>56</v>
      </c>
      <c r="W27" s="181">
        <f>SUMIF(Entrada_Dados!$C$640:$C$666,$V$12,Entrada_Dados!D640:D666)</f>
        <v>43857</v>
      </c>
      <c r="X27" s="181">
        <f>SUMIF(Entrada_Dados!$C$640:$C$666,$V$12,Entrada_Dados!E640:E666)</f>
        <v>65461</v>
      </c>
      <c r="Y27" s="181">
        <f>SUMIF(Entrada_Dados!$I$640:$I$666,$V$12,Entrada_Dados!J640:J666)</f>
        <v>9190</v>
      </c>
      <c r="Z27" s="181">
        <f>SUMIF(Entrada_Dados!$I$640:$I$666,$V$12,Entrada_Dados!K640:K666)</f>
        <v>12775</v>
      </c>
    </row>
    <row r="28" spans="1:26" x14ac:dyDescent="0.2">
      <c r="A28" s="166"/>
      <c r="B28" s="33"/>
      <c r="C28" s="139"/>
      <c r="H28" s="26"/>
      <c r="I28" s="21"/>
      <c r="N28" s="26"/>
      <c r="O28" s="21"/>
      <c r="P28" s="33"/>
      <c r="Q28" s="139"/>
      <c r="R28" s="170"/>
      <c r="S28" s="171"/>
      <c r="T28" s="166"/>
      <c r="V28" s="132"/>
      <c r="W28" s="132"/>
      <c r="X28" s="132"/>
      <c r="Y28" s="132"/>
      <c r="Z28" s="132"/>
    </row>
    <row r="29" spans="1:26" x14ac:dyDescent="0.2">
      <c r="A29" s="166"/>
      <c r="B29" s="33"/>
      <c r="C29" s="139"/>
      <c r="D29" s="22" t="s">
        <v>63</v>
      </c>
      <c r="E29" s="23">
        <f>E15+E16+E18+E19+E20+E21+E23+E24+E25+E26+E27</f>
        <v>19602222</v>
      </c>
      <c r="F29" s="23">
        <f ca="1">F15+F16+F18+F19+F20+F21+F23+F24+F25+F26+F27</f>
        <v>16949951</v>
      </c>
      <c r="G29" s="130" t="s">
        <v>109</v>
      </c>
      <c r="H29" s="25">
        <f ca="1">TRUNC(((F29/E29)-1)*100,2)</f>
        <v>-13.53</v>
      </c>
      <c r="I29" s="19">
        <f>Entrada_Dados!B12</f>
        <v>4</v>
      </c>
      <c r="J29" s="12"/>
      <c r="K29" s="22" t="str">
        <f>D29</f>
        <v xml:space="preserve"> Total (Grãos) - A</v>
      </c>
      <c r="L29" s="23">
        <f>L15+L16+L18+L19+L20+L21+L23+L24+L25+L26+L27</f>
        <v>5113459</v>
      </c>
      <c r="M29" s="23">
        <f ca="1">M15+M16+M18+M19+M20+M21+M23+M24+M25+M26+M27</f>
        <v>5341814</v>
      </c>
      <c r="N29" s="25">
        <f ca="1">TRUNC(((M29/L29)-1)*100,2)</f>
        <v>4.46</v>
      </c>
      <c r="O29" s="19">
        <f>Entrada_Dados!H12</f>
        <v>4</v>
      </c>
      <c r="P29" s="33"/>
      <c r="Q29" s="139"/>
      <c r="R29" s="170"/>
      <c r="S29" s="171"/>
      <c r="T29" s="166"/>
      <c r="V29" s="184" t="s">
        <v>63</v>
      </c>
      <c r="W29" s="185">
        <f>W15+W16+W18+W19+W20+W21+W23+W24+W25+W26+W27</f>
        <v>19602222</v>
      </c>
      <c r="X29" s="185">
        <f ca="1">X15+X16+X18+X19+X20+X21+X23+X24+X25+X26+X27</f>
        <v>16949951</v>
      </c>
      <c r="Y29" s="185">
        <f>Y15+Y16+Y18+Y19+Y20+Y21+Y23+Y24+Y25+Y26+Y27</f>
        <v>5113459</v>
      </c>
      <c r="Z29" s="185">
        <f ca="1">Z15+Z16+Z18+Z19+Z20+Z21+Z23+Z24+Z25+Z26+Z27</f>
        <v>5341814</v>
      </c>
    </row>
    <row r="30" spans="1:26" x14ac:dyDescent="0.2">
      <c r="A30" s="166"/>
      <c r="B30" s="33"/>
      <c r="C30" s="139"/>
      <c r="P30" s="33"/>
      <c r="Q30" s="139"/>
      <c r="R30" s="170"/>
      <c r="S30" s="171"/>
      <c r="T30" s="166"/>
      <c r="V30" s="132"/>
      <c r="W30" s="132"/>
      <c r="X30" s="132"/>
      <c r="Y30" s="132"/>
      <c r="Z30" s="132"/>
    </row>
    <row r="31" spans="1:26" s="12" customFormat="1" ht="14.25" x14ac:dyDescent="0.2">
      <c r="A31" s="166"/>
      <c r="B31" s="33"/>
      <c r="C31" s="139"/>
      <c r="D31" s="17" t="s">
        <v>11</v>
      </c>
      <c r="P31" s="33"/>
      <c r="Q31" s="139"/>
      <c r="R31" s="170"/>
      <c r="S31" s="171"/>
      <c r="T31" s="171"/>
      <c r="V31" s="186" t="s">
        <v>11</v>
      </c>
      <c r="W31" s="187"/>
      <c r="X31" s="187"/>
      <c r="Y31" s="187"/>
      <c r="Z31" s="187"/>
    </row>
    <row r="32" spans="1:26" ht="14.25" customHeight="1" x14ac:dyDescent="0.2">
      <c r="A32" s="166"/>
      <c r="B32" s="33"/>
      <c r="C32" s="139"/>
      <c r="D32" s="213" t="str">
        <f>D12</f>
        <v>Produção - 2015 (dezembro) e Previsão de safra 2016 (dezembro)</v>
      </c>
      <c r="E32" s="214"/>
      <c r="F32" s="214"/>
      <c r="G32" s="214"/>
      <c r="H32" s="214"/>
      <c r="I32" s="214"/>
      <c r="K32" s="215" t="str">
        <f>K12</f>
        <v>Área plantada - 2015 (dezembro) e Previsão de safra 2016 (dezembro)</v>
      </c>
      <c r="L32" s="216"/>
      <c r="M32" s="216"/>
      <c r="N32" s="216"/>
      <c r="O32" s="216"/>
      <c r="P32" s="33"/>
      <c r="Q32" s="139"/>
      <c r="R32" s="170"/>
      <c r="S32" s="171"/>
      <c r="T32" s="166"/>
      <c r="V32" s="201" t="e">
        <f>#REF!</f>
        <v>#REF!</v>
      </c>
      <c r="W32" s="198"/>
      <c r="X32" s="198"/>
      <c r="Y32" s="198"/>
      <c r="Z32" s="198"/>
    </row>
    <row r="33" spans="1:26" ht="12.75" customHeight="1" x14ac:dyDescent="0.2">
      <c r="A33" s="166"/>
      <c r="B33" s="33"/>
      <c r="C33" s="139"/>
      <c r="D33" s="203" t="s">
        <v>49</v>
      </c>
      <c r="E33" s="205" t="s">
        <v>7</v>
      </c>
      <c r="F33" s="206"/>
      <c r="G33" s="163" t="s">
        <v>108</v>
      </c>
      <c r="H33" s="203" t="s">
        <v>8</v>
      </c>
      <c r="I33" s="203" t="str">
        <f>I13</f>
        <v>Ranking Nacional</v>
      </c>
      <c r="K33" s="203" t="s">
        <v>43</v>
      </c>
      <c r="L33" s="205" t="s">
        <v>7</v>
      </c>
      <c r="M33" s="206"/>
      <c r="N33" s="203" t="s">
        <v>8</v>
      </c>
      <c r="O33" s="203" t="str">
        <f>O13</f>
        <v>Ranking Nacional</v>
      </c>
      <c r="P33" s="33"/>
      <c r="Q33" s="139"/>
      <c r="R33" s="170"/>
      <c r="S33" s="171"/>
      <c r="T33" s="166"/>
      <c r="V33" s="199" t="s">
        <v>49</v>
      </c>
      <c r="W33" s="196" t="s">
        <v>7</v>
      </c>
      <c r="X33" s="197"/>
      <c r="Y33" s="196" t="s">
        <v>7</v>
      </c>
      <c r="Z33" s="197"/>
    </row>
    <row r="34" spans="1:26" ht="25.5" customHeight="1" x14ac:dyDescent="0.2">
      <c r="A34" s="166"/>
      <c r="B34" s="33"/>
      <c r="C34" s="139"/>
      <c r="D34" s="204"/>
      <c r="E34" s="13" t="str">
        <f>E14</f>
        <v>Safra 2015</v>
      </c>
      <c r="F34" s="13" t="str">
        <f>F14</f>
        <v>Safra 2016</v>
      </c>
      <c r="G34" s="160" t="s">
        <v>107</v>
      </c>
      <c r="H34" s="204"/>
      <c r="I34" s="204"/>
      <c r="K34" s="204"/>
      <c r="L34" s="13" t="str">
        <f>L14</f>
        <v>Safra 2015</v>
      </c>
      <c r="M34" s="13" t="str">
        <f>F34</f>
        <v>Safra 2016</v>
      </c>
      <c r="N34" s="204"/>
      <c r="O34" s="204"/>
      <c r="P34" s="33"/>
      <c r="Q34" s="139"/>
      <c r="R34" s="170"/>
      <c r="S34" s="171"/>
      <c r="T34" s="166"/>
      <c r="V34" s="200"/>
      <c r="W34" s="180" t="str">
        <f>W14</f>
        <v>Safra 2015</v>
      </c>
      <c r="X34" s="180" t="str">
        <f>X14</f>
        <v>Safra 2016</v>
      </c>
      <c r="Y34" s="180" t="str">
        <f>Y14</f>
        <v>Safra 2015</v>
      </c>
      <c r="Z34" s="180" t="str">
        <f>Z14</f>
        <v>Safra 2016</v>
      </c>
    </row>
    <row r="35" spans="1:26" x14ac:dyDescent="0.2">
      <c r="A35" s="166"/>
      <c r="B35" s="33"/>
      <c r="C35" s="139"/>
      <c r="D35" s="18" t="s">
        <v>62</v>
      </c>
      <c r="E35" s="14">
        <f>W35</f>
        <v>62914</v>
      </c>
      <c r="F35" s="14">
        <f>X35</f>
        <v>62850</v>
      </c>
      <c r="G35" s="14">
        <f>+F35/M35*1000</f>
        <v>18556.244464127543</v>
      </c>
      <c r="H35" s="24">
        <f>TRUNC(((F35/E35)-1)*100,2)</f>
        <v>-0.1</v>
      </c>
      <c r="I35" s="19">
        <f>Entrada_Dados!B231</f>
        <v>10</v>
      </c>
      <c r="K35" s="18" t="s">
        <v>61</v>
      </c>
      <c r="L35" s="14">
        <f>Y35</f>
        <v>2850</v>
      </c>
      <c r="M35" s="14">
        <f>Z35</f>
        <v>3387</v>
      </c>
      <c r="N35" s="24">
        <f>TRUNC(((M35/L35)-1)*100,2)</f>
        <v>18.84</v>
      </c>
      <c r="O35" s="19">
        <f>Entrada_Dados!H231</f>
        <v>10</v>
      </c>
      <c r="P35" s="33"/>
      <c r="Q35" s="139"/>
      <c r="R35" s="170"/>
      <c r="S35" s="171"/>
      <c r="T35" s="166"/>
      <c r="V35" s="134" t="s">
        <v>62</v>
      </c>
      <c r="W35" s="181">
        <f>SUMIF(Entrada_Dados!$C$233:$C$259,$V$12,Entrada_Dados!D233:D259)</f>
        <v>62914</v>
      </c>
      <c r="X35" s="181">
        <f>SUMIF(Entrada_Dados!$C$233:$C$259,$V$12,Entrada_Dados!E233:E259)</f>
        <v>62850</v>
      </c>
      <c r="Y35" s="181">
        <f>SUMIF(Entrada_Dados!$I$233:$I$259,$V$12,Entrada_Dados!J233:J259)</f>
        <v>2850</v>
      </c>
      <c r="Z35" s="181">
        <f>SUMIF(Entrada_Dados!$I$233:$I$259,$V$12,Entrada_Dados!K233:K259)</f>
        <v>3387</v>
      </c>
    </row>
    <row r="36" spans="1:26" x14ac:dyDescent="0.2">
      <c r="A36" s="166"/>
      <c r="B36" s="33"/>
      <c r="C36" s="139"/>
      <c r="D36" s="144" t="s">
        <v>58</v>
      </c>
      <c r="E36" s="145">
        <f t="shared" ref="E36:F38" si="7">W36</f>
        <v>70412725</v>
      </c>
      <c r="F36" s="145">
        <f t="shared" si="7"/>
        <v>70493478</v>
      </c>
      <c r="G36" s="145">
        <f t="shared" ref="G36:G42" si="8">+F36/M36*1000</f>
        <v>69534.80168911221</v>
      </c>
      <c r="H36" s="146">
        <f>TRUNC(((F36/E36)-1)*100,2)</f>
        <v>0.11</v>
      </c>
      <c r="I36" s="147">
        <f>Entrada_Dados!B194</f>
        <v>2</v>
      </c>
      <c r="K36" s="144" t="s">
        <v>58</v>
      </c>
      <c r="L36" s="145">
        <f t="shared" ref="L36:M38" si="9">Y36</f>
        <v>911847</v>
      </c>
      <c r="M36" s="145">
        <f t="shared" si="9"/>
        <v>1013787</v>
      </c>
      <c r="N36" s="146">
        <f>TRUNC(((M36/L36)-1)*100,2)</f>
        <v>11.17</v>
      </c>
      <c r="O36" s="147">
        <f>Entrada_Dados!H194</f>
        <v>3</v>
      </c>
      <c r="P36" s="33"/>
      <c r="Q36" s="139"/>
      <c r="R36" s="170"/>
      <c r="S36" s="171"/>
      <c r="T36" s="166"/>
      <c r="V36" s="151" t="s">
        <v>58</v>
      </c>
      <c r="W36" s="153">
        <f>SUMIF(Entrada_Dados!$C$196:$C$222,$V$12,Entrada_Dados!D196:D222)</f>
        <v>70412725</v>
      </c>
      <c r="X36" s="153">
        <f>SUMIF(Entrada_Dados!$C$196:$C$222,$V$12,Entrada_Dados!E196:E222)</f>
        <v>70493478</v>
      </c>
      <c r="Y36" s="153">
        <f>SUMIF(Entrada_Dados!$I$196:$I$222,$V$12,Entrada_Dados!J196:J222)</f>
        <v>911847</v>
      </c>
      <c r="Z36" s="153">
        <f>SUMIF(Entrada_Dados!$I$196:$I$222,$V$12,Entrada_Dados!K196:K222)</f>
        <v>1013787</v>
      </c>
    </row>
    <row r="37" spans="1:26" x14ac:dyDescent="0.2">
      <c r="A37" s="166"/>
      <c r="B37" s="33"/>
      <c r="C37" s="139"/>
      <c r="D37" s="18" t="s">
        <v>59</v>
      </c>
      <c r="E37" s="14">
        <f t="shared" si="7"/>
        <v>207751</v>
      </c>
      <c r="F37" s="14">
        <f t="shared" si="7"/>
        <v>213367</v>
      </c>
      <c r="G37" s="14">
        <f t="shared" si="8"/>
        <v>10359.129970384038</v>
      </c>
      <c r="H37" s="24">
        <f>TRUNC(((F37/E37)-1)*100,2)</f>
        <v>2.7</v>
      </c>
      <c r="I37" s="19">
        <f>Entrada_Dados!B453</f>
        <v>18</v>
      </c>
      <c r="K37" s="18" t="s">
        <v>59</v>
      </c>
      <c r="L37" s="14">
        <f t="shared" si="9"/>
        <v>12721</v>
      </c>
      <c r="M37" s="14">
        <f t="shared" si="9"/>
        <v>20597</v>
      </c>
      <c r="N37" s="24">
        <f>TRUNC(((M37/L37)-1)*100,2)</f>
        <v>61.91</v>
      </c>
      <c r="O37" s="19">
        <f>Entrada_Dados!H453</f>
        <v>22</v>
      </c>
      <c r="P37" s="33"/>
      <c r="Q37" s="139"/>
      <c r="R37" s="170"/>
      <c r="S37" s="171"/>
      <c r="T37" s="166"/>
      <c r="V37" s="134" t="s">
        <v>59</v>
      </c>
      <c r="W37" s="181">
        <f>SUMIF(Entrada_Dados!$C$455:$C$481,$V$12,Entrada_Dados!D455:D481)</f>
        <v>207751</v>
      </c>
      <c r="X37" s="181">
        <f>SUMIF(Entrada_Dados!$C$455:$C$481,$V$12,Entrada_Dados!E455:E481)</f>
        <v>213367</v>
      </c>
      <c r="Y37" s="181">
        <f>SUMIF(Entrada_Dados!$I$455:$I$481,$V$12,Entrada_Dados!J455:J481)</f>
        <v>12721</v>
      </c>
      <c r="Z37" s="181">
        <f>SUMIF(Entrada_Dados!$I$455:$I$481,$V$12,Entrada_Dados!K455:K481)</f>
        <v>20597</v>
      </c>
    </row>
    <row r="38" spans="1:26" x14ac:dyDescent="0.2">
      <c r="A38" s="166"/>
      <c r="B38" s="33"/>
      <c r="C38" s="139"/>
      <c r="D38" s="144" t="s">
        <v>60</v>
      </c>
      <c r="E38" s="145">
        <f t="shared" si="7"/>
        <v>912976</v>
      </c>
      <c r="F38" s="145">
        <f t="shared" si="7"/>
        <v>978258</v>
      </c>
      <c r="G38" s="145">
        <f t="shared" si="8"/>
        <v>81507.915347442089</v>
      </c>
      <c r="H38" s="146">
        <f>TRUNC(((F38/E38)-1)*100,2)</f>
        <v>7.15</v>
      </c>
      <c r="I38" s="147">
        <f>Entrada_Dados!B601</f>
        <v>1</v>
      </c>
      <c r="K38" s="144" t="s">
        <v>60</v>
      </c>
      <c r="L38" s="145">
        <f t="shared" si="9"/>
        <v>10664</v>
      </c>
      <c r="M38" s="145">
        <f t="shared" si="9"/>
        <v>12002</v>
      </c>
      <c r="N38" s="146">
        <f>TRUNC(((M38/L38)-1)*100,2)</f>
        <v>12.54</v>
      </c>
      <c r="O38" s="147">
        <f>Entrada_Dados!H601</f>
        <v>1</v>
      </c>
      <c r="P38" s="33"/>
      <c r="Q38" s="139"/>
      <c r="R38" s="170"/>
      <c r="S38" s="171"/>
      <c r="T38" s="166"/>
      <c r="V38" s="151" t="s">
        <v>60</v>
      </c>
      <c r="W38" s="153">
        <f>SUMIF(Entrada_Dados!$C$603:$C$629,$V$12,Entrada_Dados!D603:D629)</f>
        <v>912976</v>
      </c>
      <c r="X38" s="153">
        <f>SUMIF(Entrada_Dados!$C$603:$C$629,$V$12,Entrada_Dados!E603:E629)</f>
        <v>978258</v>
      </c>
      <c r="Y38" s="153">
        <f>SUMIF(Entrada_Dados!$I$603:$I$629,$V$12,Entrada_Dados!J603:J629)</f>
        <v>10664</v>
      </c>
      <c r="Z38" s="153">
        <f>SUMIF(Entrada_Dados!$I$603:$I$629,$V$12,Entrada_Dados!K603:K629)</f>
        <v>12002</v>
      </c>
    </row>
    <row r="39" spans="1:26" x14ac:dyDescent="0.2">
      <c r="A39" s="166"/>
      <c r="B39" s="33"/>
      <c r="C39" s="139"/>
      <c r="H39" s="24"/>
      <c r="N39" s="24"/>
      <c r="P39" s="33"/>
      <c r="Q39" s="139"/>
      <c r="R39" s="170"/>
      <c r="S39" s="171"/>
      <c r="T39" s="166"/>
    </row>
    <row r="40" spans="1:26" x14ac:dyDescent="0.2">
      <c r="A40" s="166"/>
      <c r="B40" s="33"/>
      <c r="C40" s="139"/>
      <c r="D40" s="22" t="s">
        <v>64</v>
      </c>
      <c r="E40" s="23">
        <f>SUM(E35:E39)</f>
        <v>71596366</v>
      </c>
      <c r="F40" s="23">
        <f>SUM(F35:F39)</f>
        <v>71747953</v>
      </c>
      <c r="G40" s="23">
        <f t="shared" si="8"/>
        <v>68346.15959831317</v>
      </c>
      <c r="H40" s="25">
        <f>TRUNC(((F40/E40)-1)*100,2)</f>
        <v>0.21</v>
      </c>
      <c r="I40" s="130" t="s">
        <v>3</v>
      </c>
      <c r="J40" s="12"/>
      <c r="K40" s="22" t="str">
        <f>D40</f>
        <v xml:space="preserve"> Total (Outros) - B</v>
      </c>
      <c r="L40" s="23">
        <f>SUM(L35:L39)</f>
        <v>938082</v>
      </c>
      <c r="M40" s="23">
        <f>SUM(M35:M39)</f>
        <v>1049773</v>
      </c>
      <c r="N40" s="25">
        <f>TRUNC(((M40/L40)-1)*100,2)</f>
        <v>11.9</v>
      </c>
      <c r="O40" s="130" t="s">
        <v>3</v>
      </c>
      <c r="P40" s="33"/>
      <c r="Q40" s="139"/>
      <c r="R40" s="170"/>
      <c r="S40" s="172"/>
      <c r="T40" s="166"/>
    </row>
    <row r="41" spans="1:26" x14ac:dyDescent="0.2">
      <c r="A41" s="166"/>
      <c r="B41" s="33"/>
      <c r="C41" s="139"/>
      <c r="H41" s="27"/>
      <c r="N41" s="27"/>
      <c r="P41" s="33"/>
      <c r="Q41" s="139"/>
      <c r="R41" s="170"/>
      <c r="S41" s="172"/>
      <c r="T41" s="166"/>
    </row>
    <row r="42" spans="1:26" x14ac:dyDescent="0.2">
      <c r="A42" s="166"/>
      <c r="B42" s="33"/>
      <c r="C42" s="139"/>
      <c r="D42" s="22" t="s">
        <v>65</v>
      </c>
      <c r="E42" s="23">
        <f>E29+E40</f>
        <v>91198588</v>
      </c>
      <c r="F42" s="23">
        <f ca="1">F29+F40</f>
        <v>88697904</v>
      </c>
      <c r="G42" s="23">
        <f t="shared" ca="1" si="8"/>
        <v>13877.2896308851</v>
      </c>
      <c r="H42" s="25">
        <f ca="1">TRUNC(((F42/E42)-1)*100,2)</f>
        <v>-2.74</v>
      </c>
      <c r="I42" s="130" t="s">
        <v>3</v>
      </c>
      <c r="J42" s="12"/>
      <c r="K42" s="22" t="str">
        <f>D42</f>
        <v xml:space="preserve"> Total Geral (A + B)</v>
      </c>
      <c r="L42" s="23">
        <f>L29+L40</f>
        <v>6051541</v>
      </c>
      <c r="M42" s="23">
        <f ca="1">M29+M40</f>
        <v>6391587</v>
      </c>
      <c r="N42" s="25">
        <f ca="1">TRUNC(((M42/L42)-1)*100,2)</f>
        <v>5.61</v>
      </c>
      <c r="O42" s="130" t="s">
        <v>3</v>
      </c>
      <c r="P42" s="33"/>
      <c r="Q42" s="139"/>
      <c r="R42" s="170"/>
      <c r="S42" s="172"/>
      <c r="T42" s="166"/>
    </row>
    <row r="43" spans="1:26" x14ac:dyDescent="0.2">
      <c r="A43" s="166"/>
      <c r="B43" s="33"/>
      <c r="C43" s="139"/>
      <c r="D43" s="31"/>
      <c r="E43" s="30"/>
      <c r="F43" s="30"/>
      <c r="G43" s="30"/>
      <c r="H43" s="32"/>
      <c r="I43" s="28"/>
      <c r="J43" s="12"/>
      <c r="K43" s="29"/>
      <c r="L43" s="30"/>
      <c r="M43" s="30"/>
      <c r="N43" s="32"/>
      <c r="O43" s="28"/>
      <c r="P43" s="33"/>
      <c r="Q43" s="139"/>
      <c r="R43" s="170"/>
      <c r="S43" s="172"/>
      <c r="T43" s="166"/>
    </row>
    <row r="44" spans="1:26" ht="12.75" customHeight="1" x14ac:dyDescent="0.2">
      <c r="A44" s="166"/>
      <c r="B44" s="33"/>
      <c r="C44" s="139"/>
      <c r="D44" s="217" t="s">
        <v>110</v>
      </c>
      <c r="E44" s="218"/>
      <c r="F44" s="218"/>
      <c r="G44" s="218"/>
      <c r="H44" s="218"/>
      <c r="I44" s="218"/>
      <c r="J44" s="218"/>
      <c r="K44" s="218"/>
      <c r="L44" s="218"/>
      <c r="M44" s="218"/>
      <c r="N44" s="218"/>
      <c r="O44" s="219"/>
      <c r="P44" s="33"/>
      <c r="Q44" s="139"/>
      <c r="R44" s="170"/>
      <c r="S44" s="166"/>
      <c r="T44" s="166"/>
    </row>
    <row r="45" spans="1:26" x14ac:dyDescent="0.2">
      <c r="A45" s="166"/>
      <c r="B45" s="33"/>
      <c r="C45" s="139"/>
      <c r="D45" s="131" t="str">
        <f>CONCATENATE("Rendimento Médio e Ranking Nacional - Referente a Previsão Safra ",Entrada_Dados!D5," (",Entrada_Dados!E5,")")</f>
        <v>Rendimento Médio e Ranking Nacional - Referente a Previsão Safra 2016 (dezembro)</v>
      </c>
      <c r="P45" s="33"/>
      <c r="Q45" s="139"/>
      <c r="R45" s="170"/>
      <c r="S45" s="166"/>
      <c r="T45" s="166"/>
    </row>
    <row r="46" spans="1:26" ht="9.75" customHeight="1" thickBot="1" x14ac:dyDescent="0.25">
      <c r="A46" s="166"/>
      <c r="B46" s="33"/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0"/>
      <c r="R46" s="166"/>
      <c r="S46" s="166"/>
      <c r="T46" s="166"/>
    </row>
    <row r="47" spans="1:26" ht="13.5" thickTop="1" x14ac:dyDescent="0.2">
      <c r="A47" s="166"/>
      <c r="R47" s="166"/>
      <c r="S47" s="166"/>
      <c r="T47" s="166"/>
    </row>
    <row r="48" spans="1:26" x14ac:dyDescent="0.2">
      <c r="A48" s="166"/>
      <c r="R48" s="166"/>
      <c r="S48" s="166"/>
      <c r="T48" s="166"/>
    </row>
  </sheetData>
  <sheetProtection password="D2FB" sheet="1" objects="1" scenarios="1"/>
  <mergeCells count="32">
    <mergeCell ref="D44:O44"/>
    <mergeCell ref="N13:N14"/>
    <mergeCell ref="O13:O14"/>
    <mergeCell ref="D32:I32"/>
    <mergeCell ref="K32:O32"/>
    <mergeCell ref="D33:D34"/>
    <mergeCell ref="O33:O34"/>
    <mergeCell ref="I13:I14"/>
    <mergeCell ref="K13:K14"/>
    <mergeCell ref="L13:M13"/>
    <mergeCell ref="E33:F33"/>
    <mergeCell ref="H33:H34"/>
    <mergeCell ref="H13:H14"/>
    <mergeCell ref="N33:N34"/>
    <mergeCell ref="D13:D14"/>
    <mergeCell ref="E13:F13"/>
    <mergeCell ref="M7:O7"/>
    <mergeCell ref="I33:I34"/>
    <mergeCell ref="K33:K34"/>
    <mergeCell ref="L33:M33"/>
    <mergeCell ref="D8:O8"/>
    <mergeCell ref="D9:O9"/>
    <mergeCell ref="D12:I12"/>
    <mergeCell ref="K12:O12"/>
    <mergeCell ref="Y13:Z13"/>
    <mergeCell ref="Y32:Z32"/>
    <mergeCell ref="Y33:Z33"/>
    <mergeCell ref="V33:V34"/>
    <mergeCell ref="W33:X33"/>
    <mergeCell ref="V13:V14"/>
    <mergeCell ref="W13:X13"/>
    <mergeCell ref="V32:X32"/>
  </mergeCells>
  <conditionalFormatting sqref="H35:H43 N35:N43 H15:H29 N15:N29">
    <cfRule type="cellIs" dxfId="178" priority="3" stopIfTrue="1" operator="lessThan">
      <formula>0</formula>
    </cfRule>
    <cfRule type="cellIs" dxfId="177" priority="4" stopIfTrue="1" operator="greaterThan">
      <formula>0</formula>
    </cfRule>
  </conditionalFormatting>
  <printOptions horizontalCentered="1" verticalCentered="1"/>
  <pageMargins left="0.19685039370078741" right="0.19685039370078741" top="0.39370078740157483" bottom="0.78740157480314965" header="0.31496062992125984" footer="0.39370078740157483"/>
  <pageSetup paperSize="9" scale="90" orientation="landscape" r:id="rId1"/>
  <headerFooter alignWithMargins="0">
    <oddFooter>&amp;C&amp;"Arial,Itálico"&amp;9Superintendência de Política Agrícola, Agronegócios e Irrigação
Gerência de Agronegócio e Estatística / Coordenação de Estudos de Mercados, Estatística e Acompanhamento de Safras (CEMEAS)
Página &amp;P / &amp;N</oddFooter>
  </headerFooter>
  <rowBreaks count="1" manualBreakCount="1">
    <brk id="2" max="16383" man="1"/>
  </rowBreaks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U391"/>
  <sheetViews>
    <sheetView showGridLines="0" workbookViewId="0"/>
  </sheetViews>
  <sheetFormatPr defaultColWidth="0" defaultRowHeight="12.75" zeroHeight="1" x14ac:dyDescent="0.2"/>
  <cols>
    <col min="1" max="1" width="9.140625" customWidth="1"/>
    <col min="2" max="2" width="4" customWidth="1"/>
    <col min="3" max="3" width="1.85546875" customWidth="1"/>
    <col min="4" max="4" width="4.7109375" customWidth="1"/>
    <col min="5" max="5" width="21.7109375" customWidth="1"/>
    <col min="6" max="7" width="12.7109375" customWidth="1"/>
    <col min="8" max="8" width="7.7109375" customWidth="1"/>
    <col min="9" max="9" width="6.7109375" customWidth="1"/>
    <col min="10" max="10" width="6.5703125" customWidth="1"/>
    <col min="11" max="11" width="4.7109375" customWidth="1"/>
    <col min="12" max="12" width="21.7109375" customWidth="1"/>
    <col min="13" max="14" width="12.7109375" customWidth="1"/>
    <col min="15" max="15" width="7.7109375" customWidth="1"/>
    <col min="16" max="16" width="6.7109375" customWidth="1"/>
    <col min="17" max="17" width="2" customWidth="1"/>
    <col min="18" max="18" width="4" style="9" customWidth="1"/>
    <col min="19" max="19" width="8.7109375" style="9" customWidth="1"/>
    <col min="20" max="20" width="10.7109375" style="9" customWidth="1"/>
    <col min="21" max="21" width="8.7109375" style="9" customWidth="1"/>
    <col min="22" max="16384" width="9.140625" hidden="1"/>
  </cols>
  <sheetData>
    <row r="1" spans="1:21" ht="10.5" customHeight="1" thickBot="1" x14ac:dyDescent="0.25">
      <c r="A1" s="167"/>
      <c r="S1" s="167"/>
      <c r="T1" s="167"/>
      <c r="U1" s="167"/>
    </row>
    <row r="2" spans="1:21" s="33" customFormat="1" ht="10.5" customHeight="1" thickTop="1" x14ac:dyDescent="0.2">
      <c r="A2" s="168"/>
      <c r="C2" s="119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1"/>
      <c r="S2" s="167"/>
      <c r="T2" s="167"/>
      <c r="U2" s="167"/>
    </row>
    <row r="3" spans="1:21" ht="13.5" customHeight="1" x14ac:dyDescent="0.2">
      <c r="A3" s="167"/>
      <c r="C3" s="12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23"/>
      <c r="R3"/>
      <c r="S3" s="167"/>
      <c r="T3" s="167"/>
      <c r="U3" s="167"/>
    </row>
    <row r="4" spans="1:21" ht="15.75" customHeight="1" x14ac:dyDescent="0.2">
      <c r="A4" s="167"/>
      <c r="C4" s="12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23"/>
      <c r="R4"/>
      <c r="S4" s="167"/>
      <c r="T4" s="167"/>
      <c r="U4" s="167"/>
    </row>
    <row r="5" spans="1:21" ht="13.5" customHeight="1" x14ac:dyDescent="0.2">
      <c r="A5" s="167"/>
      <c r="C5" s="122"/>
      <c r="D5" s="3"/>
      <c r="E5" s="3"/>
      <c r="F5" s="3"/>
      <c r="G5" s="3"/>
      <c r="H5" s="3"/>
      <c r="I5" s="3"/>
      <c r="J5" s="3"/>
      <c r="K5" s="3"/>
      <c r="L5" s="3"/>
      <c r="M5" s="3"/>
      <c r="N5" s="116"/>
      <c r="O5" s="3"/>
      <c r="P5" s="3"/>
      <c r="Q5" s="123"/>
      <c r="R5"/>
      <c r="S5" s="167"/>
      <c r="T5" s="167"/>
      <c r="U5" s="167"/>
    </row>
    <row r="6" spans="1:21" ht="13.5" customHeight="1" x14ac:dyDescent="0.2">
      <c r="A6" s="167"/>
      <c r="C6" s="122"/>
      <c r="D6" s="3"/>
      <c r="E6" s="3"/>
      <c r="F6" s="3"/>
      <c r="G6" s="3"/>
      <c r="H6" s="3"/>
      <c r="I6" s="3"/>
      <c r="J6" s="3"/>
      <c r="K6" s="3"/>
      <c r="L6" s="3"/>
      <c r="M6" s="220">
        <f ca="1">NOW()</f>
        <v>42765.595905555558</v>
      </c>
      <c r="N6" s="220"/>
      <c r="O6" s="220"/>
      <c r="P6" s="220"/>
      <c r="Q6" s="123"/>
      <c r="R6"/>
      <c r="S6" s="167"/>
      <c r="T6" s="167"/>
      <c r="U6" s="167"/>
    </row>
    <row r="7" spans="1:21" ht="13.5" customHeight="1" x14ac:dyDescent="0.2">
      <c r="A7" s="167"/>
      <c r="C7" s="122"/>
      <c r="D7" s="221" t="s">
        <v>106</v>
      </c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123"/>
      <c r="R7"/>
      <c r="S7" s="167"/>
      <c r="T7" s="169"/>
      <c r="U7" s="167"/>
    </row>
    <row r="8" spans="1:21" ht="13.5" customHeight="1" x14ac:dyDescent="0.2">
      <c r="A8" s="167"/>
      <c r="C8" s="122"/>
      <c r="D8" s="223" t="str">
        <f>CONCATENATE("Referência: Produção da Safra ",Entrada_Dados!D4,," (",Entrada_Dados!E4,") com Previsão da Safra ",Entrada_Dados!D5," (mês de ", Entrada_Dados!E5,")")</f>
        <v>Referência: Produção da Safra 2015 (dezembro) com Previsão da Safra 2016 (mês de dezembro)</v>
      </c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123"/>
      <c r="R8"/>
      <c r="S8" s="167"/>
      <c r="T8" s="169"/>
      <c r="U8" s="167"/>
    </row>
    <row r="9" spans="1:21" ht="13.5" customHeight="1" x14ac:dyDescent="0.2">
      <c r="A9" s="167"/>
      <c r="C9" s="12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23"/>
      <c r="R9"/>
      <c r="S9" s="167"/>
      <c r="T9" s="169"/>
      <c r="U9" s="167"/>
    </row>
    <row r="10" spans="1:21" ht="13.5" customHeight="1" x14ac:dyDescent="0.2">
      <c r="A10" s="167"/>
      <c r="C10" s="122"/>
      <c r="D10" s="194" t="s">
        <v>208</v>
      </c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23"/>
      <c r="R10"/>
      <c r="S10" s="167"/>
      <c r="T10" s="169"/>
      <c r="U10" s="167"/>
    </row>
    <row r="11" spans="1:21" ht="13.5" customHeight="1" x14ac:dyDescent="0.2">
      <c r="A11" s="167"/>
      <c r="C11" s="122"/>
      <c r="D11" s="226" t="s">
        <v>70</v>
      </c>
      <c r="E11" s="227"/>
      <c r="F11" s="227"/>
      <c r="G11" s="227"/>
      <c r="H11" s="227"/>
      <c r="I11" s="228"/>
      <c r="J11" s="3"/>
      <c r="K11" s="226" t="s">
        <v>1</v>
      </c>
      <c r="L11" s="227"/>
      <c r="M11" s="227"/>
      <c r="N11" s="227"/>
      <c r="O11" s="227"/>
      <c r="P11" s="228"/>
      <c r="Q11" s="123"/>
      <c r="R11"/>
      <c r="S11" s="167"/>
      <c r="T11" s="167"/>
      <c r="U11" s="167"/>
    </row>
    <row r="12" spans="1:21" ht="13.5" customHeight="1" x14ac:dyDescent="0.2">
      <c r="A12" s="167"/>
      <c r="C12" s="122"/>
      <c r="D12" s="47" t="s">
        <v>67</v>
      </c>
      <c r="E12" s="46" t="s">
        <v>71</v>
      </c>
      <c r="F12" s="45">
        <f>Entrada_Dados!D4</f>
        <v>2015</v>
      </c>
      <c r="G12" s="45">
        <f>Entrada_Dados!D5</f>
        <v>2016</v>
      </c>
      <c r="H12" s="45" t="s">
        <v>69</v>
      </c>
      <c r="I12" s="45" t="s">
        <v>66</v>
      </c>
      <c r="J12" s="8"/>
      <c r="K12" s="47" t="s">
        <v>67</v>
      </c>
      <c r="L12" s="46" t="s">
        <v>71</v>
      </c>
      <c r="M12" s="45">
        <f>$F$12</f>
        <v>2015</v>
      </c>
      <c r="N12" s="45">
        <f>$G$12</f>
        <v>2016</v>
      </c>
      <c r="O12" s="45" t="s">
        <v>69</v>
      </c>
      <c r="P12" s="45" t="s">
        <v>66</v>
      </c>
      <c r="Q12" s="123"/>
      <c r="R12"/>
      <c r="S12" s="167"/>
      <c r="T12" s="167"/>
      <c r="U12" s="167"/>
    </row>
    <row r="13" spans="1:21" ht="13.5" customHeight="1" x14ac:dyDescent="0.2">
      <c r="A13" s="167"/>
      <c r="C13" s="122"/>
      <c r="D13" s="73"/>
      <c r="E13" s="74" t="s">
        <v>68</v>
      </c>
      <c r="F13" s="75">
        <f>SUM(F14:F23)</f>
        <v>198542345</v>
      </c>
      <c r="G13" s="75">
        <f>SUM(G14:G23)</f>
        <v>176706800</v>
      </c>
      <c r="H13" s="76">
        <f t="shared" ref="H13:H25" si="0">G13*100/$G$25</f>
        <v>95.334773572143845</v>
      </c>
      <c r="I13" s="77">
        <f t="shared" ref="I13:I25" si="1">TRUNC(((G13/F13)-1)*100,2)</f>
        <v>-10.99</v>
      </c>
      <c r="J13" s="8"/>
      <c r="K13" s="73"/>
      <c r="L13" s="74" t="s">
        <v>68</v>
      </c>
      <c r="M13" s="75">
        <f>SUM(M14:M23)</f>
        <v>52637664</v>
      </c>
      <c r="N13" s="75">
        <f>SUM(N14:N23)</f>
        <v>53016176</v>
      </c>
      <c r="O13" s="76">
        <f t="shared" ref="O13:O25" si="2">N13*100/$N$25</f>
        <v>90.32573311212893</v>
      </c>
      <c r="P13" s="77">
        <f t="shared" ref="P13:P25" si="3">TRUNC(((N13/M13)-1)*100,2)</f>
        <v>0.71</v>
      </c>
      <c r="Q13" s="123"/>
      <c r="R13"/>
      <c r="S13" s="167"/>
      <c r="T13" s="167"/>
      <c r="U13" s="167"/>
    </row>
    <row r="14" spans="1:21" ht="13.5" customHeight="1" x14ac:dyDescent="0.2">
      <c r="A14" s="167"/>
      <c r="C14" s="122"/>
      <c r="D14" s="78">
        <v>1</v>
      </c>
      <c r="E14" s="143" t="str">
        <f>Entrada_Dados!C14</f>
        <v>Mato Grosso</v>
      </c>
      <c r="F14" s="80">
        <f>Entrada_Dados!D14</f>
        <v>52952205</v>
      </c>
      <c r="G14" s="81">
        <f>Entrada_Dados!E14</f>
        <v>44784260</v>
      </c>
      <c r="H14" s="82">
        <f t="shared" si="0"/>
        <v>24.161477015576192</v>
      </c>
      <c r="I14" s="83">
        <f t="shared" si="1"/>
        <v>-15.42</v>
      </c>
      <c r="J14" s="8"/>
      <c r="K14" s="78">
        <v>1</v>
      </c>
      <c r="L14" s="79" t="str">
        <f>Entrada_Dados!I14</f>
        <v>Mato Grosso</v>
      </c>
      <c r="M14" s="80">
        <f>Entrada_Dados!J14</f>
        <v>13783063</v>
      </c>
      <c r="N14" s="81">
        <f>Entrada_Dados!K14</f>
        <v>14190706</v>
      </c>
      <c r="O14" s="82">
        <f t="shared" si="2"/>
        <v>24.177260970853251</v>
      </c>
      <c r="P14" s="83">
        <f t="shared" si="3"/>
        <v>2.95</v>
      </c>
      <c r="Q14" s="123"/>
      <c r="R14"/>
      <c r="S14" s="167"/>
      <c r="T14" s="167"/>
      <c r="U14" s="167"/>
    </row>
    <row r="15" spans="1:21" ht="13.5" customHeight="1" x14ac:dyDescent="0.2">
      <c r="A15" s="167"/>
      <c r="C15" s="122"/>
      <c r="D15" s="84">
        <v>2</v>
      </c>
      <c r="E15" s="85" t="str">
        <f>Entrada_Dados!C15</f>
        <v>Paraná</v>
      </c>
      <c r="F15" s="86">
        <f>Entrada_Dados!D15</f>
        <v>37524777</v>
      </c>
      <c r="G15" s="87">
        <f>Entrada_Dados!E15</f>
        <v>35031589</v>
      </c>
      <c r="H15" s="88">
        <f t="shared" si="0"/>
        <v>18.899830709329834</v>
      </c>
      <c r="I15" s="89">
        <f t="shared" si="1"/>
        <v>-6.64</v>
      </c>
      <c r="J15" s="8"/>
      <c r="K15" s="84">
        <v>2</v>
      </c>
      <c r="L15" s="85" t="str">
        <f>Entrada_Dados!I15</f>
        <v>Paraná</v>
      </c>
      <c r="M15" s="86">
        <f>Entrada_Dados!J15</f>
        <v>9585204</v>
      </c>
      <c r="N15" s="87">
        <f>Entrada_Dados!K15</f>
        <v>9679898</v>
      </c>
      <c r="O15" s="88">
        <f t="shared" si="2"/>
        <v>16.492020912648069</v>
      </c>
      <c r="P15" s="89">
        <f t="shared" si="3"/>
        <v>0.98</v>
      </c>
      <c r="Q15" s="123"/>
      <c r="R15"/>
      <c r="S15" s="167"/>
      <c r="T15" s="167"/>
      <c r="U15" s="167"/>
    </row>
    <row r="16" spans="1:21" ht="13.5" customHeight="1" x14ac:dyDescent="0.2">
      <c r="A16" s="167"/>
      <c r="C16" s="122"/>
      <c r="D16" s="90">
        <v>3</v>
      </c>
      <c r="E16" s="91" t="str">
        <f>Entrada_Dados!C16</f>
        <v>Rio Grande do Sul</v>
      </c>
      <c r="F16" s="92">
        <f>Entrada_Dados!D16</f>
        <v>31820894</v>
      </c>
      <c r="G16" s="93">
        <f>Entrada_Dados!E16</f>
        <v>31909823</v>
      </c>
      <c r="H16" s="94">
        <f t="shared" si="0"/>
        <v>17.215612248267682</v>
      </c>
      <c r="I16" s="95">
        <f t="shared" si="1"/>
        <v>0.27</v>
      </c>
      <c r="J16" s="8"/>
      <c r="K16" s="90">
        <v>3</v>
      </c>
      <c r="L16" s="91" t="str">
        <f>Entrada_Dados!I16</f>
        <v>Rio Grande do Sul</v>
      </c>
      <c r="M16" s="92">
        <f>Entrada_Dados!J16</f>
        <v>8428788</v>
      </c>
      <c r="N16" s="93">
        <f>Entrada_Dados!K16</f>
        <v>8422852</v>
      </c>
      <c r="O16" s="94">
        <f t="shared" si="2"/>
        <v>14.350342465193291</v>
      </c>
      <c r="P16" s="95">
        <f t="shared" si="3"/>
        <v>-7.0000000000000007E-2</v>
      </c>
      <c r="Q16" s="123"/>
      <c r="R16"/>
      <c r="S16" s="167"/>
      <c r="T16" s="167"/>
      <c r="U16" s="167"/>
    </row>
    <row r="17" spans="1:21" ht="13.5" customHeight="1" x14ac:dyDescent="0.2">
      <c r="A17" s="167"/>
      <c r="C17" s="122"/>
      <c r="D17" s="84">
        <v>4</v>
      </c>
      <c r="E17" s="85" t="str">
        <f>Entrada_Dados!C17</f>
        <v>Goiás</v>
      </c>
      <c r="F17" s="86">
        <f>Entrada_Dados!D17</f>
        <v>19602602</v>
      </c>
      <c r="G17" s="87">
        <f>Entrada_Dados!E17</f>
        <v>16950466</v>
      </c>
      <c r="H17" s="88">
        <f t="shared" si="0"/>
        <v>9.1449159741012949</v>
      </c>
      <c r="I17" s="89">
        <f t="shared" si="1"/>
        <v>-13.52</v>
      </c>
      <c r="J17" s="8"/>
      <c r="K17" s="84">
        <v>4</v>
      </c>
      <c r="L17" s="85" t="str">
        <f>Entrada_Dados!I17</f>
        <v>Goiás</v>
      </c>
      <c r="M17" s="86">
        <f>Entrada_Dados!J17</f>
        <v>5113649</v>
      </c>
      <c r="N17" s="87">
        <f>Entrada_Dados!K17</f>
        <v>5342004</v>
      </c>
      <c r="O17" s="88">
        <f t="shared" si="2"/>
        <v>9.1013812008607555</v>
      </c>
      <c r="P17" s="89">
        <f t="shared" si="3"/>
        <v>4.46</v>
      </c>
      <c r="Q17" s="123"/>
      <c r="R17"/>
      <c r="S17" s="167"/>
      <c r="T17" s="167"/>
      <c r="U17" s="167"/>
    </row>
    <row r="18" spans="1:21" ht="13.5" customHeight="1" x14ac:dyDescent="0.2">
      <c r="A18" s="167"/>
      <c r="C18" s="122"/>
      <c r="D18" s="90">
        <v>5</v>
      </c>
      <c r="E18" s="91" t="str">
        <f>Entrada_Dados!C18</f>
        <v>Mato Grosso do Sul</v>
      </c>
      <c r="F18" s="92">
        <f>Entrada_Dados!D18</f>
        <v>17404877</v>
      </c>
      <c r="G18" s="93">
        <f>Entrada_Dados!E18</f>
        <v>13729169</v>
      </c>
      <c r="H18" s="94">
        <f t="shared" si="0"/>
        <v>7.4069997190187165</v>
      </c>
      <c r="I18" s="95">
        <f t="shared" si="1"/>
        <v>-21.11</v>
      </c>
      <c r="J18" s="8"/>
      <c r="K18" s="90">
        <v>5</v>
      </c>
      <c r="L18" s="91" t="str">
        <f>Entrada_Dados!I18</f>
        <v>Mato Grosso do Sul</v>
      </c>
      <c r="M18" s="92">
        <f>Entrada_Dados!J18</f>
        <v>4147886</v>
      </c>
      <c r="N18" s="93">
        <f>Entrada_Dados!K18</f>
        <v>4249379</v>
      </c>
      <c r="O18" s="94">
        <f t="shared" si="2"/>
        <v>7.2398332434667738</v>
      </c>
      <c r="P18" s="95">
        <f t="shared" si="3"/>
        <v>2.44</v>
      </c>
      <c r="Q18" s="123"/>
      <c r="R18"/>
      <c r="S18" s="167"/>
      <c r="T18" s="167"/>
      <c r="U18" s="167"/>
    </row>
    <row r="19" spans="1:21" ht="13.5" customHeight="1" x14ac:dyDescent="0.2">
      <c r="A19" s="167"/>
      <c r="C19" s="122"/>
      <c r="D19" s="84">
        <v>6</v>
      </c>
      <c r="E19" s="85" t="str">
        <f>Entrada_Dados!C19</f>
        <v>Minas Gerais</v>
      </c>
      <c r="F19" s="86">
        <f>Entrada_Dados!D19</f>
        <v>11762241</v>
      </c>
      <c r="G19" s="87">
        <f>Entrada_Dados!E19</f>
        <v>11778119</v>
      </c>
      <c r="H19" s="88">
        <f t="shared" si="0"/>
        <v>6.3543921794224403</v>
      </c>
      <c r="I19" s="89">
        <f t="shared" si="1"/>
        <v>0.13</v>
      </c>
      <c r="J19" s="8"/>
      <c r="K19" s="84">
        <v>6</v>
      </c>
      <c r="L19" s="85" t="str">
        <f>Entrada_Dados!I19</f>
        <v>Minas Gerais</v>
      </c>
      <c r="M19" s="86">
        <f>Entrada_Dados!J19</f>
        <v>3252189</v>
      </c>
      <c r="N19" s="87">
        <f>Entrada_Dados!K19</f>
        <v>3325297</v>
      </c>
      <c r="O19" s="88">
        <f t="shared" si="2"/>
        <v>5.6654385887915231</v>
      </c>
      <c r="P19" s="89">
        <f t="shared" si="3"/>
        <v>2.2400000000000002</v>
      </c>
      <c r="Q19" s="123"/>
      <c r="R19"/>
      <c r="S19" s="167"/>
      <c r="T19" s="167"/>
      <c r="U19" s="167"/>
    </row>
    <row r="20" spans="1:21" ht="13.5" customHeight="1" x14ac:dyDescent="0.2">
      <c r="A20" s="167"/>
      <c r="C20" s="122"/>
      <c r="D20" s="90">
        <v>7</v>
      </c>
      <c r="E20" s="91" t="str">
        <f>Entrada_Dados!C20</f>
        <v>São Paulo</v>
      </c>
      <c r="F20" s="92">
        <f>Entrada_Dados!D20</f>
        <v>8291923</v>
      </c>
      <c r="G20" s="93">
        <f>Entrada_Dados!E20</f>
        <v>7845184</v>
      </c>
      <c r="H20" s="94">
        <f t="shared" si="0"/>
        <v>4.2325413638400207</v>
      </c>
      <c r="I20" s="95">
        <f t="shared" si="1"/>
        <v>-5.38</v>
      </c>
      <c r="J20" s="8"/>
      <c r="K20" s="90">
        <v>7</v>
      </c>
      <c r="L20" s="91" t="str">
        <f>Entrada_Dados!I20</f>
        <v>Bahia</v>
      </c>
      <c r="M20" s="92">
        <f>Entrada_Dados!J20</f>
        <v>3362156</v>
      </c>
      <c r="N20" s="93">
        <f>Entrada_Dados!K20</f>
        <v>2985903</v>
      </c>
      <c r="O20" s="94">
        <f t="shared" si="2"/>
        <v>5.0871997534621345</v>
      </c>
      <c r="P20" s="95">
        <f t="shared" si="3"/>
        <v>-11.19</v>
      </c>
      <c r="Q20" s="123"/>
      <c r="R20"/>
      <c r="S20" s="167"/>
      <c r="T20" s="167"/>
      <c r="U20" s="167"/>
    </row>
    <row r="21" spans="1:21" ht="13.5" customHeight="1" x14ac:dyDescent="0.2">
      <c r="A21" s="167"/>
      <c r="C21" s="122"/>
      <c r="D21" s="84">
        <v>8</v>
      </c>
      <c r="E21" s="85" t="str">
        <f>Entrada_Dados!C21</f>
        <v>Santa Catarina</v>
      </c>
      <c r="F21" s="86">
        <f>Entrada_Dados!D21</f>
        <v>6450352</v>
      </c>
      <c r="G21" s="87">
        <f>Entrada_Dados!E21</f>
        <v>6090849</v>
      </c>
      <c r="H21" s="88">
        <f t="shared" si="0"/>
        <v>3.2860631864598235</v>
      </c>
      <c r="I21" s="89">
        <f t="shared" si="1"/>
        <v>-5.57</v>
      </c>
      <c r="J21" s="8"/>
      <c r="K21" s="84">
        <v>8</v>
      </c>
      <c r="L21" s="85" t="str">
        <f>Entrada_Dados!I21</f>
        <v>São Paulo</v>
      </c>
      <c r="M21" s="86">
        <f>Entrada_Dados!J21</f>
        <v>1979513</v>
      </c>
      <c r="N21" s="87">
        <f>Entrada_Dados!K21</f>
        <v>2059213</v>
      </c>
      <c r="O21" s="88">
        <f t="shared" si="2"/>
        <v>3.5083617471585722</v>
      </c>
      <c r="P21" s="89">
        <f t="shared" si="3"/>
        <v>4.0199999999999996</v>
      </c>
      <c r="Q21" s="123"/>
      <c r="R21"/>
      <c r="S21" s="167"/>
      <c r="T21" s="167"/>
      <c r="U21" s="167"/>
    </row>
    <row r="22" spans="1:21" ht="13.5" customHeight="1" x14ac:dyDescent="0.2">
      <c r="A22" s="167"/>
      <c r="C22" s="122"/>
      <c r="D22" s="90">
        <v>9</v>
      </c>
      <c r="E22" s="91" t="str">
        <f>Entrada_Dados!C22</f>
        <v>Bahia</v>
      </c>
      <c r="F22" s="92">
        <f>Entrada_Dados!D22</f>
        <v>9005999</v>
      </c>
      <c r="G22" s="93">
        <f>Entrada_Dados!E22</f>
        <v>5850147</v>
      </c>
      <c r="H22" s="94">
        <f t="shared" si="0"/>
        <v>3.1562024755626643</v>
      </c>
      <c r="I22" s="95">
        <f t="shared" si="1"/>
        <v>-35.04</v>
      </c>
      <c r="J22" s="8"/>
      <c r="K22" s="90">
        <v>9</v>
      </c>
      <c r="L22" s="91" t="str">
        <f>Entrada_Dados!I22</f>
        <v>Maranhão</v>
      </c>
      <c r="M22" s="92">
        <f>Entrada_Dados!J22</f>
        <v>1576348</v>
      </c>
      <c r="N22" s="93">
        <f>Entrada_Dados!K22</f>
        <v>1399512</v>
      </c>
      <c r="O22" s="94">
        <f t="shared" si="2"/>
        <v>2.3844033451077609</v>
      </c>
      <c r="P22" s="95">
        <f t="shared" si="3"/>
        <v>-11.21</v>
      </c>
      <c r="Q22" s="123"/>
      <c r="R22"/>
      <c r="S22" s="167"/>
      <c r="T22" s="167"/>
      <c r="U22" s="167"/>
    </row>
    <row r="23" spans="1:21" ht="13.5" customHeight="1" x14ac:dyDescent="0.2">
      <c r="A23" s="167"/>
      <c r="C23" s="122"/>
      <c r="D23" s="84">
        <v>10</v>
      </c>
      <c r="E23" s="85" t="str">
        <f>Entrada_Dados!C23</f>
        <v>Tocantins</v>
      </c>
      <c r="F23" s="86">
        <f>Entrada_Dados!D23</f>
        <v>3726475</v>
      </c>
      <c r="G23" s="87">
        <f>Entrada_Dados!E23</f>
        <v>2737194</v>
      </c>
      <c r="H23" s="88">
        <f t="shared" si="0"/>
        <v>1.4767387005651775</v>
      </c>
      <c r="I23" s="89">
        <f t="shared" si="1"/>
        <v>-26.54</v>
      </c>
      <c r="J23" s="8"/>
      <c r="K23" s="84">
        <v>10</v>
      </c>
      <c r="L23" s="85" t="str">
        <f>Entrada_Dados!I23</f>
        <v>Piauí</v>
      </c>
      <c r="M23" s="86">
        <f>Entrada_Dados!J23</f>
        <v>1408868</v>
      </c>
      <c r="N23" s="87">
        <f>Entrada_Dados!K23</f>
        <v>1361412</v>
      </c>
      <c r="O23" s="88">
        <f t="shared" si="2"/>
        <v>2.3194908845868039</v>
      </c>
      <c r="P23" s="89">
        <f t="shared" si="3"/>
        <v>-3.36</v>
      </c>
      <c r="Q23" s="123"/>
      <c r="R23"/>
      <c r="S23" s="167"/>
      <c r="T23" s="167"/>
      <c r="U23" s="167"/>
    </row>
    <row r="24" spans="1:21" ht="13.5" customHeight="1" x14ac:dyDescent="0.2">
      <c r="A24" s="167"/>
      <c r="C24" s="122"/>
      <c r="D24" s="96"/>
      <c r="E24" s="96" t="str">
        <f>CONCATENATE("Demais UF - ",Entrada_Dados!F12-10)</f>
        <v>Demais UF - 17</v>
      </c>
      <c r="F24" s="97">
        <f>Entrada_Dados!D41-F13</f>
        <v>12748088</v>
      </c>
      <c r="G24" s="97">
        <f>Entrada_Dados!E41-G13</f>
        <v>8647183</v>
      </c>
      <c r="H24" s="98">
        <f t="shared" si="0"/>
        <v>4.6652264278561528</v>
      </c>
      <c r="I24" s="99">
        <f t="shared" si="1"/>
        <v>-32.159999999999997</v>
      </c>
      <c r="J24" s="8"/>
      <c r="K24" s="96"/>
      <c r="L24" s="96" t="str">
        <f>CONCATENATE("Demais UF - ",Entrada_Dados!L12-10)</f>
        <v>Demais UF - 17</v>
      </c>
      <c r="M24" s="97">
        <f>Entrada_Dados!J41-M13</f>
        <v>5743750</v>
      </c>
      <c r="N24" s="97">
        <f>Entrada_Dados!K41-N13</f>
        <v>5678256</v>
      </c>
      <c r="O24" s="98">
        <f t="shared" si="2"/>
        <v>9.6742668878710667</v>
      </c>
      <c r="P24" s="99">
        <f t="shared" si="3"/>
        <v>-1.1399999999999999</v>
      </c>
      <c r="Q24" s="123"/>
      <c r="R24"/>
      <c r="S24" s="167"/>
      <c r="T24" s="167"/>
      <c r="U24" s="167"/>
    </row>
    <row r="25" spans="1:21" ht="13.5" customHeight="1" x14ac:dyDescent="0.2">
      <c r="A25" s="167"/>
      <c r="C25" s="122"/>
      <c r="D25" s="100"/>
      <c r="E25" s="101" t="s">
        <v>84</v>
      </c>
      <c r="F25" s="102">
        <f>SUM(F13+F24)</f>
        <v>211290433</v>
      </c>
      <c r="G25" s="102">
        <f>SUM(G13+G24)</f>
        <v>185353983</v>
      </c>
      <c r="H25" s="103">
        <f t="shared" si="0"/>
        <v>100</v>
      </c>
      <c r="I25" s="104">
        <f t="shared" si="1"/>
        <v>-12.27</v>
      </c>
      <c r="J25" s="8"/>
      <c r="K25" s="100"/>
      <c r="L25" s="101" t="s">
        <v>85</v>
      </c>
      <c r="M25" s="102">
        <f>SUM(M13+M24)</f>
        <v>58381414</v>
      </c>
      <c r="N25" s="102">
        <f>SUM(N13+N24)</f>
        <v>58694432</v>
      </c>
      <c r="O25" s="103">
        <f t="shared" si="2"/>
        <v>100</v>
      </c>
      <c r="P25" s="104">
        <f t="shared" si="3"/>
        <v>0.53</v>
      </c>
      <c r="Q25" s="123"/>
      <c r="R25"/>
      <c r="S25" s="167"/>
      <c r="T25" s="167"/>
      <c r="U25" s="167"/>
    </row>
    <row r="26" spans="1:21" ht="27" customHeight="1" x14ac:dyDescent="0.2">
      <c r="A26" s="167"/>
      <c r="C26" s="122"/>
      <c r="D26" s="193" t="s">
        <v>207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23"/>
      <c r="R26"/>
      <c r="S26" s="167"/>
      <c r="T26" s="167"/>
      <c r="U26" s="167"/>
    </row>
    <row r="27" spans="1:21" ht="13.5" customHeight="1" x14ac:dyDescent="0.2">
      <c r="A27" s="167"/>
      <c r="C27" s="122"/>
      <c r="D27" s="117" t="s">
        <v>72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23"/>
      <c r="R27"/>
      <c r="S27" s="167"/>
      <c r="T27" s="167"/>
      <c r="U27" s="167"/>
    </row>
    <row r="28" spans="1:21" ht="13.5" customHeight="1" x14ac:dyDescent="0.2">
      <c r="A28" s="167"/>
      <c r="C28" s="122"/>
      <c r="D28" s="226" t="s">
        <v>70</v>
      </c>
      <c r="E28" s="227"/>
      <c r="F28" s="227"/>
      <c r="G28" s="227"/>
      <c r="H28" s="227"/>
      <c r="I28" s="228"/>
      <c r="J28" s="3"/>
      <c r="K28" s="226" t="s">
        <v>1</v>
      </c>
      <c r="L28" s="227"/>
      <c r="M28" s="227"/>
      <c r="N28" s="227"/>
      <c r="O28" s="227"/>
      <c r="P28" s="228"/>
      <c r="Q28" s="123"/>
      <c r="R28"/>
      <c r="S28" s="167"/>
      <c r="T28" s="167"/>
      <c r="U28" s="167"/>
    </row>
    <row r="29" spans="1:21" ht="13.5" customHeight="1" x14ac:dyDescent="0.2">
      <c r="A29" s="167"/>
      <c r="C29" s="122"/>
      <c r="D29" s="47" t="s">
        <v>67</v>
      </c>
      <c r="E29" s="46" t="s">
        <v>71</v>
      </c>
      <c r="F29" s="45">
        <f>$F$12</f>
        <v>2015</v>
      </c>
      <c r="G29" s="45">
        <f>$G$12</f>
        <v>2016</v>
      </c>
      <c r="H29" s="45" t="s">
        <v>69</v>
      </c>
      <c r="I29" s="45" t="s">
        <v>66</v>
      </c>
      <c r="J29" s="8"/>
      <c r="K29" s="47" t="s">
        <v>67</v>
      </c>
      <c r="L29" s="46" t="s">
        <v>71</v>
      </c>
      <c r="M29" s="45">
        <f>$F$12</f>
        <v>2015</v>
      </c>
      <c r="N29" s="45">
        <f>$G$12</f>
        <v>2016</v>
      </c>
      <c r="O29" s="45" t="s">
        <v>69</v>
      </c>
      <c r="P29" s="45" t="s">
        <v>66</v>
      </c>
      <c r="Q29" s="123"/>
      <c r="R29"/>
      <c r="S29" s="167"/>
      <c r="T29" s="167"/>
      <c r="U29" s="167"/>
    </row>
    <row r="30" spans="1:21" ht="13.5" customHeight="1" x14ac:dyDescent="0.2">
      <c r="A30" s="167"/>
      <c r="C30" s="122"/>
      <c r="D30" s="58"/>
      <c r="E30" s="41" t="s">
        <v>68</v>
      </c>
      <c r="F30" s="42">
        <f>SUM(F31:F40)</f>
        <v>723928709</v>
      </c>
      <c r="G30" s="42">
        <f>SUM(G31:G40)</f>
        <v>706891536</v>
      </c>
      <c r="H30" s="57">
        <f t="shared" ref="H30:H42" si="4">G30*100/$G$42</f>
        <v>97.029914444711864</v>
      </c>
      <c r="I30" s="43">
        <f t="shared" ref="I30:I41" si="5">TRUNC(((G30/F30)-1)*100,2)</f>
        <v>-2.35</v>
      </c>
      <c r="J30" s="8"/>
      <c r="K30" s="73"/>
      <c r="L30" s="74" t="s">
        <v>68</v>
      </c>
      <c r="M30" s="75">
        <f>SUM(M31:M40)</f>
        <v>9719032</v>
      </c>
      <c r="N30" s="75">
        <f>SUM(N31:N40)</f>
        <v>10098063</v>
      </c>
      <c r="O30" s="76">
        <f t="shared" ref="O30:O42" si="6">N30*100/$N$42</f>
        <v>95.840930104892863</v>
      </c>
      <c r="P30" s="77">
        <f t="shared" ref="P30:P42" si="7">TRUNC(((N30/M30)-1)*100,2)</f>
        <v>3.89</v>
      </c>
      <c r="Q30" s="123"/>
      <c r="R30"/>
      <c r="S30" s="167"/>
      <c r="T30" s="167"/>
      <c r="U30" s="167"/>
    </row>
    <row r="31" spans="1:21" ht="13.5" customHeight="1" x14ac:dyDescent="0.2">
      <c r="A31" s="167"/>
      <c r="C31" s="122"/>
      <c r="D31" s="105">
        <v>1</v>
      </c>
      <c r="E31" s="106" t="str">
        <f>Entrada_Dados!C196</f>
        <v>São Paulo</v>
      </c>
      <c r="F31" s="107">
        <f>Entrada_Dados!D196</f>
        <v>423419511</v>
      </c>
      <c r="G31" s="108">
        <f>Entrada_Dados!E196</f>
        <v>400790775</v>
      </c>
      <c r="H31" s="109">
        <f t="shared" si="4"/>
        <v>55.013665644568938</v>
      </c>
      <c r="I31" s="110">
        <f t="shared" si="5"/>
        <v>-5.34</v>
      </c>
      <c r="J31" s="8"/>
      <c r="K31" s="78">
        <v>1</v>
      </c>
      <c r="L31" s="79" t="str">
        <f>Entrada_Dados!I196</f>
        <v>São Paulo</v>
      </c>
      <c r="M31" s="80">
        <f>Entrada_Dados!J196</f>
        <v>5576838</v>
      </c>
      <c r="N31" s="81">
        <f>Entrada_Dados!K196</f>
        <v>5416970</v>
      </c>
      <c r="O31" s="82">
        <f t="shared" si="6"/>
        <v>51.412577159629677</v>
      </c>
      <c r="P31" s="83">
        <f t="shared" si="7"/>
        <v>-2.86</v>
      </c>
      <c r="Q31" s="123"/>
      <c r="R31"/>
      <c r="S31" s="167"/>
      <c r="T31" s="167"/>
      <c r="U31" s="167"/>
    </row>
    <row r="32" spans="1:21" ht="13.5" customHeight="1" x14ac:dyDescent="0.2">
      <c r="A32" s="167"/>
      <c r="C32" s="122"/>
      <c r="D32" s="84">
        <v>2</v>
      </c>
      <c r="E32" s="85" t="str">
        <f>Entrada_Dados!C197</f>
        <v>Goiás</v>
      </c>
      <c r="F32" s="86">
        <f>Entrada_Dados!D197</f>
        <v>70412725</v>
      </c>
      <c r="G32" s="87">
        <f>Entrada_Dados!E197</f>
        <v>70493478</v>
      </c>
      <c r="H32" s="88">
        <f t="shared" si="4"/>
        <v>9.6761324629160335</v>
      </c>
      <c r="I32" s="89">
        <f t="shared" si="5"/>
        <v>0.11</v>
      </c>
      <c r="J32" s="8"/>
      <c r="K32" s="84">
        <v>2</v>
      </c>
      <c r="L32" s="85" t="str">
        <f>Entrada_Dados!I197</f>
        <v>Minas Gerais</v>
      </c>
      <c r="M32" s="86">
        <f>Entrada_Dados!J197</f>
        <v>917878</v>
      </c>
      <c r="N32" s="87">
        <f>Entrada_Dados!K197</f>
        <v>1077785</v>
      </c>
      <c r="O32" s="88">
        <f t="shared" si="6"/>
        <v>10.229280293963502</v>
      </c>
      <c r="P32" s="89">
        <f t="shared" si="7"/>
        <v>17.420000000000002</v>
      </c>
      <c r="Q32" s="123"/>
      <c r="R32"/>
      <c r="S32" s="167"/>
      <c r="T32" s="167"/>
      <c r="U32" s="167"/>
    </row>
    <row r="33" spans="1:21" ht="13.5" customHeight="1" x14ac:dyDescent="0.2">
      <c r="A33" s="167"/>
      <c r="C33" s="122"/>
      <c r="D33" s="90">
        <v>3</v>
      </c>
      <c r="E33" s="91" t="str">
        <f>Entrada_Dados!C198</f>
        <v>Minas Gerais</v>
      </c>
      <c r="F33" s="92">
        <f>Entrada_Dados!D198</f>
        <v>69017764</v>
      </c>
      <c r="G33" s="93">
        <f>Entrada_Dados!E198</f>
        <v>69934887</v>
      </c>
      <c r="H33" s="94">
        <f t="shared" si="4"/>
        <v>9.5994586958961587</v>
      </c>
      <c r="I33" s="95">
        <f t="shared" si="5"/>
        <v>1.32</v>
      </c>
      <c r="J33" s="8"/>
      <c r="K33" s="90">
        <v>3</v>
      </c>
      <c r="L33" s="91" t="str">
        <f>Entrada_Dados!I198</f>
        <v>Goiás</v>
      </c>
      <c r="M33" s="92">
        <f>Entrada_Dados!J198</f>
        <v>911847</v>
      </c>
      <c r="N33" s="93">
        <f>Entrada_Dados!K198</f>
        <v>1013787</v>
      </c>
      <c r="O33" s="94">
        <f t="shared" si="6"/>
        <v>9.621873918616771</v>
      </c>
      <c r="P33" s="95">
        <f t="shared" si="7"/>
        <v>11.17</v>
      </c>
      <c r="Q33" s="123"/>
      <c r="R33"/>
      <c r="S33" s="167"/>
      <c r="T33" s="167"/>
      <c r="U33" s="167"/>
    </row>
    <row r="34" spans="1:21" ht="13.5" customHeight="1" x14ac:dyDescent="0.2">
      <c r="A34" s="167"/>
      <c r="C34" s="122"/>
      <c r="D34" s="84">
        <v>4</v>
      </c>
      <c r="E34" s="85" t="str">
        <f>Entrada_Dados!C199</f>
        <v>Mato Grosso do Sul</v>
      </c>
      <c r="F34" s="86">
        <f>Entrada_Dados!D199</f>
        <v>43924003</v>
      </c>
      <c r="G34" s="87">
        <f>Entrada_Dados!E199</f>
        <v>52220075</v>
      </c>
      <c r="H34" s="88">
        <f t="shared" si="4"/>
        <v>7.1678739262008042</v>
      </c>
      <c r="I34" s="89">
        <f t="shared" si="5"/>
        <v>18.88</v>
      </c>
      <c r="J34" s="8"/>
      <c r="K34" s="84">
        <v>4</v>
      </c>
      <c r="L34" s="85" t="str">
        <f>Entrada_Dados!I199</f>
        <v>Mato Grosso do Sul</v>
      </c>
      <c r="M34" s="86">
        <f>Entrada_Dados!J199</f>
        <v>546099</v>
      </c>
      <c r="N34" s="87">
        <f>Entrada_Dados!K199</f>
        <v>729112</v>
      </c>
      <c r="O34" s="88">
        <f t="shared" si="6"/>
        <v>6.9200174558862075</v>
      </c>
      <c r="P34" s="89">
        <f t="shared" si="7"/>
        <v>33.51</v>
      </c>
      <c r="Q34" s="123"/>
      <c r="R34"/>
      <c r="S34" s="167"/>
      <c r="T34" s="167"/>
      <c r="U34" s="167"/>
    </row>
    <row r="35" spans="1:21" ht="13.5" customHeight="1" x14ac:dyDescent="0.2">
      <c r="A35" s="167"/>
      <c r="C35" s="122"/>
      <c r="D35" s="90">
        <v>5</v>
      </c>
      <c r="E35" s="91" t="str">
        <f>Entrada_Dados!C200</f>
        <v>Paraná</v>
      </c>
      <c r="F35" s="92">
        <f>Entrada_Dados!D200</f>
        <v>47368045</v>
      </c>
      <c r="G35" s="93">
        <f>Entrada_Dados!E200</f>
        <v>49740741</v>
      </c>
      <c r="H35" s="94">
        <f t="shared" si="4"/>
        <v>6.8275535889944114</v>
      </c>
      <c r="I35" s="95">
        <f t="shared" si="5"/>
        <v>5</v>
      </c>
      <c r="J35" s="8"/>
      <c r="K35" s="90">
        <v>5</v>
      </c>
      <c r="L35" s="91" t="str">
        <f>Entrada_Dados!I200</f>
        <v>Paraná</v>
      </c>
      <c r="M35" s="92">
        <f>Entrada_Dados!J200</f>
        <v>626375</v>
      </c>
      <c r="N35" s="93">
        <f>Entrada_Dados!K200</f>
        <v>663911</v>
      </c>
      <c r="O35" s="94">
        <f t="shared" si="6"/>
        <v>6.3011933820248034</v>
      </c>
      <c r="P35" s="95">
        <f t="shared" si="7"/>
        <v>5.99</v>
      </c>
      <c r="Q35" s="123"/>
      <c r="R35"/>
      <c r="S35" s="167"/>
      <c r="T35" s="167"/>
      <c r="U35" s="167"/>
    </row>
    <row r="36" spans="1:21" ht="13.5" customHeight="1" x14ac:dyDescent="0.2">
      <c r="A36" s="167"/>
      <c r="C36" s="122"/>
      <c r="D36" s="84">
        <v>6</v>
      </c>
      <c r="E36" s="85" t="str">
        <f>Entrada_Dados!C201</f>
        <v>Mato Grosso</v>
      </c>
      <c r="F36" s="86">
        <f>Entrada_Dados!D201</f>
        <v>20077293</v>
      </c>
      <c r="G36" s="87">
        <f>Entrada_Dados!E201</f>
        <v>19203464</v>
      </c>
      <c r="H36" s="88">
        <f t="shared" si="4"/>
        <v>2.6359213175840095</v>
      </c>
      <c r="I36" s="89">
        <f t="shared" si="5"/>
        <v>-4.3499999999999996</v>
      </c>
      <c r="J36" s="8"/>
      <c r="K36" s="84">
        <v>6</v>
      </c>
      <c r="L36" s="85" t="str">
        <f>Entrada_Dados!I201</f>
        <v>Alagoas</v>
      </c>
      <c r="M36" s="86">
        <f>Entrada_Dados!J201</f>
        <v>308006</v>
      </c>
      <c r="N36" s="87">
        <f>Entrada_Dados!K201</f>
        <v>354392</v>
      </c>
      <c r="O36" s="88">
        <f t="shared" si="6"/>
        <v>3.3635419883727398</v>
      </c>
      <c r="P36" s="89">
        <f t="shared" si="7"/>
        <v>15.06</v>
      </c>
      <c r="Q36" s="123"/>
      <c r="R36"/>
      <c r="S36" s="167"/>
      <c r="T36" s="167"/>
      <c r="U36" s="167"/>
    </row>
    <row r="37" spans="1:21" ht="13.5" customHeight="1" x14ac:dyDescent="0.2">
      <c r="A37" s="167"/>
      <c r="C37" s="122"/>
      <c r="D37" s="90">
        <v>7</v>
      </c>
      <c r="E37" s="91" t="str">
        <f>Entrada_Dados!C202</f>
        <v>Alagoas</v>
      </c>
      <c r="F37" s="92">
        <f>Entrada_Dados!D202</f>
        <v>20714441</v>
      </c>
      <c r="G37" s="93">
        <f>Entrada_Dados!E202</f>
        <v>19079722</v>
      </c>
      <c r="H37" s="94">
        <f t="shared" si="4"/>
        <v>2.6189361436757772</v>
      </c>
      <c r="I37" s="95">
        <f t="shared" si="5"/>
        <v>-7.89</v>
      </c>
      <c r="J37" s="8"/>
      <c r="K37" s="90">
        <v>7</v>
      </c>
      <c r="L37" s="91" t="str">
        <f>Entrada_Dados!I202</f>
        <v>Pernambuco</v>
      </c>
      <c r="M37" s="92">
        <f>Entrada_Dados!J202</f>
        <v>315467</v>
      </c>
      <c r="N37" s="93">
        <f>Entrada_Dados!K202</f>
        <v>286734</v>
      </c>
      <c r="O37" s="94">
        <f t="shared" si="6"/>
        <v>2.7213984754003171</v>
      </c>
      <c r="P37" s="95">
        <f t="shared" si="7"/>
        <v>-9.1</v>
      </c>
      <c r="Q37" s="123"/>
      <c r="R37"/>
      <c r="S37" s="167"/>
      <c r="T37" s="167"/>
      <c r="U37" s="167"/>
    </row>
    <row r="38" spans="1:21" ht="13.5" customHeight="1" x14ac:dyDescent="0.2">
      <c r="A38" s="167"/>
      <c r="C38" s="122"/>
      <c r="D38" s="84">
        <v>8</v>
      </c>
      <c r="E38" s="85" t="str">
        <f>Entrada_Dados!C203</f>
        <v>Pernambuco</v>
      </c>
      <c r="F38" s="86">
        <f>Entrada_Dados!D203</f>
        <v>15965218</v>
      </c>
      <c r="G38" s="87">
        <f>Entrada_Dados!E203</f>
        <v>13044509</v>
      </c>
      <c r="H38" s="88">
        <f t="shared" si="4"/>
        <v>1.7905258837945317</v>
      </c>
      <c r="I38" s="89">
        <f t="shared" si="5"/>
        <v>-18.29</v>
      </c>
      <c r="J38" s="8"/>
      <c r="K38" s="84">
        <v>8</v>
      </c>
      <c r="L38" s="85" t="str">
        <f>Entrada_Dados!I203</f>
        <v>Mato Grosso</v>
      </c>
      <c r="M38" s="86">
        <f>Entrada_Dados!J203</f>
        <v>291100</v>
      </c>
      <c r="N38" s="87">
        <f>Entrada_Dados!K203</f>
        <v>282514</v>
      </c>
      <c r="O38" s="88">
        <f t="shared" si="6"/>
        <v>2.6813463658974701</v>
      </c>
      <c r="P38" s="89">
        <f t="shared" si="7"/>
        <v>-2.94</v>
      </c>
      <c r="Q38" s="123"/>
      <c r="R38"/>
      <c r="S38" s="167"/>
      <c r="T38" s="167"/>
      <c r="U38" s="167"/>
    </row>
    <row r="39" spans="1:21" ht="13.5" customHeight="1" x14ac:dyDescent="0.2">
      <c r="A39" s="167"/>
      <c r="C39" s="122"/>
      <c r="D39" s="90">
        <v>9</v>
      </c>
      <c r="E39" s="91" t="str">
        <f>Entrada_Dados!C204</f>
        <v>Paraíba</v>
      </c>
      <c r="F39" s="92">
        <f>Entrada_Dados!D204</f>
        <v>6801981</v>
      </c>
      <c r="G39" s="93">
        <f>Entrada_Dados!E204</f>
        <v>6908885</v>
      </c>
      <c r="H39" s="94">
        <f t="shared" si="4"/>
        <v>0.94833292848813111</v>
      </c>
      <c r="I39" s="95">
        <f t="shared" si="5"/>
        <v>1.57</v>
      </c>
      <c r="J39" s="8"/>
      <c r="K39" s="90">
        <v>9</v>
      </c>
      <c r="L39" s="91" t="str">
        <f>Entrada_Dados!I204</f>
        <v>Paraíba</v>
      </c>
      <c r="M39" s="92">
        <f>Entrada_Dados!J204</f>
        <v>120559</v>
      </c>
      <c r="N39" s="93">
        <f>Entrada_Dados!K204</f>
        <v>151858</v>
      </c>
      <c r="O39" s="94">
        <f t="shared" si="6"/>
        <v>1.4412874987875219</v>
      </c>
      <c r="P39" s="95">
        <f t="shared" si="7"/>
        <v>25.96</v>
      </c>
      <c r="Q39" s="123"/>
      <c r="R39"/>
      <c r="S39" s="167"/>
      <c r="T39" s="167"/>
      <c r="U39" s="167"/>
    </row>
    <row r="40" spans="1:21" ht="13.5" customHeight="1" x14ac:dyDescent="0.2">
      <c r="A40" s="167"/>
      <c r="C40" s="122"/>
      <c r="D40" s="84">
        <v>10</v>
      </c>
      <c r="E40" s="85" t="str">
        <f>Entrada_Dados!C205</f>
        <v>Bahia</v>
      </c>
      <c r="F40" s="86">
        <f>Entrada_Dados!D205</f>
        <v>6227728</v>
      </c>
      <c r="G40" s="87">
        <f>Entrada_Dados!E205</f>
        <v>5475000</v>
      </c>
      <c r="H40" s="88">
        <f t="shared" si="4"/>
        <v>0.75151385259307657</v>
      </c>
      <c r="I40" s="89">
        <f t="shared" si="5"/>
        <v>-12.08</v>
      </c>
      <c r="J40" s="8"/>
      <c r="K40" s="84">
        <v>10</v>
      </c>
      <c r="L40" s="85" t="str">
        <f>Entrada_Dados!I205</f>
        <v>Bahia</v>
      </c>
      <c r="M40" s="86">
        <f>Entrada_Dados!J205</f>
        <v>104863</v>
      </c>
      <c r="N40" s="87">
        <f>Entrada_Dados!K205</f>
        <v>121000</v>
      </c>
      <c r="O40" s="88">
        <f t="shared" si="6"/>
        <v>1.1484135663138602</v>
      </c>
      <c r="P40" s="89">
        <f t="shared" si="7"/>
        <v>15.38</v>
      </c>
      <c r="Q40" s="123"/>
      <c r="R40"/>
      <c r="S40" s="167"/>
      <c r="T40" s="167"/>
      <c r="U40" s="167"/>
    </row>
    <row r="41" spans="1:21" ht="13.5" customHeight="1" x14ac:dyDescent="0.2">
      <c r="A41" s="167"/>
      <c r="C41" s="122"/>
      <c r="D41" s="96"/>
      <c r="E41" s="96" t="str">
        <f>CONCATENATE("Demais UF - ",Entrada_Dados!F194-10)</f>
        <v>Demais UF - 17</v>
      </c>
      <c r="F41" s="97">
        <f>Entrada_Dados!D223-F30</f>
        <v>24707458</v>
      </c>
      <c r="G41" s="97">
        <f>Entrada_Dados!E223-G30</f>
        <v>21637949</v>
      </c>
      <c r="H41" s="98">
        <f t="shared" si="4"/>
        <v>2.9700855552881293</v>
      </c>
      <c r="I41" s="99">
        <f t="shared" si="5"/>
        <v>-12.42</v>
      </c>
      <c r="J41" s="8"/>
      <c r="K41" s="96"/>
      <c r="L41" s="96" t="str">
        <f>CONCATENATE("Demais UF - ",Entrada_Dados!L194-10)</f>
        <v>Demais UF - 17</v>
      </c>
      <c r="M41" s="97">
        <f>Entrada_Dados!J223-M30</f>
        <v>442590</v>
      </c>
      <c r="N41" s="97">
        <f>Entrada_Dados!K223-N30</f>
        <v>438211</v>
      </c>
      <c r="O41" s="98">
        <f t="shared" si="6"/>
        <v>4.1590698951071321</v>
      </c>
      <c r="P41" s="99">
        <f t="shared" si="7"/>
        <v>-0.98</v>
      </c>
      <c r="Q41" s="123"/>
      <c r="R41"/>
      <c r="S41" s="167"/>
      <c r="T41" s="167"/>
      <c r="U41" s="167"/>
    </row>
    <row r="42" spans="1:21" ht="13.5" customHeight="1" x14ac:dyDescent="0.2">
      <c r="A42" s="167"/>
      <c r="C42" s="122"/>
      <c r="D42" s="111"/>
      <c r="E42" s="112" t="s">
        <v>84</v>
      </c>
      <c r="F42" s="113">
        <f>SUM(F30+F41)</f>
        <v>748636167</v>
      </c>
      <c r="G42" s="113">
        <f>SUM(G30+G41)</f>
        <v>728529485</v>
      </c>
      <c r="H42" s="114">
        <f t="shared" si="4"/>
        <v>100</v>
      </c>
      <c r="I42" s="115">
        <f>SUM(I30+I41)</f>
        <v>-14.77</v>
      </c>
      <c r="J42" s="8"/>
      <c r="K42" s="100"/>
      <c r="L42" s="101" t="s">
        <v>84</v>
      </c>
      <c r="M42" s="102">
        <f>SUM(M30+M41)</f>
        <v>10161622</v>
      </c>
      <c r="N42" s="102">
        <f>SUM(N30+N41)</f>
        <v>10536274</v>
      </c>
      <c r="O42" s="103">
        <f t="shared" si="6"/>
        <v>100</v>
      </c>
      <c r="P42" s="104">
        <f t="shared" si="7"/>
        <v>3.68</v>
      </c>
      <c r="Q42" s="123"/>
      <c r="R42"/>
      <c r="S42" s="167"/>
      <c r="T42" s="167"/>
      <c r="U42" s="167"/>
    </row>
    <row r="43" spans="1:21" ht="13.5" customHeight="1" x14ac:dyDescent="0.2">
      <c r="A43" s="167"/>
      <c r="C43" s="122"/>
      <c r="D43" s="1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23"/>
      <c r="R43"/>
      <c r="S43" s="167"/>
      <c r="T43" s="167"/>
      <c r="U43" s="167"/>
    </row>
    <row r="44" spans="1:21" ht="13.5" customHeight="1" x14ac:dyDescent="0.2">
      <c r="A44" s="167"/>
      <c r="C44" s="122"/>
      <c r="D44" s="224" t="str">
        <f>CONCATENATE("Fonte: IBGE/LSPA - Previsão de safra ",Entrada_Dados!D5," / ",Entrada_Dados!E5,". Adaptado pela SED/SupexAgricultura/CEMEAS")</f>
        <v>Fonte: IBGE/LSPA - Previsão de safra 2016 / dezembro. Adaptado pela SED/SupexAgricultura/CEMEAS</v>
      </c>
      <c r="E44" s="225"/>
      <c r="F44" s="225"/>
      <c r="G44" s="225"/>
      <c r="H44" s="225"/>
      <c r="I44" s="225"/>
      <c r="J44" s="225"/>
      <c r="K44" s="225"/>
      <c r="L44" s="225"/>
      <c r="M44" s="225"/>
      <c r="N44" s="225"/>
      <c r="O44" s="225"/>
      <c r="P44" s="225"/>
      <c r="Q44" s="123"/>
      <c r="R44"/>
      <c r="S44" s="167"/>
      <c r="T44" s="167"/>
      <c r="U44" s="167"/>
    </row>
    <row r="45" spans="1:21" ht="13.5" customHeight="1" x14ac:dyDescent="0.2">
      <c r="A45" s="167"/>
      <c r="C45" s="12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23"/>
      <c r="R45"/>
      <c r="S45" s="167"/>
      <c r="T45" s="167"/>
      <c r="U45" s="167"/>
    </row>
    <row r="46" spans="1:21" ht="13.5" customHeight="1" x14ac:dyDescent="0.2">
      <c r="A46" s="167"/>
      <c r="C46" s="122"/>
      <c r="D46" s="117" t="s">
        <v>74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23"/>
      <c r="R46"/>
      <c r="S46" s="167"/>
      <c r="T46" s="167"/>
      <c r="U46" s="167"/>
    </row>
    <row r="47" spans="1:21" ht="13.5" customHeight="1" x14ac:dyDescent="0.2">
      <c r="A47" s="167"/>
      <c r="C47" s="122"/>
      <c r="D47" s="226" t="s">
        <v>70</v>
      </c>
      <c r="E47" s="227"/>
      <c r="F47" s="227"/>
      <c r="G47" s="227"/>
      <c r="H47" s="227"/>
      <c r="I47" s="228"/>
      <c r="J47" s="3"/>
      <c r="K47" s="226" t="s">
        <v>1</v>
      </c>
      <c r="L47" s="227"/>
      <c r="M47" s="227"/>
      <c r="N47" s="227"/>
      <c r="O47" s="227"/>
      <c r="P47" s="228"/>
      <c r="Q47" s="123"/>
      <c r="R47"/>
      <c r="S47" s="167"/>
      <c r="T47" s="167"/>
      <c r="U47" s="167"/>
    </row>
    <row r="48" spans="1:21" ht="13.5" customHeight="1" x14ac:dyDescent="0.2">
      <c r="A48" s="167"/>
      <c r="C48" s="122"/>
      <c r="D48" s="47" t="s">
        <v>67</v>
      </c>
      <c r="E48" s="46" t="s">
        <v>71</v>
      </c>
      <c r="F48" s="45">
        <f>$F$12</f>
        <v>2015</v>
      </c>
      <c r="G48" s="45">
        <f>$G$12</f>
        <v>2016</v>
      </c>
      <c r="H48" s="45" t="s">
        <v>69</v>
      </c>
      <c r="I48" s="45" t="s">
        <v>66</v>
      </c>
      <c r="J48" s="8"/>
      <c r="K48" s="47" t="s">
        <v>67</v>
      </c>
      <c r="L48" s="46" t="s">
        <v>71</v>
      </c>
      <c r="M48" s="45">
        <f>$F$12</f>
        <v>2015</v>
      </c>
      <c r="N48" s="45">
        <f>$G$12</f>
        <v>2016</v>
      </c>
      <c r="O48" s="45" t="s">
        <v>69</v>
      </c>
      <c r="P48" s="45" t="s">
        <v>66</v>
      </c>
      <c r="Q48" s="123"/>
      <c r="R48"/>
      <c r="S48" s="167"/>
      <c r="T48" s="167"/>
      <c r="U48" s="167"/>
    </row>
    <row r="49" spans="1:21" ht="13.5" customHeight="1" x14ac:dyDescent="0.2">
      <c r="A49" s="167"/>
      <c r="C49" s="122"/>
      <c r="D49" s="73"/>
      <c r="E49" s="74" t="s">
        <v>68</v>
      </c>
      <c r="F49" s="75">
        <f>SUM(F50:F59)</f>
        <v>91555054</v>
      </c>
      <c r="G49" s="75">
        <f>SUM(G50:G59)</f>
        <v>91467297</v>
      </c>
      <c r="H49" s="76">
        <f t="shared" ref="H49:H61" si="8">G49*100/$G$61</f>
        <v>95.523945841429011</v>
      </c>
      <c r="I49" s="77">
        <f t="shared" ref="I49:I61" si="9">TRUNC(((G49/F49)-1)*100,2)</f>
        <v>-0.09</v>
      </c>
      <c r="J49" s="8"/>
      <c r="K49" s="73"/>
      <c r="L49" s="74" t="s">
        <v>68</v>
      </c>
      <c r="M49" s="75">
        <f>SUM(M50:M59)</f>
        <v>30254142</v>
      </c>
      <c r="N49" s="75">
        <f>SUM(N50:N59)</f>
        <v>31230788</v>
      </c>
      <c r="O49" s="76">
        <f t="shared" ref="O49:O61" si="10">N49*100/$N$61</f>
        <v>93.940771582295056</v>
      </c>
      <c r="P49" s="77">
        <f t="shared" ref="P49:P61" si="11">TRUNC(((N49/M49)-1)*100,2)</f>
        <v>3.22</v>
      </c>
      <c r="Q49" s="123"/>
      <c r="R49"/>
      <c r="S49" s="167"/>
      <c r="T49" s="167"/>
      <c r="U49" s="167"/>
    </row>
    <row r="50" spans="1:21" ht="13.5" customHeight="1" x14ac:dyDescent="0.2">
      <c r="A50" s="167"/>
      <c r="C50" s="122"/>
      <c r="D50" s="78">
        <v>1</v>
      </c>
      <c r="E50" s="79" t="str">
        <f>Entrada_Dados!C158</f>
        <v>Mato Grosso</v>
      </c>
      <c r="F50" s="80">
        <f>Entrada_Dados!D158</f>
        <v>27850954</v>
      </c>
      <c r="G50" s="81">
        <f>Entrada_Dados!E158</f>
        <v>26277753</v>
      </c>
      <c r="H50" s="82">
        <f t="shared" si="8"/>
        <v>27.443192668156016</v>
      </c>
      <c r="I50" s="83">
        <f t="shared" si="9"/>
        <v>-5.64</v>
      </c>
      <c r="J50" s="8"/>
      <c r="K50" s="78">
        <v>1</v>
      </c>
      <c r="L50" s="79" t="str">
        <f>Entrada_Dados!I158</f>
        <v>Mato Grosso</v>
      </c>
      <c r="M50" s="80">
        <f>Entrada_Dados!J158</f>
        <v>8983683</v>
      </c>
      <c r="N50" s="81">
        <f>Entrada_Dados!K158</f>
        <v>9148013</v>
      </c>
      <c r="O50" s="82">
        <f t="shared" si="10"/>
        <v>27.516801678678931</v>
      </c>
      <c r="P50" s="83">
        <f t="shared" si="11"/>
        <v>1.82</v>
      </c>
      <c r="Q50" s="123"/>
      <c r="R50"/>
      <c r="S50" s="167"/>
      <c r="T50" s="167"/>
      <c r="U50" s="167"/>
    </row>
    <row r="51" spans="1:21" ht="13.5" customHeight="1" x14ac:dyDescent="0.2">
      <c r="A51" s="167"/>
      <c r="C51" s="122"/>
      <c r="D51" s="84">
        <v>2</v>
      </c>
      <c r="E51" s="85" t="str">
        <f>Entrada_Dados!C159</f>
        <v>Paraná</v>
      </c>
      <c r="F51" s="86">
        <f>Entrada_Dados!D159</f>
        <v>17229378</v>
      </c>
      <c r="G51" s="87">
        <f>Entrada_Dados!E159</f>
        <v>16824385</v>
      </c>
      <c r="H51" s="88">
        <f t="shared" si="8"/>
        <v>17.570560126592028</v>
      </c>
      <c r="I51" s="89">
        <f t="shared" si="9"/>
        <v>-2.35</v>
      </c>
      <c r="J51" s="8"/>
      <c r="K51" s="84">
        <v>2</v>
      </c>
      <c r="L51" s="85" t="str">
        <f>Entrada_Dados!I159</f>
        <v>Rio Grande do Sul</v>
      </c>
      <c r="M51" s="86">
        <f>Entrada_Dados!J159</f>
        <v>5263899</v>
      </c>
      <c r="N51" s="87">
        <f>Entrada_Dados!K159</f>
        <v>5464084</v>
      </c>
      <c r="O51" s="88">
        <f t="shared" si="10"/>
        <v>16.435712955768938</v>
      </c>
      <c r="P51" s="89">
        <f t="shared" si="11"/>
        <v>3.8</v>
      </c>
      <c r="Q51" s="123"/>
      <c r="R51"/>
      <c r="S51" s="167"/>
      <c r="T51" s="167"/>
      <c r="U51" s="167"/>
    </row>
    <row r="52" spans="1:21" ht="13.5" customHeight="1" x14ac:dyDescent="0.2">
      <c r="A52" s="167"/>
      <c r="C52" s="122"/>
      <c r="D52" s="90">
        <v>3</v>
      </c>
      <c r="E52" s="91" t="str">
        <f>Entrada_Dados!C160</f>
        <v>Rio Grande do Sul</v>
      </c>
      <c r="F52" s="92">
        <f>Entrada_Dados!D160</f>
        <v>15700264</v>
      </c>
      <c r="G52" s="93">
        <f>Entrada_Dados!E160</f>
        <v>16206334</v>
      </c>
      <c r="H52" s="94">
        <f t="shared" si="8"/>
        <v>16.925098063235755</v>
      </c>
      <c r="I52" s="95">
        <f t="shared" si="9"/>
        <v>3.22</v>
      </c>
      <c r="J52" s="8"/>
      <c r="K52" s="90">
        <v>3</v>
      </c>
      <c r="L52" s="91" t="str">
        <f>Entrada_Dados!I160</f>
        <v>Paraná</v>
      </c>
      <c r="M52" s="92">
        <f>Entrada_Dados!J160</f>
        <v>5240402</v>
      </c>
      <c r="N52" s="93">
        <f>Entrada_Dados!K160</f>
        <v>5449462</v>
      </c>
      <c r="O52" s="94">
        <f t="shared" si="10"/>
        <v>16.391730653366697</v>
      </c>
      <c r="P52" s="95">
        <f t="shared" si="11"/>
        <v>3.98</v>
      </c>
      <c r="Q52" s="123"/>
      <c r="R52"/>
      <c r="S52" s="167"/>
      <c r="T52" s="167"/>
      <c r="U52" s="167"/>
    </row>
    <row r="53" spans="1:21" ht="13.5" customHeight="1" x14ac:dyDescent="0.2">
      <c r="A53" s="167"/>
      <c r="C53" s="122"/>
      <c r="D53" s="84">
        <v>4</v>
      </c>
      <c r="E53" s="85" t="str">
        <f>Entrada_Dados!C161</f>
        <v>Goiás</v>
      </c>
      <c r="F53" s="86">
        <f>Entrada_Dados!D161</f>
        <v>8606210</v>
      </c>
      <c r="G53" s="87">
        <f>Entrada_Dados!E161</f>
        <v>10233537</v>
      </c>
      <c r="H53" s="88">
        <f t="shared" si="8"/>
        <v>10.687402669767971</v>
      </c>
      <c r="I53" s="89">
        <f t="shared" si="9"/>
        <v>18.899999999999999</v>
      </c>
      <c r="J53" s="8"/>
      <c r="K53" s="84">
        <v>4</v>
      </c>
      <c r="L53" s="85" t="str">
        <f>Entrada_Dados!I161</f>
        <v>Goiás</v>
      </c>
      <c r="M53" s="86">
        <f>Entrada_Dados!J161</f>
        <v>3263118</v>
      </c>
      <c r="N53" s="87">
        <f>Entrada_Dados!K161</f>
        <v>3316201</v>
      </c>
      <c r="O53" s="88">
        <f t="shared" si="10"/>
        <v>9.9749798391887676</v>
      </c>
      <c r="P53" s="89">
        <f t="shared" si="11"/>
        <v>1.62</v>
      </c>
      <c r="Q53" s="123"/>
      <c r="R53"/>
      <c r="S53" s="167"/>
      <c r="T53" s="167"/>
      <c r="U53" s="167"/>
    </row>
    <row r="54" spans="1:21" ht="13.5" customHeight="1" x14ac:dyDescent="0.2">
      <c r="A54" s="167"/>
      <c r="C54" s="122"/>
      <c r="D54" s="90">
        <v>5</v>
      </c>
      <c r="E54" s="91" t="str">
        <f>Entrada_Dados!C162</f>
        <v>Mato Grosso do Sul</v>
      </c>
      <c r="F54" s="92">
        <f>Entrada_Dados!D162</f>
        <v>7305608</v>
      </c>
      <c r="G54" s="93">
        <f>Entrada_Dados!E162</f>
        <v>7388360</v>
      </c>
      <c r="H54" s="94">
        <f t="shared" si="8"/>
        <v>7.7160397611507037</v>
      </c>
      <c r="I54" s="95">
        <f t="shared" si="9"/>
        <v>1.1299999999999999</v>
      </c>
      <c r="J54" s="8"/>
      <c r="K54" s="90">
        <v>5</v>
      </c>
      <c r="L54" s="91" t="str">
        <f>Entrada_Dados!I162</f>
        <v>Mato Grosso do Sul</v>
      </c>
      <c r="M54" s="92">
        <f>Entrada_Dados!J162</f>
        <v>2350927</v>
      </c>
      <c r="N54" s="93">
        <f>Entrada_Dados!K162</f>
        <v>2447770</v>
      </c>
      <c r="O54" s="94">
        <f t="shared" si="10"/>
        <v>7.3627793975609706</v>
      </c>
      <c r="P54" s="95">
        <f t="shared" si="11"/>
        <v>4.1100000000000003</v>
      </c>
      <c r="Q54" s="123"/>
      <c r="R54"/>
      <c r="S54" s="167"/>
      <c r="T54" s="167"/>
      <c r="U54" s="167"/>
    </row>
    <row r="55" spans="1:21" ht="13.5" customHeight="1" x14ac:dyDescent="0.2">
      <c r="A55" s="167"/>
      <c r="C55" s="122"/>
      <c r="D55" s="84">
        <v>6</v>
      </c>
      <c r="E55" s="85" t="str">
        <f>Entrada_Dados!C163</f>
        <v>Minas Gerais</v>
      </c>
      <c r="F55" s="86">
        <f>Entrada_Dados!D163</f>
        <v>3524055</v>
      </c>
      <c r="G55" s="87">
        <f>Entrada_Dados!E163</f>
        <v>4747494</v>
      </c>
      <c r="H55" s="88">
        <f t="shared" si="8"/>
        <v>4.9580492111678911</v>
      </c>
      <c r="I55" s="89">
        <f t="shared" si="9"/>
        <v>34.71</v>
      </c>
      <c r="J55" s="8"/>
      <c r="K55" s="84">
        <v>6</v>
      </c>
      <c r="L55" s="85" t="str">
        <f>Entrada_Dados!I163</f>
        <v>Bahia</v>
      </c>
      <c r="M55" s="86">
        <f>Entrada_Dados!J163</f>
        <v>1440135</v>
      </c>
      <c r="N55" s="87">
        <f>Entrada_Dados!K163</f>
        <v>1527000</v>
      </c>
      <c r="O55" s="88">
        <f t="shared" si="10"/>
        <v>4.5931456550556637</v>
      </c>
      <c r="P55" s="89">
        <f t="shared" si="11"/>
        <v>6.03</v>
      </c>
      <c r="Q55" s="123"/>
      <c r="R55"/>
      <c r="S55" s="167"/>
      <c r="T55" s="167"/>
      <c r="U55" s="167"/>
    </row>
    <row r="56" spans="1:21" ht="13.5" customHeight="1" x14ac:dyDescent="0.2">
      <c r="A56" s="167"/>
      <c r="C56" s="122"/>
      <c r="D56" s="90">
        <v>7</v>
      </c>
      <c r="E56" s="91" t="str">
        <f>Entrada_Dados!C164</f>
        <v>Bahia</v>
      </c>
      <c r="F56" s="92">
        <f>Entrada_Dados!D164</f>
        <v>4513633</v>
      </c>
      <c r="G56" s="93">
        <f>Entrada_Dados!E164</f>
        <v>3212600</v>
      </c>
      <c r="H56" s="94">
        <f t="shared" si="8"/>
        <v>3.3550814168059961</v>
      </c>
      <c r="I56" s="95">
        <f t="shared" si="9"/>
        <v>-28.82</v>
      </c>
      <c r="J56" s="8"/>
      <c r="K56" s="90">
        <v>7</v>
      </c>
      <c r="L56" s="91" t="str">
        <f>Entrada_Dados!I164</f>
        <v>Minas Gerais</v>
      </c>
      <c r="M56" s="92">
        <f>Entrada_Dados!J164</f>
        <v>1328641</v>
      </c>
      <c r="N56" s="93">
        <f>Entrada_Dados!K164</f>
        <v>1472224</v>
      </c>
      <c r="O56" s="94">
        <f t="shared" si="10"/>
        <v>4.4283819704444465</v>
      </c>
      <c r="P56" s="95">
        <f t="shared" si="11"/>
        <v>10.8</v>
      </c>
      <c r="Q56" s="123"/>
      <c r="R56"/>
      <c r="S56" s="167"/>
      <c r="T56" s="167"/>
      <c r="U56" s="167"/>
    </row>
    <row r="57" spans="1:21" ht="13.5" customHeight="1" x14ac:dyDescent="0.2">
      <c r="A57" s="167"/>
      <c r="C57" s="122"/>
      <c r="D57" s="84">
        <v>8</v>
      </c>
      <c r="E57" s="85" t="str">
        <f>Entrada_Dados!C165</f>
        <v>São Paulo</v>
      </c>
      <c r="F57" s="86">
        <f>Entrada_Dados!D165</f>
        <v>2406262</v>
      </c>
      <c r="G57" s="87">
        <f>Entrada_Dados!E165</f>
        <v>2627839</v>
      </c>
      <c r="H57" s="88">
        <f t="shared" si="8"/>
        <v>2.7443857919622898</v>
      </c>
      <c r="I57" s="89">
        <f t="shared" si="9"/>
        <v>9.1999999999999993</v>
      </c>
      <c r="J57" s="8"/>
      <c r="K57" s="84">
        <v>8</v>
      </c>
      <c r="L57" s="85" t="str">
        <f>Entrada_Dados!I165</f>
        <v>São Paulo</v>
      </c>
      <c r="M57" s="86">
        <f>Entrada_Dados!J165</f>
        <v>792081</v>
      </c>
      <c r="N57" s="87">
        <f>Entrada_Dados!K165</f>
        <v>828513</v>
      </c>
      <c r="O57" s="88">
        <f t="shared" si="10"/>
        <v>2.4921289365469108</v>
      </c>
      <c r="P57" s="89">
        <f t="shared" si="11"/>
        <v>4.59</v>
      </c>
      <c r="Q57" s="123"/>
      <c r="R57"/>
      <c r="S57" s="167"/>
      <c r="T57" s="167"/>
      <c r="U57" s="167"/>
    </row>
    <row r="58" spans="1:21" ht="13.5" customHeight="1" x14ac:dyDescent="0.2">
      <c r="A58" s="167"/>
      <c r="C58" s="122"/>
      <c r="D58" s="90">
        <v>9</v>
      </c>
      <c r="E58" s="91" t="str">
        <f>Entrada_Dados!C166</f>
        <v>Santa Catarina</v>
      </c>
      <c r="F58" s="92">
        <f>Entrada_Dados!D166</f>
        <v>2000323</v>
      </c>
      <c r="G58" s="93">
        <f>Entrada_Dados!E166</f>
        <v>2139611</v>
      </c>
      <c r="H58" s="94">
        <f t="shared" si="8"/>
        <v>2.2345044839985353</v>
      </c>
      <c r="I58" s="95">
        <f t="shared" si="9"/>
        <v>6.96</v>
      </c>
      <c r="J58" s="8"/>
      <c r="K58" s="90">
        <v>9</v>
      </c>
      <c r="L58" s="91" t="str">
        <f>Entrada_Dados!I166</f>
        <v>Tocantins</v>
      </c>
      <c r="M58" s="92">
        <f>Entrada_Dados!J166</f>
        <v>830031</v>
      </c>
      <c r="N58" s="93">
        <f>Entrada_Dados!K166</f>
        <v>793867</v>
      </c>
      <c r="O58" s="94">
        <f t="shared" si="10"/>
        <v>2.3879153645986082</v>
      </c>
      <c r="P58" s="95">
        <f t="shared" si="11"/>
        <v>-4.3499999999999996</v>
      </c>
      <c r="Q58" s="123"/>
      <c r="R58"/>
      <c r="S58" s="167"/>
      <c r="T58" s="167"/>
      <c r="U58" s="167"/>
    </row>
    <row r="59" spans="1:21" ht="13.5" customHeight="1" x14ac:dyDescent="0.2">
      <c r="A59" s="167"/>
      <c r="C59" s="122"/>
      <c r="D59" s="84">
        <v>10</v>
      </c>
      <c r="E59" s="85" t="str">
        <f>Entrada_Dados!C167</f>
        <v>Tocantins</v>
      </c>
      <c r="F59" s="86">
        <f>Entrada_Dados!D167</f>
        <v>2418367</v>
      </c>
      <c r="G59" s="87">
        <f>Entrada_Dados!E167</f>
        <v>1809384</v>
      </c>
      <c r="H59" s="88">
        <f t="shared" si="8"/>
        <v>1.8896316485918261</v>
      </c>
      <c r="I59" s="89">
        <f t="shared" si="9"/>
        <v>-25.18</v>
      </c>
      <c r="J59" s="8"/>
      <c r="K59" s="84">
        <v>10</v>
      </c>
      <c r="L59" s="85" t="str">
        <f>Entrada_Dados!I167</f>
        <v>Maranhão</v>
      </c>
      <c r="M59" s="86">
        <f>Entrada_Dados!J167</f>
        <v>761225</v>
      </c>
      <c r="N59" s="87">
        <f>Entrada_Dados!K167</f>
        <v>783654</v>
      </c>
      <c r="O59" s="88">
        <f t="shared" si="10"/>
        <v>2.3571951310851285</v>
      </c>
      <c r="P59" s="89">
        <f t="shared" si="11"/>
        <v>2.94</v>
      </c>
      <c r="Q59" s="123"/>
      <c r="R59"/>
      <c r="S59" s="167"/>
      <c r="T59" s="167"/>
      <c r="U59" s="167"/>
    </row>
    <row r="60" spans="1:21" ht="13.5" customHeight="1" x14ac:dyDescent="0.2">
      <c r="A60" s="167"/>
      <c r="C60" s="122"/>
      <c r="D60" s="96"/>
      <c r="E60" s="96" t="str">
        <f>CONCATENATE("Demais UF - ",Entrada_Dados!F156-10)</f>
        <v>Demais UF - 9</v>
      </c>
      <c r="F60" s="97">
        <f>Entrada_Dados!D185-F49</f>
        <v>5909883</v>
      </c>
      <c r="G60" s="97">
        <f>Entrada_Dados!E185-G49</f>
        <v>4285968</v>
      </c>
      <c r="H60" s="98">
        <f t="shared" si="8"/>
        <v>4.4760541585709896</v>
      </c>
      <c r="I60" s="99">
        <f t="shared" si="9"/>
        <v>-27.47</v>
      </c>
      <c r="J60" s="8"/>
      <c r="K60" s="96"/>
      <c r="L60" s="96" t="str">
        <f>CONCATENATE("Demais UF - ",Entrada_Dados!L156-10)</f>
        <v>Demais UF - 9</v>
      </c>
      <c r="M60" s="97">
        <f>Entrada_Dados!J185-M49</f>
        <v>1952246</v>
      </c>
      <c r="N60" s="97">
        <f>Entrada_Dados!K185-N49</f>
        <v>2014402</v>
      </c>
      <c r="O60" s="98">
        <f t="shared" si="10"/>
        <v>6.0592284177049374</v>
      </c>
      <c r="P60" s="99">
        <f t="shared" si="11"/>
        <v>3.18</v>
      </c>
      <c r="Q60" s="123"/>
      <c r="R60"/>
      <c r="S60" s="167"/>
      <c r="T60" s="167"/>
      <c r="U60" s="167"/>
    </row>
    <row r="61" spans="1:21" ht="13.5" customHeight="1" x14ac:dyDescent="0.2">
      <c r="A61" s="167"/>
      <c r="C61" s="122"/>
      <c r="D61" s="100"/>
      <c r="E61" s="101" t="s">
        <v>84</v>
      </c>
      <c r="F61" s="102">
        <f>SUM(F49+F60)</f>
        <v>97464937</v>
      </c>
      <c r="G61" s="102">
        <f>SUM(G49+G60)</f>
        <v>95753265</v>
      </c>
      <c r="H61" s="103">
        <f t="shared" si="8"/>
        <v>100</v>
      </c>
      <c r="I61" s="104">
        <f t="shared" si="9"/>
        <v>-1.75</v>
      </c>
      <c r="J61" s="8"/>
      <c r="K61" s="100"/>
      <c r="L61" s="101" t="s">
        <v>84</v>
      </c>
      <c r="M61" s="102">
        <f>SUM(M49+M60)</f>
        <v>32206388</v>
      </c>
      <c r="N61" s="102">
        <f>SUM(N49+N60)</f>
        <v>33245190</v>
      </c>
      <c r="O61" s="103">
        <f t="shared" si="10"/>
        <v>100</v>
      </c>
      <c r="P61" s="104">
        <f t="shared" si="11"/>
        <v>3.22</v>
      </c>
      <c r="Q61" s="123"/>
      <c r="R61"/>
      <c r="S61" s="167"/>
      <c r="T61" s="167"/>
      <c r="U61" s="167"/>
    </row>
    <row r="62" spans="1:21" ht="13.5" customHeight="1" x14ac:dyDescent="0.2">
      <c r="A62" s="167"/>
      <c r="C62" s="12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23"/>
      <c r="R62"/>
      <c r="S62" s="167"/>
      <c r="T62" s="167"/>
      <c r="U62" s="167"/>
    </row>
    <row r="63" spans="1:21" ht="13.5" customHeight="1" x14ac:dyDescent="0.2">
      <c r="A63" s="167"/>
      <c r="C63" s="122"/>
      <c r="D63" s="117" t="s">
        <v>77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23"/>
      <c r="R63"/>
      <c r="S63" s="167"/>
      <c r="T63" s="167"/>
      <c r="U63" s="167"/>
    </row>
    <row r="64" spans="1:21" ht="13.5" customHeight="1" x14ac:dyDescent="0.2">
      <c r="A64" s="167"/>
      <c r="C64" s="122"/>
      <c r="D64" s="226" t="s">
        <v>70</v>
      </c>
      <c r="E64" s="227"/>
      <c r="F64" s="227"/>
      <c r="G64" s="227"/>
      <c r="H64" s="227"/>
      <c r="I64" s="228"/>
      <c r="J64" s="3"/>
      <c r="K64" s="226" t="s">
        <v>1</v>
      </c>
      <c r="L64" s="227"/>
      <c r="M64" s="227"/>
      <c r="N64" s="227"/>
      <c r="O64" s="227"/>
      <c r="P64" s="228"/>
      <c r="Q64" s="123"/>
      <c r="R64"/>
      <c r="S64" s="167"/>
      <c r="T64" s="167"/>
      <c r="U64" s="167"/>
    </row>
    <row r="65" spans="1:21" ht="13.5" customHeight="1" x14ac:dyDescent="0.2">
      <c r="A65" s="167"/>
      <c r="C65" s="122"/>
      <c r="D65" s="47" t="s">
        <v>67</v>
      </c>
      <c r="E65" s="46" t="s">
        <v>71</v>
      </c>
      <c r="F65" s="45">
        <f>$F$12</f>
        <v>2015</v>
      </c>
      <c r="G65" s="45">
        <f>$G$12</f>
        <v>2016</v>
      </c>
      <c r="H65" s="45" t="s">
        <v>69</v>
      </c>
      <c r="I65" s="45" t="s">
        <v>66</v>
      </c>
      <c r="J65" s="8"/>
      <c r="K65" s="47" t="s">
        <v>67</v>
      </c>
      <c r="L65" s="46" t="s">
        <v>71</v>
      </c>
      <c r="M65" s="45">
        <f>$F$12</f>
        <v>2015</v>
      </c>
      <c r="N65" s="45">
        <f>$G$12</f>
        <v>2016</v>
      </c>
      <c r="O65" s="45" t="s">
        <v>69</v>
      </c>
      <c r="P65" s="45" t="s">
        <v>66</v>
      </c>
      <c r="Q65" s="123"/>
      <c r="R65"/>
      <c r="S65" s="167"/>
      <c r="T65" s="167"/>
      <c r="U65" s="167"/>
    </row>
    <row r="66" spans="1:21" ht="13.5" customHeight="1" x14ac:dyDescent="0.2">
      <c r="A66" s="167"/>
      <c r="C66" s="122"/>
      <c r="D66" s="73"/>
      <c r="E66" s="74" t="s">
        <v>68</v>
      </c>
      <c r="F66" s="75">
        <f>SUM(F67:F76)</f>
        <v>80620241</v>
      </c>
      <c r="G66" s="75">
        <f>SUM(G67:G76)</f>
        <v>60350186</v>
      </c>
      <c r="H66" s="76">
        <f t="shared" ref="H66:H78" si="12">G66*100/$G$78</f>
        <v>95.263965374094127</v>
      </c>
      <c r="I66" s="77">
        <f t="shared" ref="I66:I78" si="13">TRUNC(((G66/F66)-1)*100,2)</f>
        <v>-25.14</v>
      </c>
      <c r="J66" s="8"/>
      <c r="K66" s="73"/>
      <c r="L66" s="74" t="s">
        <v>68</v>
      </c>
      <c r="M66" s="75">
        <f>SUM(M67:M76)</f>
        <v>13764914</v>
      </c>
      <c r="N66" s="75">
        <f>SUM(N67:N76)</f>
        <v>14271214</v>
      </c>
      <c r="O66" s="76">
        <f t="shared" ref="O66:O78" si="14">N66*100/$N$78</f>
        <v>88.605137878541314</v>
      </c>
      <c r="P66" s="77">
        <f t="shared" ref="P66:P77" si="15">TRUNC(((N66/M66)-1)*100,2)</f>
        <v>3.67</v>
      </c>
      <c r="Q66" s="123"/>
      <c r="R66"/>
      <c r="S66" s="167"/>
      <c r="T66" s="167"/>
      <c r="U66" s="167"/>
    </row>
    <row r="67" spans="1:21" ht="13.5" customHeight="1" x14ac:dyDescent="0.2">
      <c r="A67" s="167"/>
      <c r="C67" s="122"/>
      <c r="D67" s="78">
        <v>1</v>
      </c>
      <c r="E67" s="79" t="str">
        <f>Entrada_Dados!C122</f>
        <v>Mato Grosso</v>
      </c>
      <c r="F67" s="80">
        <f>Entrada_Dados!D122</f>
        <v>21353295</v>
      </c>
      <c r="G67" s="81">
        <f>Entrada_Dados!E122</f>
        <v>15339785</v>
      </c>
      <c r="H67" s="82">
        <f t="shared" si="12"/>
        <v>24.2141548177838</v>
      </c>
      <c r="I67" s="83">
        <f t="shared" si="13"/>
        <v>-28.16</v>
      </c>
      <c r="J67" s="8"/>
      <c r="K67" s="78">
        <v>1</v>
      </c>
      <c r="L67" s="79" t="str">
        <f>Entrada_Dados!I122</f>
        <v>Mato Grosso</v>
      </c>
      <c r="M67" s="80">
        <f>Entrada_Dados!J122</f>
        <v>3570606</v>
      </c>
      <c r="N67" s="81">
        <f>Entrada_Dados!K122</f>
        <v>3900268</v>
      </c>
      <c r="O67" s="82">
        <f t="shared" si="14"/>
        <v>24.215444033230991</v>
      </c>
      <c r="P67" s="83">
        <f t="shared" si="15"/>
        <v>9.23</v>
      </c>
      <c r="Q67" s="123"/>
      <c r="R67"/>
      <c r="S67" s="167"/>
      <c r="T67" s="167"/>
      <c r="U67" s="167"/>
    </row>
    <row r="68" spans="1:21" ht="13.5" customHeight="1" x14ac:dyDescent="0.2">
      <c r="A68" s="167"/>
      <c r="C68" s="122"/>
      <c r="D68" s="84">
        <v>2</v>
      </c>
      <c r="E68" s="85" t="str">
        <f>Entrada_Dados!C123</f>
        <v>Paraná</v>
      </c>
      <c r="F68" s="86">
        <f>Entrada_Dados!D123</f>
        <v>15777409</v>
      </c>
      <c r="G68" s="87">
        <f>Entrada_Dados!E123</f>
        <v>13724174</v>
      </c>
      <c r="H68" s="88">
        <f t="shared" si="12"/>
        <v>21.663880815943845</v>
      </c>
      <c r="I68" s="89">
        <f t="shared" si="13"/>
        <v>-13.01</v>
      </c>
      <c r="J68" s="8"/>
      <c r="K68" s="84">
        <v>2</v>
      </c>
      <c r="L68" s="85" t="str">
        <f>Entrada_Dados!I123</f>
        <v>Paraná</v>
      </c>
      <c r="M68" s="86">
        <f>Entrada_Dados!J123</f>
        <v>2439400</v>
      </c>
      <c r="N68" s="87">
        <f>Entrada_Dados!K123</f>
        <v>2611333</v>
      </c>
      <c r="O68" s="88">
        <f t="shared" si="14"/>
        <v>16.212882836161306</v>
      </c>
      <c r="P68" s="89">
        <f t="shared" si="15"/>
        <v>7.04</v>
      </c>
      <c r="Q68" s="123"/>
      <c r="R68"/>
      <c r="S68" s="167"/>
      <c r="T68" s="167"/>
      <c r="U68" s="167"/>
    </row>
    <row r="69" spans="1:21" ht="13.5" customHeight="1" x14ac:dyDescent="0.2">
      <c r="A69" s="167"/>
      <c r="C69" s="122"/>
      <c r="D69" s="90">
        <v>3</v>
      </c>
      <c r="E69" s="91" t="str">
        <f>Entrada_Dados!C124</f>
        <v>Mato Grosso do Sul</v>
      </c>
      <c r="F69" s="92">
        <f>Entrada_Dados!D124</f>
        <v>9727809</v>
      </c>
      <c r="G69" s="93">
        <f>Entrada_Dados!E124</f>
        <v>6029756</v>
      </c>
      <c r="H69" s="94">
        <f t="shared" si="12"/>
        <v>9.5180894189495344</v>
      </c>
      <c r="I69" s="95">
        <f t="shared" si="13"/>
        <v>-38.01</v>
      </c>
      <c r="J69" s="8"/>
      <c r="K69" s="90">
        <v>3</v>
      </c>
      <c r="L69" s="91" t="str">
        <f>Entrada_Dados!I124</f>
        <v>Mato Grosso do Sul</v>
      </c>
      <c r="M69" s="92">
        <f>Entrada_Dados!J124</f>
        <v>1681672</v>
      </c>
      <c r="N69" s="93">
        <f>Entrada_Dados!K124</f>
        <v>1686337</v>
      </c>
      <c r="O69" s="94">
        <f t="shared" si="14"/>
        <v>10.469895721182917</v>
      </c>
      <c r="P69" s="95">
        <f t="shared" si="15"/>
        <v>0.27</v>
      </c>
      <c r="Q69" s="123"/>
      <c r="R69"/>
      <c r="S69" s="167"/>
      <c r="T69" s="167"/>
      <c r="U69" s="167"/>
    </row>
    <row r="70" spans="1:21" ht="13.5" customHeight="1" x14ac:dyDescent="0.2">
      <c r="A70" s="167"/>
      <c r="C70" s="122"/>
      <c r="D70" s="84">
        <v>4</v>
      </c>
      <c r="E70" s="85" t="str">
        <f>Entrada_Dados!C125</f>
        <v>Minas Gerais</v>
      </c>
      <c r="F70" s="86">
        <f>Entrada_Dados!D125</f>
        <v>6839297</v>
      </c>
      <c r="G70" s="87">
        <f>Entrada_Dados!E125</f>
        <v>5843579</v>
      </c>
      <c r="H70" s="88">
        <f t="shared" si="12"/>
        <v>9.2242053324704507</v>
      </c>
      <c r="I70" s="89">
        <f t="shared" si="13"/>
        <v>-14.55</v>
      </c>
      <c r="J70" s="8"/>
      <c r="K70" s="84">
        <v>4</v>
      </c>
      <c r="L70" s="85" t="str">
        <f>Entrada_Dados!I125</f>
        <v>Goiás</v>
      </c>
      <c r="M70" s="86">
        <f>Entrada_Dados!J125</f>
        <v>1409102</v>
      </c>
      <c r="N70" s="87">
        <f>Entrada_Dados!K125</f>
        <v>1572535</v>
      </c>
      <c r="O70" s="88">
        <f t="shared" si="14"/>
        <v>9.7633376175167701</v>
      </c>
      <c r="P70" s="89">
        <f t="shared" si="15"/>
        <v>11.59</v>
      </c>
      <c r="Q70" s="123"/>
      <c r="R70"/>
      <c r="S70" s="167"/>
      <c r="T70" s="167"/>
      <c r="U70" s="167"/>
    </row>
    <row r="71" spans="1:21" ht="13.5" customHeight="1" x14ac:dyDescent="0.2">
      <c r="A71" s="167"/>
      <c r="C71" s="122"/>
      <c r="D71" s="90">
        <v>5</v>
      </c>
      <c r="E71" s="91" t="str">
        <f>Entrada_Dados!C126</f>
        <v>Goiás</v>
      </c>
      <c r="F71" s="92">
        <f>Entrada_Dados!D126</f>
        <v>9512503</v>
      </c>
      <c r="G71" s="93">
        <f>Entrada_Dados!E126</f>
        <v>5743008</v>
      </c>
      <c r="H71" s="94">
        <f t="shared" si="12"/>
        <v>9.0654520145993516</v>
      </c>
      <c r="I71" s="95">
        <f t="shared" si="13"/>
        <v>-39.619999999999997</v>
      </c>
      <c r="J71" s="8"/>
      <c r="K71" s="90">
        <v>5</v>
      </c>
      <c r="L71" s="91" t="str">
        <f>Entrada_Dados!I126</f>
        <v>Minas Gerais</v>
      </c>
      <c r="M71" s="92">
        <f>Entrada_Dados!J126</f>
        <v>1281452</v>
      </c>
      <c r="N71" s="93">
        <f>Entrada_Dados!K126</f>
        <v>1219262</v>
      </c>
      <c r="O71" s="94">
        <f t="shared" si="14"/>
        <v>7.5699851197008217</v>
      </c>
      <c r="P71" s="95">
        <f t="shared" si="15"/>
        <v>-4.8499999999999996</v>
      </c>
      <c r="Q71" s="123"/>
      <c r="R71"/>
      <c r="S71" s="167"/>
      <c r="T71" s="167"/>
      <c r="U71" s="167"/>
    </row>
    <row r="72" spans="1:21" ht="13.5" customHeight="1" x14ac:dyDescent="0.2">
      <c r="A72" s="167"/>
      <c r="C72" s="122"/>
      <c r="D72" s="84">
        <v>6</v>
      </c>
      <c r="E72" s="85" t="str">
        <f>Entrada_Dados!C127</f>
        <v>Rio Grande do Sul</v>
      </c>
      <c r="F72" s="86">
        <f>Entrada_Dados!D127</f>
        <v>5563555</v>
      </c>
      <c r="G72" s="87">
        <f>Entrada_Dados!E127</f>
        <v>4729948</v>
      </c>
      <c r="H72" s="88">
        <f t="shared" si="12"/>
        <v>7.4663167151343286</v>
      </c>
      <c r="I72" s="89">
        <f t="shared" si="13"/>
        <v>-14.98</v>
      </c>
      <c r="J72" s="8"/>
      <c r="K72" s="84">
        <v>6</v>
      </c>
      <c r="L72" s="85" t="str">
        <f>Entrada_Dados!I127</f>
        <v>São Paulo</v>
      </c>
      <c r="M72" s="86">
        <f>Entrada_Dados!J127</f>
        <v>808374</v>
      </c>
      <c r="N72" s="87">
        <f>Entrada_Dados!K127</f>
        <v>884860</v>
      </c>
      <c r="O72" s="88">
        <f t="shared" si="14"/>
        <v>5.4937962743187843</v>
      </c>
      <c r="P72" s="89">
        <f t="shared" si="15"/>
        <v>9.4600000000000009</v>
      </c>
      <c r="Q72" s="123"/>
      <c r="R72"/>
      <c r="S72" s="167"/>
      <c r="T72" s="167"/>
      <c r="U72" s="167"/>
    </row>
    <row r="73" spans="1:21" ht="13.5" customHeight="1" x14ac:dyDescent="0.2">
      <c r="A73" s="167"/>
      <c r="C73" s="122"/>
      <c r="D73" s="90">
        <v>7</v>
      </c>
      <c r="E73" s="91" t="str">
        <f>Entrada_Dados!C128</f>
        <v>São Paulo</v>
      </c>
      <c r="F73" s="92">
        <f>Entrada_Dados!D128</f>
        <v>4688951</v>
      </c>
      <c r="G73" s="93">
        <f>Entrada_Dados!E128</f>
        <v>4179900</v>
      </c>
      <c r="H73" s="94">
        <f t="shared" si="12"/>
        <v>6.5980550394190338</v>
      </c>
      <c r="I73" s="95">
        <f t="shared" si="13"/>
        <v>-10.85</v>
      </c>
      <c r="J73" s="8"/>
      <c r="K73" s="90">
        <v>7</v>
      </c>
      <c r="L73" s="91" t="str">
        <f>Entrada_Dados!I128</f>
        <v>Rio Grande do Sul</v>
      </c>
      <c r="M73" s="92">
        <f>Entrada_Dados!J128</f>
        <v>854793</v>
      </c>
      <c r="N73" s="93">
        <f>Entrada_Dados!K128</f>
        <v>740510</v>
      </c>
      <c r="O73" s="94">
        <f t="shared" si="14"/>
        <v>4.5975759770989795</v>
      </c>
      <c r="P73" s="95">
        <f t="shared" si="15"/>
        <v>-13.36</v>
      </c>
      <c r="Q73" s="123"/>
      <c r="R73"/>
      <c r="S73" s="167"/>
      <c r="T73" s="167"/>
      <c r="U73" s="167"/>
    </row>
    <row r="74" spans="1:21" ht="13.5" customHeight="1" x14ac:dyDescent="0.2">
      <c r="A74" s="167"/>
      <c r="C74" s="122"/>
      <c r="D74" s="84">
        <v>8</v>
      </c>
      <c r="E74" s="85" t="str">
        <f>Entrada_Dados!C129</f>
        <v>Santa Catarina</v>
      </c>
      <c r="F74" s="86">
        <f>Entrada_Dados!D129</f>
        <v>3076480</v>
      </c>
      <c r="G74" s="87">
        <f>Entrada_Dados!E129</f>
        <v>2530363</v>
      </c>
      <c r="H74" s="88">
        <f t="shared" si="12"/>
        <v>3.9942281738102503</v>
      </c>
      <c r="I74" s="89">
        <f t="shared" si="13"/>
        <v>-17.75</v>
      </c>
      <c r="J74" s="8"/>
      <c r="K74" s="84">
        <v>8</v>
      </c>
      <c r="L74" s="85" t="str">
        <f>Entrada_Dados!I129</f>
        <v>Bahia</v>
      </c>
      <c r="M74" s="86">
        <f>Entrada_Dados!J129</f>
        <v>814311</v>
      </c>
      <c r="N74" s="87">
        <f>Entrada_Dados!K129</f>
        <v>696655</v>
      </c>
      <c r="O74" s="88">
        <f t="shared" si="14"/>
        <v>4.3252951240710988</v>
      </c>
      <c r="P74" s="89">
        <f t="shared" si="15"/>
        <v>-14.44</v>
      </c>
      <c r="Q74" s="123"/>
      <c r="R74"/>
      <c r="S74" s="167"/>
      <c r="T74" s="167"/>
      <c r="U74" s="167"/>
    </row>
    <row r="75" spans="1:21" ht="13.5" customHeight="1" x14ac:dyDescent="0.2">
      <c r="A75" s="167"/>
      <c r="C75" s="122"/>
      <c r="D75" s="90">
        <v>9</v>
      </c>
      <c r="E75" s="91" t="str">
        <f>Entrada_Dados!C130</f>
        <v>Bahia</v>
      </c>
      <c r="F75" s="92">
        <f>Entrada_Dados!D130</f>
        <v>2683111</v>
      </c>
      <c r="G75" s="93">
        <f>Entrada_Dados!E130</f>
        <v>1545690</v>
      </c>
      <c r="H75" s="94">
        <f t="shared" si="12"/>
        <v>2.4399023167730345</v>
      </c>
      <c r="I75" s="95">
        <f t="shared" si="13"/>
        <v>-42.39</v>
      </c>
      <c r="J75" s="8"/>
      <c r="K75" s="90">
        <v>9</v>
      </c>
      <c r="L75" s="91" t="str">
        <f>Entrada_Dados!I130</f>
        <v>Piauí</v>
      </c>
      <c r="M75" s="92">
        <f>Entrada_Dados!J130</f>
        <v>409277</v>
      </c>
      <c r="N75" s="93">
        <f>Entrada_Dados!K130</f>
        <v>483738</v>
      </c>
      <c r="O75" s="94">
        <f t="shared" si="14"/>
        <v>3.0033655291757113</v>
      </c>
      <c r="P75" s="95">
        <f t="shared" si="15"/>
        <v>18.190000000000001</v>
      </c>
      <c r="Q75" s="123"/>
      <c r="R75"/>
      <c r="S75" s="167"/>
      <c r="T75" s="167"/>
      <c r="U75" s="167"/>
    </row>
    <row r="76" spans="1:21" ht="13.5" customHeight="1" x14ac:dyDescent="0.2">
      <c r="A76" s="167"/>
      <c r="C76" s="122"/>
      <c r="D76" s="84">
        <v>10</v>
      </c>
      <c r="E76" s="85" t="str">
        <f>Entrada_Dados!C131</f>
        <v>Maranhão</v>
      </c>
      <c r="F76" s="86">
        <f>Entrada_Dados!D131</f>
        <v>1397831</v>
      </c>
      <c r="G76" s="87">
        <f>Entrada_Dados!E131</f>
        <v>683983</v>
      </c>
      <c r="H76" s="88">
        <f t="shared" si="12"/>
        <v>1.0796807292104953</v>
      </c>
      <c r="I76" s="89">
        <f t="shared" si="13"/>
        <v>-51.06</v>
      </c>
      <c r="J76" s="8"/>
      <c r="K76" s="84">
        <v>10</v>
      </c>
      <c r="L76" s="85" t="str">
        <f>Entrada_Dados!I131</f>
        <v>Ceará</v>
      </c>
      <c r="M76" s="86">
        <f>Entrada_Dados!J131</f>
        <v>495927</v>
      </c>
      <c r="N76" s="87">
        <f>Entrada_Dados!K131</f>
        <v>475716</v>
      </c>
      <c r="O76" s="88">
        <f t="shared" si="14"/>
        <v>2.9535596460839395</v>
      </c>
      <c r="P76" s="89">
        <f t="shared" si="15"/>
        <v>-4.07</v>
      </c>
      <c r="Q76" s="123"/>
      <c r="R76"/>
      <c r="S76" s="167"/>
      <c r="T76" s="167"/>
      <c r="U76" s="167"/>
    </row>
    <row r="77" spans="1:21" ht="13.5" customHeight="1" x14ac:dyDescent="0.2">
      <c r="A77" s="167"/>
      <c r="C77" s="122"/>
      <c r="D77" s="96"/>
      <c r="E77" s="96" t="str">
        <f>CONCATENATE("Demais UF - ",Entrada_Dados!F120-10)</f>
        <v>Demais UF - 17</v>
      </c>
      <c r="F77" s="97">
        <f>Entrada_Dados!D149-F66</f>
        <v>4664415</v>
      </c>
      <c r="G77" s="97">
        <f>Entrada_Dados!E149-G66</f>
        <v>3000301</v>
      </c>
      <c r="H77" s="98">
        <f t="shared" si="12"/>
        <v>4.7360346259058748</v>
      </c>
      <c r="I77" s="99">
        <f t="shared" si="13"/>
        <v>-35.67</v>
      </c>
      <c r="J77" s="8"/>
      <c r="K77" s="96"/>
      <c r="L77" s="96" t="str">
        <f>CONCATENATE("Demais UF - ",Entrada_Dados!L120-10)</f>
        <v>Demais UF - 17</v>
      </c>
      <c r="M77" s="97">
        <f>Entrada_Dados!J149-M66</f>
        <v>2081603</v>
      </c>
      <c r="N77" s="97">
        <f>Entrada_Dados!K149-N66</f>
        <v>1835317</v>
      </c>
      <c r="O77" s="98">
        <f t="shared" si="14"/>
        <v>11.394862121458681</v>
      </c>
      <c r="P77" s="99">
        <f t="shared" si="15"/>
        <v>-11.83</v>
      </c>
      <c r="Q77" s="123"/>
      <c r="R77"/>
      <c r="S77" s="167"/>
      <c r="T77" s="167"/>
      <c r="U77" s="167"/>
    </row>
    <row r="78" spans="1:21" ht="13.5" customHeight="1" x14ac:dyDescent="0.2">
      <c r="A78" s="167"/>
      <c r="C78" s="122"/>
      <c r="D78" s="100"/>
      <c r="E78" s="101" t="s">
        <v>84</v>
      </c>
      <c r="F78" s="102">
        <f>SUM(F66+F77)</f>
        <v>85284656</v>
      </c>
      <c r="G78" s="102">
        <f>SUM(G66+G77)</f>
        <v>63350487</v>
      </c>
      <c r="H78" s="103">
        <f t="shared" si="12"/>
        <v>100</v>
      </c>
      <c r="I78" s="104">
        <f t="shared" si="13"/>
        <v>-25.71</v>
      </c>
      <c r="J78" s="8"/>
      <c r="K78" s="100"/>
      <c r="L78" s="101" t="s">
        <v>84</v>
      </c>
      <c r="M78" s="102">
        <f>SUM(M66+M77)</f>
        <v>15846517</v>
      </c>
      <c r="N78" s="102">
        <f>SUM(N66+N77)</f>
        <v>16106531</v>
      </c>
      <c r="O78" s="103">
        <f t="shared" si="14"/>
        <v>100</v>
      </c>
      <c r="P78" s="104">
        <f>SUM(P66+P77)</f>
        <v>-8.16</v>
      </c>
      <c r="Q78" s="123"/>
      <c r="R78"/>
      <c r="S78" s="167"/>
      <c r="T78" s="167"/>
      <c r="U78" s="167"/>
    </row>
    <row r="79" spans="1:21" ht="13.5" customHeight="1" x14ac:dyDescent="0.2">
      <c r="A79" s="167"/>
      <c r="C79" s="122"/>
      <c r="D79" s="1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23"/>
      <c r="R79"/>
      <c r="S79" s="167"/>
      <c r="T79" s="167"/>
      <c r="U79" s="167"/>
    </row>
    <row r="80" spans="1:21" ht="13.5" customHeight="1" x14ac:dyDescent="0.2">
      <c r="A80" s="167"/>
      <c r="C80" s="122"/>
      <c r="D80" s="224" t="str">
        <f>CONCATENATE("Fonte: IBGE/LSPA - Previsão de safra ",Entrada_Dados!D5," / ",Entrada_Dados!E5,". Adaptado pela SED/SupexAgricultura/CEMEAS")</f>
        <v>Fonte: IBGE/LSPA - Previsão de safra 2016 / dezembro. Adaptado pela SED/SupexAgricultura/CEMEAS</v>
      </c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123"/>
      <c r="R80"/>
      <c r="S80" s="167"/>
      <c r="T80" s="167"/>
      <c r="U80" s="167"/>
    </row>
    <row r="81" spans="1:21" ht="13.5" customHeight="1" x14ac:dyDescent="0.2">
      <c r="A81" s="167"/>
      <c r="C81" s="122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23"/>
      <c r="R81"/>
      <c r="S81" s="167"/>
      <c r="T81" s="167"/>
      <c r="U81" s="167"/>
    </row>
    <row r="82" spans="1:21" ht="13.5" customHeight="1" x14ac:dyDescent="0.2">
      <c r="A82" s="167"/>
      <c r="C82" s="122"/>
      <c r="D82" s="117" t="s">
        <v>79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23"/>
      <c r="R82"/>
      <c r="S82" s="167"/>
      <c r="T82" s="167"/>
      <c r="U82" s="167"/>
    </row>
    <row r="83" spans="1:21" ht="13.5" customHeight="1" x14ac:dyDescent="0.2">
      <c r="A83" s="167"/>
      <c r="C83" s="122"/>
      <c r="D83" s="226" t="s">
        <v>70</v>
      </c>
      <c r="E83" s="227"/>
      <c r="F83" s="227"/>
      <c r="G83" s="227"/>
      <c r="H83" s="227"/>
      <c r="I83" s="228"/>
      <c r="J83" s="3"/>
      <c r="K83" s="226" t="s">
        <v>1</v>
      </c>
      <c r="L83" s="227"/>
      <c r="M83" s="227"/>
      <c r="N83" s="227"/>
      <c r="O83" s="227"/>
      <c r="P83" s="228"/>
      <c r="Q83" s="123"/>
      <c r="R83"/>
      <c r="S83" s="167"/>
      <c r="T83" s="167"/>
      <c r="U83" s="167"/>
    </row>
    <row r="84" spans="1:21" ht="13.5" customHeight="1" x14ac:dyDescent="0.2">
      <c r="A84" s="167"/>
      <c r="C84" s="122"/>
      <c r="D84" s="47" t="s">
        <v>67</v>
      </c>
      <c r="E84" s="46" t="s">
        <v>71</v>
      </c>
      <c r="F84" s="45">
        <f>$F$12</f>
        <v>2015</v>
      </c>
      <c r="G84" s="45">
        <f>$G$12</f>
        <v>2016</v>
      </c>
      <c r="H84" s="45" t="s">
        <v>69</v>
      </c>
      <c r="I84" s="45" t="s">
        <v>66</v>
      </c>
      <c r="J84" s="8"/>
      <c r="K84" s="47" t="s">
        <v>67</v>
      </c>
      <c r="L84" s="46" t="s">
        <v>71</v>
      </c>
      <c r="M84" s="45">
        <f>$F$12</f>
        <v>2015</v>
      </c>
      <c r="N84" s="45">
        <f>$G$12</f>
        <v>2016</v>
      </c>
      <c r="O84" s="45" t="s">
        <v>69</v>
      </c>
      <c r="P84" s="45" t="s">
        <v>66</v>
      </c>
      <c r="Q84" s="123"/>
      <c r="R84"/>
      <c r="S84" s="167"/>
      <c r="T84" s="167"/>
      <c r="U84" s="167"/>
    </row>
    <row r="85" spans="1:21" ht="13.5" customHeight="1" x14ac:dyDescent="0.2">
      <c r="A85" s="167"/>
      <c r="C85" s="122"/>
      <c r="D85" s="73"/>
      <c r="E85" s="74" t="s">
        <v>68</v>
      </c>
      <c r="F85" s="75">
        <f>SUM(F86:F95)</f>
        <v>4066086</v>
      </c>
      <c r="G85" s="75">
        <f>SUM(G86:G95)</f>
        <v>3371969</v>
      </c>
      <c r="H85" s="76">
        <f t="shared" ref="H85:H97" si="16">G85*100/$G$97</f>
        <v>99.952098435343999</v>
      </c>
      <c r="I85" s="77">
        <f t="shared" ref="I85:I97" si="17">TRUNC(((G85/F85)-1)*100,2)</f>
        <v>-17.07</v>
      </c>
      <c r="J85" s="8"/>
      <c r="K85" s="73"/>
      <c r="L85" s="74" t="s">
        <v>68</v>
      </c>
      <c r="M85" s="75">
        <f>SUM(M86:M95)</f>
        <v>1046537</v>
      </c>
      <c r="N85" s="75">
        <f>SUM(N86:N95)</f>
        <v>975455</v>
      </c>
      <c r="O85" s="76">
        <f t="shared" ref="O85:O97" si="18">N85*100/$N$97</f>
        <v>99.902295042343937</v>
      </c>
      <c r="P85" s="77">
        <f t="shared" ref="P85:P97" si="19">TRUNC(((N85/M85)-1)*100,2)</f>
        <v>-6.79</v>
      </c>
      <c r="Q85" s="123"/>
      <c r="R85"/>
      <c r="S85" s="167"/>
      <c r="T85" s="167"/>
      <c r="U85" s="167"/>
    </row>
    <row r="86" spans="1:21" ht="13.5" customHeight="1" x14ac:dyDescent="0.2">
      <c r="A86" s="167"/>
      <c r="C86" s="122"/>
      <c r="D86" s="78">
        <v>1</v>
      </c>
      <c r="E86" s="79" t="str">
        <f>Entrada_Dados!C50</f>
        <v>Mato Grosso</v>
      </c>
      <c r="F86" s="80">
        <f>Entrada_Dados!D50</f>
        <v>2373581</v>
      </c>
      <c r="G86" s="81">
        <f>Entrada_Dados!E50</f>
        <v>2220555</v>
      </c>
      <c r="H86" s="82">
        <f t="shared" si="16"/>
        <v>65.821818629143777</v>
      </c>
      <c r="I86" s="83">
        <f t="shared" si="17"/>
        <v>-6.44</v>
      </c>
      <c r="J86" s="8"/>
      <c r="K86" s="78">
        <v>1</v>
      </c>
      <c r="L86" s="79" t="str">
        <f>Entrada_Dados!I50</f>
        <v>Mato Grosso</v>
      </c>
      <c r="M86" s="80">
        <f>Entrada_Dados!J50</f>
        <v>590511</v>
      </c>
      <c r="N86" s="81">
        <f>Entrada_Dados!K50</f>
        <v>606314</v>
      </c>
      <c r="O86" s="82">
        <f t="shared" si="18"/>
        <v>62.096314147042889</v>
      </c>
      <c r="P86" s="83">
        <f t="shared" si="19"/>
        <v>2.67</v>
      </c>
      <c r="Q86" s="123"/>
      <c r="R86"/>
      <c r="S86" s="167"/>
      <c r="T86" s="167"/>
      <c r="U86" s="167"/>
    </row>
    <row r="87" spans="1:21" ht="13.5" customHeight="1" x14ac:dyDescent="0.2">
      <c r="A87" s="167"/>
      <c r="C87" s="122"/>
      <c r="D87" s="84">
        <v>2</v>
      </c>
      <c r="E87" s="85" t="str">
        <f>Entrada_Dados!C51</f>
        <v>Bahia</v>
      </c>
      <c r="F87" s="86">
        <f>Entrada_Dados!D51</f>
        <v>1196663</v>
      </c>
      <c r="G87" s="87">
        <f>Entrada_Dados!E51</f>
        <v>795164</v>
      </c>
      <c r="H87" s="88">
        <f t="shared" si="16"/>
        <v>23.570296880025253</v>
      </c>
      <c r="I87" s="89">
        <f t="shared" si="17"/>
        <v>-33.549999999999997</v>
      </c>
      <c r="J87" s="8"/>
      <c r="K87" s="84">
        <v>2</v>
      </c>
      <c r="L87" s="85" t="str">
        <f>Entrada_Dados!I51</f>
        <v>Bahia</v>
      </c>
      <c r="M87" s="86">
        <f>Entrada_Dados!J51</f>
        <v>332636</v>
      </c>
      <c r="N87" s="87">
        <f>Entrada_Dados!K51</f>
        <v>257190</v>
      </c>
      <c r="O87" s="88">
        <f t="shared" si="18"/>
        <v>26.340396288850268</v>
      </c>
      <c r="P87" s="89">
        <f t="shared" si="19"/>
        <v>-22.68</v>
      </c>
      <c r="Q87" s="123"/>
      <c r="R87"/>
      <c r="S87" s="167"/>
      <c r="T87" s="167"/>
      <c r="U87" s="167"/>
    </row>
    <row r="88" spans="1:21" ht="13.5" customHeight="1" x14ac:dyDescent="0.2">
      <c r="A88" s="167"/>
      <c r="C88" s="122"/>
      <c r="D88" s="90">
        <v>3</v>
      </c>
      <c r="E88" s="91" t="str">
        <f>Entrada_Dados!C52</f>
        <v>Mato Grosso do Sul</v>
      </c>
      <c r="F88" s="92">
        <f>Entrada_Dados!D52</f>
        <v>137724</v>
      </c>
      <c r="G88" s="93">
        <f>Entrada_Dados!E52</f>
        <v>111410</v>
      </c>
      <c r="H88" s="94">
        <f t="shared" si="16"/>
        <v>3.3024216078741162</v>
      </c>
      <c r="I88" s="95">
        <f t="shared" si="17"/>
        <v>-19.100000000000001</v>
      </c>
      <c r="J88" s="8"/>
      <c r="K88" s="90">
        <v>3</v>
      </c>
      <c r="L88" s="91" t="str">
        <f>Entrada_Dados!I52</f>
        <v>Mato Grosso do Sul</v>
      </c>
      <c r="M88" s="92">
        <f>Entrada_Dados!J52</f>
        <v>30724</v>
      </c>
      <c r="N88" s="93">
        <f>Entrada_Dados!K52</f>
        <v>29650</v>
      </c>
      <c r="O88" s="94">
        <f t="shared" si="18"/>
        <v>3.0366373107990605</v>
      </c>
      <c r="P88" s="95">
        <f t="shared" si="19"/>
        <v>-3.49</v>
      </c>
      <c r="Q88" s="123"/>
      <c r="R88"/>
      <c r="S88" s="167"/>
      <c r="T88" s="167"/>
      <c r="U88" s="167"/>
    </row>
    <row r="89" spans="1:21" ht="13.5" customHeight="1" x14ac:dyDescent="0.2">
      <c r="A89" s="167"/>
      <c r="C89" s="122"/>
      <c r="D89" s="84">
        <v>4</v>
      </c>
      <c r="E89" s="85" t="str">
        <f>Entrada_Dados!C53</f>
        <v>Goiás</v>
      </c>
      <c r="F89" s="86">
        <f>Entrada_Dados!D53</f>
        <v>131995</v>
      </c>
      <c r="G89" s="87">
        <f>Entrada_Dados!E53</f>
        <v>86446</v>
      </c>
      <c r="H89" s="88">
        <f t="shared" si="16"/>
        <v>2.5624372885224473</v>
      </c>
      <c r="I89" s="89">
        <f t="shared" si="17"/>
        <v>-34.5</v>
      </c>
      <c r="J89" s="8"/>
      <c r="K89" s="84">
        <v>4</v>
      </c>
      <c r="L89" s="85" t="str">
        <f>Entrada_Dados!I53</f>
        <v>Goiás</v>
      </c>
      <c r="M89" s="86">
        <f>Entrada_Dados!J53</f>
        <v>32175</v>
      </c>
      <c r="N89" s="87">
        <f>Entrada_Dados!K53</f>
        <v>29273</v>
      </c>
      <c r="O89" s="88">
        <f t="shared" si="18"/>
        <v>2.9980264417882259</v>
      </c>
      <c r="P89" s="89">
        <f t="shared" si="19"/>
        <v>-9.01</v>
      </c>
      <c r="Q89" s="123"/>
      <c r="R89"/>
      <c r="S89" s="167"/>
      <c r="T89" s="167"/>
      <c r="U89" s="167"/>
    </row>
    <row r="90" spans="1:21" ht="13.5" customHeight="1" x14ac:dyDescent="0.2">
      <c r="A90" s="167"/>
      <c r="C90" s="122"/>
      <c r="D90" s="90">
        <v>5</v>
      </c>
      <c r="E90" s="91" t="str">
        <f>Entrada_Dados!C54</f>
        <v>Maranhão</v>
      </c>
      <c r="F90" s="92">
        <f>Entrada_Dados!D54</f>
        <v>89774</v>
      </c>
      <c r="G90" s="93">
        <f>Entrada_Dados!E54</f>
        <v>66690</v>
      </c>
      <c r="H90" s="94">
        <f t="shared" si="16"/>
        <v>1.9768288037799551</v>
      </c>
      <c r="I90" s="95">
        <f t="shared" si="17"/>
        <v>-25.71</v>
      </c>
      <c r="J90" s="8"/>
      <c r="K90" s="90">
        <v>5</v>
      </c>
      <c r="L90" s="91" t="str">
        <f>Entrada_Dados!I54</f>
        <v>Maranhão</v>
      </c>
      <c r="M90" s="92">
        <f>Entrada_Dados!J54</f>
        <v>21375</v>
      </c>
      <c r="N90" s="93">
        <f>Entrada_Dados!K54</f>
        <v>20913</v>
      </c>
      <c r="O90" s="94">
        <f t="shared" si="18"/>
        <v>2.1418278610705146</v>
      </c>
      <c r="P90" s="95">
        <f t="shared" si="19"/>
        <v>-2.16</v>
      </c>
      <c r="Q90" s="123"/>
      <c r="R90"/>
      <c r="S90" s="167"/>
      <c r="T90" s="167"/>
      <c r="U90" s="167"/>
    </row>
    <row r="91" spans="1:21" ht="13.5" customHeight="1" x14ac:dyDescent="0.2">
      <c r="A91" s="167"/>
      <c r="C91" s="122"/>
      <c r="D91" s="84">
        <v>6</v>
      </c>
      <c r="E91" s="85" t="str">
        <f>Entrada_Dados!C55</f>
        <v>Minas Gerais</v>
      </c>
      <c r="F91" s="86">
        <f>Entrada_Dados!D55</f>
        <v>67588</v>
      </c>
      <c r="G91" s="87">
        <f>Entrada_Dados!E55</f>
        <v>66401</v>
      </c>
      <c r="H91" s="88">
        <f t="shared" si="16"/>
        <v>1.9682622492096686</v>
      </c>
      <c r="I91" s="89">
        <f t="shared" si="17"/>
        <v>-1.75</v>
      </c>
      <c r="J91" s="8"/>
      <c r="K91" s="84">
        <v>6</v>
      </c>
      <c r="L91" s="85" t="str">
        <f>Entrada_Dados!I55</f>
        <v>Minas Gerais</v>
      </c>
      <c r="M91" s="86">
        <f>Entrada_Dados!J55</f>
        <v>18690</v>
      </c>
      <c r="N91" s="87">
        <f>Entrada_Dados!K55</f>
        <v>19669</v>
      </c>
      <c r="O91" s="88">
        <f t="shared" si="18"/>
        <v>2.0144222349445777</v>
      </c>
      <c r="P91" s="89">
        <f t="shared" si="19"/>
        <v>5.23</v>
      </c>
      <c r="Q91" s="123"/>
      <c r="R91"/>
      <c r="S91" s="167"/>
      <c r="T91" s="167"/>
      <c r="U91" s="167"/>
    </row>
    <row r="92" spans="1:21" ht="13.5" customHeight="1" x14ac:dyDescent="0.2">
      <c r="A92" s="167"/>
      <c r="C92" s="122"/>
      <c r="D92" s="90">
        <v>7</v>
      </c>
      <c r="E92" s="91" t="str">
        <f>Entrada_Dados!C56</f>
        <v>São Paulo</v>
      </c>
      <c r="F92" s="92">
        <f>Entrada_Dados!D56</f>
        <v>14268</v>
      </c>
      <c r="G92" s="93">
        <f>Entrada_Dados!E56</f>
        <v>14277</v>
      </c>
      <c r="H92" s="94">
        <f t="shared" si="16"/>
        <v>0.42319965259508802</v>
      </c>
      <c r="I92" s="95">
        <f t="shared" si="17"/>
        <v>0.06</v>
      </c>
      <c r="J92" s="8"/>
      <c r="K92" s="90">
        <v>7</v>
      </c>
      <c r="L92" s="91" t="str">
        <f>Entrada_Dados!I56</f>
        <v>Piauí</v>
      </c>
      <c r="M92" s="92">
        <f>Entrada_Dados!J56</f>
        <v>14268</v>
      </c>
      <c r="N92" s="93">
        <f>Entrada_Dados!K56</f>
        <v>5536</v>
      </c>
      <c r="O92" s="94">
        <f t="shared" si="18"/>
        <v>0.56697551948005398</v>
      </c>
      <c r="P92" s="95">
        <f t="shared" si="19"/>
        <v>-61.19</v>
      </c>
      <c r="Q92" s="123"/>
      <c r="R92"/>
      <c r="S92" s="167"/>
      <c r="T92" s="167"/>
      <c r="U92" s="167"/>
    </row>
    <row r="93" spans="1:21" ht="13.5" customHeight="1" x14ac:dyDescent="0.2">
      <c r="A93" s="167"/>
      <c r="C93" s="122"/>
      <c r="D93" s="84">
        <v>8</v>
      </c>
      <c r="E93" s="85" t="str">
        <f>Entrada_Dados!C57</f>
        <v>Piauí</v>
      </c>
      <c r="F93" s="86">
        <f>Entrada_Dados!D57</f>
        <v>50875</v>
      </c>
      <c r="G93" s="87">
        <f>Entrada_Dados!E57</f>
        <v>7147</v>
      </c>
      <c r="H93" s="88">
        <f t="shared" si="16"/>
        <v>0.21185178378490538</v>
      </c>
      <c r="I93" s="89">
        <f t="shared" si="17"/>
        <v>-85.95</v>
      </c>
      <c r="J93" s="8"/>
      <c r="K93" s="84">
        <v>8</v>
      </c>
      <c r="L93" s="85" t="str">
        <f>Entrada_Dados!I57</f>
        <v>São Paulo</v>
      </c>
      <c r="M93" s="86">
        <f>Entrada_Dados!J57</f>
        <v>4355</v>
      </c>
      <c r="N93" s="87">
        <f>Entrada_Dados!K57</f>
        <v>4530</v>
      </c>
      <c r="O93" s="88">
        <f t="shared" si="18"/>
        <v>0.46394492471904702</v>
      </c>
      <c r="P93" s="89">
        <f t="shared" si="19"/>
        <v>4.01</v>
      </c>
      <c r="Q93" s="123"/>
      <c r="R93"/>
      <c r="S93" s="167"/>
      <c r="T93" s="167"/>
      <c r="U93" s="167"/>
    </row>
    <row r="94" spans="1:21" ht="13.5" customHeight="1" x14ac:dyDescent="0.2">
      <c r="A94" s="167"/>
      <c r="C94" s="122"/>
      <c r="D94" s="90">
        <v>9</v>
      </c>
      <c r="E94" s="91" t="str">
        <f>Entrada_Dados!C58</f>
        <v>Tocantins</v>
      </c>
      <c r="F94" s="92">
        <f>Entrada_Dados!D58</f>
        <v>2403</v>
      </c>
      <c r="G94" s="93">
        <f>Entrada_Dados!E58</f>
        <v>2664</v>
      </c>
      <c r="H94" s="94">
        <f t="shared" si="16"/>
        <v>7.8966440744786329E-2</v>
      </c>
      <c r="I94" s="95">
        <f t="shared" si="17"/>
        <v>10.86</v>
      </c>
      <c r="J94" s="8"/>
      <c r="K94" s="90">
        <v>9</v>
      </c>
      <c r="L94" s="91" t="str">
        <f>Entrada_Dados!I58</f>
        <v>Tocantins</v>
      </c>
      <c r="M94" s="92">
        <f>Entrada_Dados!J58</f>
        <v>903</v>
      </c>
      <c r="N94" s="93">
        <f>Entrada_Dados!K58</f>
        <v>1480</v>
      </c>
      <c r="O94" s="94">
        <f t="shared" si="18"/>
        <v>0.1515758252945231</v>
      </c>
      <c r="P94" s="95">
        <f t="shared" si="19"/>
        <v>63.89</v>
      </c>
      <c r="Q94" s="123"/>
      <c r="R94"/>
      <c r="S94" s="167"/>
      <c r="T94" s="167"/>
      <c r="U94" s="167"/>
    </row>
    <row r="95" spans="1:21" ht="13.5" customHeight="1" x14ac:dyDescent="0.2">
      <c r="A95" s="167"/>
      <c r="C95" s="122"/>
      <c r="D95" s="84">
        <v>10</v>
      </c>
      <c r="E95" s="85" t="str">
        <f>Entrada_Dados!C59</f>
        <v>Roraima</v>
      </c>
      <c r="F95" s="86">
        <f>Entrada_Dados!D59</f>
        <v>1215</v>
      </c>
      <c r="G95" s="87">
        <f>Entrada_Dados!E59</f>
        <v>1215</v>
      </c>
      <c r="H95" s="88">
        <f t="shared" si="16"/>
        <v>3.6015099664007282E-2</v>
      </c>
      <c r="I95" s="89">
        <f t="shared" si="17"/>
        <v>0</v>
      </c>
      <c r="J95" s="8"/>
      <c r="K95" s="84">
        <v>10</v>
      </c>
      <c r="L95" s="85" t="str">
        <f>Entrada_Dados!I59</f>
        <v>Roraima</v>
      </c>
      <c r="M95" s="86">
        <f>Entrada_Dados!J59</f>
        <v>900</v>
      </c>
      <c r="N95" s="87">
        <f>Entrada_Dados!K59</f>
        <v>900</v>
      </c>
      <c r="O95" s="88">
        <f t="shared" si="18"/>
        <v>9.2174488354777553E-2</v>
      </c>
      <c r="P95" s="89">
        <f t="shared" si="19"/>
        <v>0</v>
      </c>
      <c r="Q95" s="123"/>
      <c r="R95"/>
      <c r="S95" s="167"/>
      <c r="T95" s="167"/>
      <c r="U95" s="167"/>
    </row>
    <row r="96" spans="1:21" ht="13.5" customHeight="1" x14ac:dyDescent="0.2">
      <c r="A96" s="167"/>
      <c r="C96" s="122"/>
      <c r="D96" s="96"/>
      <c r="E96" s="96" t="str">
        <f>CONCATENATE("Demais UF - ",Entrada_Dados!F48-10)</f>
        <v>Demais UF - 5</v>
      </c>
      <c r="F96" s="97">
        <f>Entrada_Dados!D77-F85</f>
        <v>705</v>
      </c>
      <c r="G96" s="97">
        <f>Entrada_Dados!E77-G85</f>
        <v>1616</v>
      </c>
      <c r="H96" s="98">
        <f t="shared" si="16"/>
        <v>4.7901564655996515E-2</v>
      </c>
      <c r="I96" s="99">
        <f t="shared" si="17"/>
        <v>129.21</v>
      </c>
      <c r="J96" s="8"/>
      <c r="K96" s="96"/>
      <c r="L96" s="96" t="str">
        <f>CONCATENATE("Demais UF - ",Entrada_Dados!L48-10)</f>
        <v>Demais UF - 5</v>
      </c>
      <c r="M96" s="97">
        <f>Entrada_Dados!J77-M85</f>
        <v>1085</v>
      </c>
      <c r="N96" s="97">
        <f>Entrada_Dados!K77-N85</f>
        <v>954</v>
      </c>
      <c r="O96" s="98">
        <f t="shared" si="18"/>
        <v>9.7704957656064212E-2</v>
      </c>
      <c r="P96" s="99">
        <f t="shared" si="19"/>
        <v>-12.07</v>
      </c>
      <c r="Q96" s="123"/>
      <c r="R96"/>
      <c r="S96" s="167"/>
      <c r="T96" s="167"/>
      <c r="U96" s="167"/>
    </row>
    <row r="97" spans="1:21" ht="13.5" customHeight="1" x14ac:dyDescent="0.2">
      <c r="A97" s="167"/>
      <c r="C97" s="122"/>
      <c r="D97" s="100"/>
      <c r="E97" s="101" t="s">
        <v>84</v>
      </c>
      <c r="F97" s="102">
        <f>SUM(F85+F96)</f>
        <v>4066791</v>
      </c>
      <c r="G97" s="102">
        <f>SUM(G85+G96)</f>
        <v>3373585</v>
      </c>
      <c r="H97" s="103">
        <f t="shared" si="16"/>
        <v>100</v>
      </c>
      <c r="I97" s="104">
        <f t="shared" si="17"/>
        <v>-17.04</v>
      </c>
      <c r="J97" s="8"/>
      <c r="K97" s="100"/>
      <c r="L97" s="101" t="s">
        <v>84</v>
      </c>
      <c r="M97" s="102">
        <f>SUM(M85+M96)</f>
        <v>1047622</v>
      </c>
      <c r="N97" s="102">
        <f>SUM(N85+N96)</f>
        <v>976409</v>
      </c>
      <c r="O97" s="103">
        <f t="shared" si="18"/>
        <v>100</v>
      </c>
      <c r="P97" s="104">
        <f t="shared" si="19"/>
        <v>-6.79</v>
      </c>
      <c r="Q97" s="123"/>
      <c r="R97"/>
      <c r="S97" s="167"/>
      <c r="T97" s="167"/>
      <c r="U97" s="167"/>
    </row>
    <row r="98" spans="1:21" ht="13.5" customHeight="1" x14ac:dyDescent="0.2">
      <c r="A98" s="167"/>
      <c r="C98" s="122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23"/>
      <c r="R98"/>
      <c r="S98" s="167"/>
      <c r="T98" s="167"/>
      <c r="U98" s="167"/>
    </row>
    <row r="99" spans="1:21" ht="13.5" customHeight="1" x14ac:dyDescent="0.2">
      <c r="A99" s="167"/>
      <c r="C99" s="122"/>
      <c r="D99" s="117" t="s">
        <v>76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23"/>
      <c r="R99"/>
      <c r="S99" s="167"/>
      <c r="T99" s="167"/>
      <c r="U99" s="167"/>
    </row>
    <row r="100" spans="1:21" ht="13.5" customHeight="1" x14ac:dyDescent="0.2">
      <c r="A100" s="167"/>
      <c r="C100" s="122"/>
      <c r="D100" s="226" t="s">
        <v>70</v>
      </c>
      <c r="E100" s="227"/>
      <c r="F100" s="227"/>
      <c r="G100" s="227"/>
      <c r="H100" s="227"/>
      <c r="I100" s="228"/>
      <c r="J100" s="3"/>
      <c r="K100" s="226" t="s">
        <v>1</v>
      </c>
      <c r="L100" s="227"/>
      <c r="M100" s="227"/>
      <c r="N100" s="227"/>
      <c r="O100" s="227"/>
      <c r="P100" s="228"/>
      <c r="Q100" s="123"/>
      <c r="R100"/>
      <c r="S100" s="167"/>
      <c r="T100" s="167"/>
      <c r="U100" s="167"/>
    </row>
    <row r="101" spans="1:21" ht="13.5" customHeight="1" x14ac:dyDescent="0.2">
      <c r="A101" s="167"/>
      <c r="C101" s="122"/>
      <c r="D101" s="47" t="s">
        <v>67</v>
      </c>
      <c r="E101" s="46" t="s">
        <v>71</v>
      </c>
      <c r="F101" s="45">
        <f>$F$12</f>
        <v>2015</v>
      </c>
      <c r="G101" s="45">
        <f>$G$12</f>
        <v>2016</v>
      </c>
      <c r="H101" s="45" t="s">
        <v>69</v>
      </c>
      <c r="I101" s="45" t="s">
        <v>66</v>
      </c>
      <c r="J101" s="8"/>
      <c r="K101" s="47" t="s">
        <v>67</v>
      </c>
      <c r="L101" s="46" t="s">
        <v>71</v>
      </c>
      <c r="M101" s="45">
        <f>$F$12</f>
        <v>2015</v>
      </c>
      <c r="N101" s="45">
        <f>$G$12</f>
        <v>2016</v>
      </c>
      <c r="O101" s="45" t="s">
        <v>69</v>
      </c>
      <c r="P101" s="45" t="s">
        <v>66</v>
      </c>
      <c r="Q101" s="123"/>
      <c r="R101"/>
      <c r="S101" s="167"/>
      <c r="T101" s="167"/>
      <c r="U101" s="167"/>
    </row>
    <row r="102" spans="1:21" ht="13.5" customHeight="1" x14ac:dyDescent="0.2">
      <c r="A102" s="167"/>
      <c r="C102" s="122"/>
      <c r="D102" s="73"/>
      <c r="E102" s="74" t="s">
        <v>68</v>
      </c>
      <c r="F102" s="75">
        <f>SUM(F103:F112)</f>
        <v>2841778</v>
      </c>
      <c r="G102" s="75">
        <f>SUM(G103:G112)</f>
        <v>2385817</v>
      </c>
      <c r="H102" s="76">
        <f>G102*100/$G$97</f>
        <v>70.720524308710168</v>
      </c>
      <c r="I102" s="77">
        <f t="shared" ref="I102:I114" si="20">TRUNC(((G102/F102)-1)*100,2)</f>
        <v>-16.04</v>
      </c>
      <c r="J102" s="8"/>
      <c r="K102" s="73"/>
      <c r="L102" s="74" t="s">
        <v>68</v>
      </c>
      <c r="M102" s="75">
        <f>SUM(M103:M112)</f>
        <v>2661425</v>
      </c>
      <c r="N102" s="75">
        <f>SUM(N103:N112)</f>
        <v>2481852</v>
      </c>
      <c r="O102" s="76">
        <f t="shared" ref="O102:O114" si="21">N102*100/$N$114</f>
        <v>85.500821125543155</v>
      </c>
      <c r="P102" s="77">
        <f t="shared" ref="P102:P114" si="22">TRUNC(((N102/M102)-1)*100,2)</f>
        <v>-6.74</v>
      </c>
      <c r="Q102" s="123"/>
      <c r="R102"/>
      <c r="S102" s="167"/>
      <c r="T102" s="167"/>
      <c r="U102" s="167"/>
    </row>
    <row r="103" spans="1:21" ht="13.5" customHeight="1" x14ac:dyDescent="0.2">
      <c r="A103" s="167"/>
      <c r="C103" s="122"/>
      <c r="D103" s="78">
        <v>1</v>
      </c>
      <c r="E103" s="79" t="str">
        <f>Entrada_Dados!C86</f>
        <v>Paraná</v>
      </c>
      <c r="F103" s="80">
        <f>Entrada_Dados!D86</f>
        <v>726213</v>
      </c>
      <c r="G103" s="81">
        <f>Entrada_Dados!E86</f>
        <v>600108</v>
      </c>
      <c r="H103" s="82">
        <f t="shared" ref="H103:H114" si="23">G103*100/$G$114</f>
        <v>23.33538777406855</v>
      </c>
      <c r="I103" s="83">
        <f t="shared" si="20"/>
        <v>-17.36</v>
      </c>
      <c r="J103" s="8"/>
      <c r="K103" s="78">
        <v>1</v>
      </c>
      <c r="L103" s="79" t="str">
        <f>Entrada_Dados!I86</f>
        <v>Paraná</v>
      </c>
      <c r="M103" s="80">
        <f>Entrada_Dados!J86</f>
        <v>422093</v>
      </c>
      <c r="N103" s="81">
        <f>Entrada_Dados!K86</f>
        <v>393694</v>
      </c>
      <c r="O103" s="82">
        <f t="shared" si="21"/>
        <v>13.562920058166073</v>
      </c>
      <c r="P103" s="83">
        <f t="shared" si="22"/>
        <v>-6.72</v>
      </c>
      <c r="Q103" s="123"/>
      <c r="R103"/>
      <c r="S103" s="167"/>
      <c r="T103" s="167"/>
      <c r="U103" s="167"/>
    </row>
    <row r="104" spans="1:21" ht="13.5" customHeight="1" x14ac:dyDescent="0.2">
      <c r="A104" s="167"/>
      <c r="C104" s="122"/>
      <c r="D104" s="84">
        <v>2</v>
      </c>
      <c r="E104" s="85" t="str">
        <f>Entrada_Dados!C87</f>
        <v>Minas Gerais</v>
      </c>
      <c r="F104" s="86">
        <f>Entrada_Dados!D87</f>
        <v>509164</v>
      </c>
      <c r="G104" s="87">
        <f>Entrada_Dados!E87</f>
        <v>522388</v>
      </c>
      <c r="H104" s="88">
        <f t="shared" si="23"/>
        <v>20.313221201050681</v>
      </c>
      <c r="I104" s="89">
        <f t="shared" si="20"/>
        <v>2.59</v>
      </c>
      <c r="J104" s="8"/>
      <c r="K104" s="84">
        <v>2</v>
      </c>
      <c r="L104" s="85" t="str">
        <f>Entrada_Dados!I87</f>
        <v>Ceará</v>
      </c>
      <c r="M104" s="86">
        <f>Entrada_Dados!J87</f>
        <v>404701</v>
      </c>
      <c r="N104" s="87">
        <f>Entrada_Dados!K87</f>
        <v>383700</v>
      </c>
      <c r="O104" s="88">
        <f t="shared" si="21"/>
        <v>13.218622651903058</v>
      </c>
      <c r="P104" s="89">
        <f t="shared" si="22"/>
        <v>-5.18</v>
      </c>
      <c r="Q104" s="123"/>
      <c r="R104"/>
      <c r="S104" s="167"/>
      <c r="T104" s="167"/>
      <c r="U104" s="167"/>
    </row>
    <row r="105" spans="1:21" ht="13.5" customHeight="1" x14ac:dyDescent="0.2">
      <c r="A105" s="167"/>
      <c r="C105" s="122"/>
      <c r="D105" s="90">
        <v>3</v>
      </c>
      <c r="E105" s="91" t="str">
        <f>Entrada_Dados!C88</f>
        <v>Goiás</v>
      </c>
      <c r="F105" s="92">
        <f>Entrada_Dados!D88</f>
        <v>289463</v>
      </c>
      <c r="G105" s="93">
        <f>Entrada_Dados!E88</f>
        <v>345458</v>
      </c>
      <c r="H105" s="94">
        <f t="shared" si="23"/>
        <v>13.433242665743789</v>
      </c>
      <c r="I105" s="95">
        <f t="shared" si="20"/>
        <v>19.34</v>
      </c>
      <c r="J105" s="8"/>
      <c r="K105" s="90">
        <v>3</v>
      </c>
      <c r="L105" s="91" t="str">
        <f>Entrada_Dados!I88</f>
        <v>Bahia</v>
      </c>
      <c r="M105" s="92">
        <f>Entrada_Dados!J88</f>
        <v>565164</v>
      </c>
      <c r="N105" s="93">
        <f>Entrada_Dados!K88</f>
        <v>361573</v>
      </c>
      <c r="O105" s="94">
        <f t="shared" si="21"/>
        <v>12.456338410520052</v>
      </c>
      <c r="P105" s="95">
        <f t="shared" si="22"/>
        <v>-36.020000000000003</v>
      </c>
      <c r="Q105" s="123"/>
      <c r="R105"/>
      <c r="S105" s="167"/>
      <c r="T105" s="167"/>
      <c r="U105" s="167"/>
    </row>
    <row r="106" spans="1:21" ht="13.5" customHeight="1" x14ac:dyDescent="0.2">
      <c r="A106" s="167"/>
      <c r="C106" s="122"/>
      <c r="D106" s="84">
        <v>4</v>
      </c>
      <c r="E106" s="85" t="str">
        <f>Entrada_Dados!C89</f>
        <v>Mato Grosso</v>
      </c>
      <c r="F106" s="86">
        <f>Entrada_Dados!D89</f>
        <v>318881</v>
      </c>
      <c r="G106" s="87">
        <f>Entrada_Dados!E89</f>
        <v>230897</v>
      </c>
      <c r="H106" s="88">
        <f t="shared" si="23"/>
        <v>8.9785022543760551</v>
      </c>
      <c r="I106" s="89">
        <f t="shared" si="20"/>
        <v>-27.59</v>
      </c>
      <c r="J106" s="8"/>
      <c r="K106" s="84">
        <v>4</v>
      </c>
      <c r="L106" s="85" t="str">
        <f>Entrada_Dados!I89</f>
        <v>Minas Gerais</v>
      </c>
      <c r="M106" s="86">
        <f>Entrada_Dados!J89</f>
        <v>346758</v>
      </c>
      <c r="N106" s="87">
        <f>Entrada_Dados!K89</f>
        <v>339947</v>
      </c>
      <c r="O106" s="88">
        <f t="shared" si="21"/>
        <v>11.711313824984334</v>
      </c>
      <c r="P106" s="89">
        <f t="shared" si="22"/>
        <v>-1.96</v>
      </c>
      <c r="Q106" s="123"/>
      <c r="R106"/>
      <c r="S106" s="167"/>
      <c r="T106" s="167"/>
      <c r="U106" s="167"/>
    </row>
    <row r="107" spans="1:21" ht="13.5" customHeight="1" x14ac:dyDescent="0.2">
      <c r="A107" s="167"/>
      <c r="C107" s="122"/>
      <c r="D107" s="90">
        <v>5</v>
      </c>
      <c r="E107" s="91" t="str">
        <f>Entrada_Dados!C90</f>
        <v>São Paulo</v>
      </c>
      <c r="F107" s="92">
        <f>Entrada_Dados!D90</f>
        <v>235999</v>
      </c>
      <c r="G107" s="93">
        <f>Entrada_Dados!E90</f>
        <v>212877</v>
      </c>
      <c r="H107" s="94">
        <f t="shared" si="23"/>
        <v>8.2777889032980578</v>
      </c>
      <c r="I107" s="95">
        <f t="shared" si="20"/>
        <v>-9.7899999999999991</v>
      </c>
      <c r="J107" s="8"/>
      <c r="K107" s="90">
        <v>5</v>
      </c>
      <c r="L107" s="91" t="str">
        <f>Entrada_Dados!I90</f>
        <v>Mato Grosso</v>
      </c>
      <c r="M107" s="92">
        <f>Entrada_Dados!J90</f>
        <v>239841</v>
      </c>
      <c r="N107" s="93">
        <f>Entrada_Dados!K90</f>
        <v>251672</v>
      </c>
      <c r="O107" s="94">
        <f t="shared" si="21"/>
        <v>8.6702038051856825</v>
      </c>
      <c r="P107" s="95">
        <f t="shared" si="22"/>
        <v>4.93</v>
      </c>
      <c r="Q107" s="123"/>
      <c r="R107"/>
      <c r="S107" s="167"/>
      <c r="T107" s="167"/>
      <c r="U107" s="167"/>
    </row>
    <row r="108" spans="1:21" ht="13.5" customHeight="1" x14ac:dyDescent="0.2">
      <c r="A108" s="167"/>
      <c r="C108" s="122"/>
      <c r="D108" s="84">
        <v>6</v>
      </c>
      <c r="E108" s="85" t="str">
        <f>Entrada_Dados!C91</f>
        <v>Bahia</v>
      </c>
      <c r="F108" s="86">
        <f>Entrada_Dados!D91</f>
        <v>414665</v>
      </c>
      <c r="G108" s="87">
        <f>Entrada_Dados!E91</f>
        <v>171121</v>
      </c>
      <c r="H108" s="88">
        <f t="shared" si="23"/>
        <v>6.6540937486025591</v>
      </c>
      <c r="I108" s="89">
        <f t="shared" si="20"/>
        <v>-58.73</v>
      </c>
      <c r="J108" s="8"/>
      <c r="K108" s="84">
        <v>6</v>
      </c>
      <c r="L108" s="85" t="str">
        <f>Entrada_Dados!I91</f>
        <v>Piauí</v>
      </c>
      <c r="M108" s="86">
        <f>Entrada_Dados!J91</f>
        <v>211609</v>
      </c>
      <c r="N108" s="87">
        <f>Entrada_Dados!K91</f>
        <v>219687</v>
      </c>
      <c r="O108" s="88">
        <f t="shared" si="21"/>
        <v>7.5683074134183661</v>
      </c>
      <c r="P108" s="89">
        <f t="shared" si="22"/>
        <v>3.81</v>
      </c>
      <c r="Q108" s="123"/>
      <c r="R108"/>
      <c r="S108" s="167"/>
      <c r="T108" s="167"/>
      <c r="U108" s="167"/>
    </row>
    <row r="109" spans="1:21" ht="13.5" customHeight="1" x14ac:dyDescent="0.2">
      <c r="A109" s="167"/>
      <c r="C109" s="122"/>
      <c r="D109" s="90">
        <v>7</v>
      </c>
      <c r="E109" s="91" t="str">
        <f>Entrada_Dados!C92</f>
        <v>Santa Catarina</v>
      </c>
      <c r="F109" s="92">
        <f>Entrada_Dados!D92</f>
        <v>138776</v>
      </c>
      <c r="G109" s="93">
        <f>Entrada_Dados!E92</f>
        <v>123623</v>
      </c>
      <c r="H109" s="94">
        <f t="shared" si="23"/>
        <v>4.8071191232139485</v>
      </c>
      <c r="I109" s="95">
        <f t="shared" si="20"/>
        <v>-10.91</v>
      </c>
      <c r="J109" s="8"/>
      <c r="K109" s="90">
        <v>7</v>
      </c>
      <c r="L109" s="91" t="str">
        <f>Entrada_Dados!I92</f>
        <v>Pernambuco</v>
      </c>
      <c r="M109" s="92">
        <f>Entrada_Dados!J92</f>
        <v>189123</v>
      </c>
      <c r="N109" s="93">
        <f>Entrada_Dados!K92</f>
        <v>209676</v>
      </c>
      <c r="O109" s="94">
        <f t="shared" si="21"/>
        <v>7.2234243501705127</v>
      </c>
      <c r="P109" s="95">
        <f t="shared" si="22"/>
        <v>10.86</v>
      </c>
      <c r="Q109" s="123"/>
      <c r="R109"/>
      <c r="S109" s="167"/>
      <c r="T109" s="167"/>
      <c r="U109" s="167"/>
    </row>
    <row r="110" spans="1:21" ht="13.5" customHeight="1" x14ac:dyDescent="0.2">
      <c r="A110" s="167"/>
      <c r="C110" s="122"/>
      <c r="D110" s="84">
        <v>8</v>
      </c>
      <c r="E110" s="85" t="str">
        <f>Entrada_Dados!C93</f>
        <v>Rio Grande do Sul</v>
      </c>
      <c r="F110" s="86">
        <f>Entrada_Dados!D93</f>
        <v>95349</v>
      </c>
      <c r="G110" s="87">
        <f>Entrada_Dados!E93</f>
        <v>87731</v>
      </c>
      <c r="H110" s="88">
        <f t="shared" si="23"/>
        <v>3.4114474474708021</v>
      </c>
      <c r="I110" s="89">
        <f t="shared" si="20"/>
        <v>-7.98</v>
      </c>
      <c r="J110" s="8"/>
      <c r="K110" s="84">
        <v>8</v>
      </c>
      <c r="L110" s="85" t="str">
        <f>Entrada_Dados!I93</f>
        <v>Goiás</v>
      </c>
      <c r="M110" s="86">
        <f>Entrada_Dados!J93</f>
        <v>123052</v>
      </c>
      <c r="N110" s="87">
        <f>Entrada_Dados!K93</f>
        <v>149439</v>
      </c>
      <c r="O110" s="88">
        <f t="shared" si="21"/>
        <v>5.1482349504241363</v>
      </c>
      <c r="P110" s="89">
        <f t="shared" si="22"/>
        <v>21.44</v>
      </c>
      <c r="Q110" s="123"/>
      <c r="R110"/>
      <c r="S110" s="167"/>
      <c r="T110" s="167"/>
      <c r="U110" s="167"/>
    </row>
    <row r="111" spans="1:21" ht="13.5" customHeight="1" x14ac:dyDescent="0.2">
      <c r="A111" s="167"/>
      <c r="C111" s="122"/>
      <c r="D111" s="90">
        <v>9</v>
      </c>
      <c r="E111" s="91" t="str">
        <f>Entrada_Dados!C94</f>
        <v>Ceará</v>
      </c>
      <c r="F111" s="92">
        <f>Entrada_Dados!D94</f>
        <v>67350</v>
      </c>
      <c r="G111" s="93">
        <f>Entrada_Dados!E94</f>
        <v>56680</v>
      </c>
      <c r="H111" s="94">
        <f t="shared" si="23"/>
        <v>2.2040195748668663</v>
      </c>
      <c r="I111" s="95">
        <f t="shared" si="20"/>
        <v>-15.84</v>
      </c>
      <c r="J111" s="8"/>
      <c r="K111" s="90">
        <v>9</v>
      </c>
      <c r="L111" s="91" t="str">
        <f>Entrada_Dados!I94</f>
        <v>São Paulo</v>
      </c>
      <c r="M111" s="92">
        <f>Entrada_Dados!J94</f>
        <v>94734</v>
      </c>
      <c r="N111" s="93">
        <f>Entrada_Dados!K94</f>
        <v>90968</v>
      </c>
      <c r="O111" s="94">
        <f t="shared" si="21"/>
        <v>3.1338849762791696</v>
      </c>
      <c r="P111" s="95">
        <f t="shared" si="22"/>
        <v>-3.97</v>
      </c>
      <c r="Q111" s="123"/>
      <c r="R111"/>
      <c r="S111" s="167"/>
      <c r="T111" s="167"/>
      <c r="U111" s="167"/>
    </row>
    <row r="112" spans="1:21" ht="13.5" customHeight="1" x14ac:dyDescent="0.2">
      <c r="A112" s="167"/>
      <c r="C112" s="122"/>
      <c r="D112" s="84">
        <v>10</v>
      </c>
      <c r="E112" s="85" t="str">
        <f>Entrada_Dados!C95</f>
        <v>Maranhão</v>
      </c>
      <c r="F112" s="86">
        <f>Entrada_Dados!D95</f>
        <v>45918</v>
      </c>
      <c r="G112" s="87">
        <f>Entrada_Dados!E95</f>
        <v>34934</v>
      </c>
      <c r="H112" s="88">
        <f t="shared" si="23"/>
        <v>1.358419545314028</v>
      </c>
      <c r="I112" s="89">
        <f t="shared" si="20"/>
        <v>-23.92</v>
      </c>
      <c r="J112" s="8"/>
      <c r="K112" s="84">
        <v>10</v>
      </c>
      <c r="L112" s="85" t="str">
        <f>Entrada_Dados!I95</f>
        <v>Paraíba</v>
      </c>
      <c r="M112" s="86">
        <f>Entrada_Dados!J95</f>
        <v>64350</v>
      </c>
      <c r="N112" s="87">
        <f>Entrada_Dados!K95</f>
        <v>81496</v>
      </c>
      <c r="O112" s="88">
        <f t="shared" si="21"/>
        <v>2.8075706844917687</v>
      </c>
      <c r="P112" s="89">
        <f t="shared" si="22"/>
        <v>26.64</v>
      </c>
      <c r="Q112" s="123"/>
      <c r="R112"/>
      <c r="S112" s="167"/>
      <c r="T112" s="167"/>
      <c r="U112" s="167"/>
    </row>
    <row r="113" spans="1:21" ht="13.5" customHeight="1" x14ac:dyDescent="0.2">
      <c r="A113" s="167"/>
      <c r="C113" s="122"/>
      <c r="D113" s="96"/>
      <c r="E113" s="96" t="str">
        <f>CONCATENATE("Demais UF - ",Entrada_Dados!F84-10)</f>
        <v>Demais UF - 17</v>
      </c>
      <c r="F113" s="97">
        <f>Entrada_Dados!D113-F102</f>
        <v>248236</v>
      </c>
      <c r="G113" s="97">
        <f>Entrada_Dados!E113-G102</f>
        <v>185848</v>
      </c>
      <c r="H113" s="98">
        <f t="shared" si="23"/>
        <v>7.2267577619946612</v>
      </c>
      <c r="I113" s="99">
        <f t="shared" si="20"/>
        <v>-25.13</v>
      </c>
      <c r="J113" s="8"/>
      <c r="K113" s="96"/>
      <c r="L113" s="96" t="str">
        <f>CONCATENATE("Demais UF - ",Entrada_Dados!L84-10)</f>
        <v>Demais UF - 17</v>
      </c>
      <c r="M113" s="97">
        <f>Entrada_Dados!J113-M102</f>
        <v>468611</v>
      </c>
      <c r="N113" s="97">
        <f>Entrada_Dados!K113-N102</f>
        <v>420871</v>
      </c>
      <c r="O113" s="98">
        <f t="shared" si="21"/>
        <v>14.499178874456847</v>
      </c>
      <c r="P113" s="99">
        <f t="shared" si="22"/>
        <v>-10.18</v>
      </c>
      <c r="Q113" s="123"/>
      <c r="R113"/>
      <c r="S113" s="167"/>
      <c r="T113" s="167"/>
      <c r="U113" s="167"/>
    </row>
    <row r="114" spans="1:21" ht="13.5" customHeight="1" x14ac:dyDescent="0.2">
      <c r="A114" s="167"/>
      <c r="C114" s="122"/>
      <c r="D114" s="100"/>
      <c r="E114" s="101" t="s">
        <v>84</v>
      </c>
      <c r="F114" s="102">
        <f>SUM(F102+F113)</f>
        <v>3090014</v>
      </c>
      <c r="G114" s="102">
        <f>SUM(G102+G113)</f>
        <v>2571665</v>
      </c>
      <c r="H114" s="103">
        <f t="shared" si="23"/>
        <v>100</v>
      </c>
      <c r="I114" s="104">
        <f t="shared" si="20"/>
        <v>-16.77</v>
      </c>
      <c r="J114" s="8"/>
      <c r="K114" s="100"/>
      <c r="L114" s="101" t="s">
        <v>84</v>
      </c>
      <c r="M114" s="102">
        <f>SUM(M102+M113)</f>
        <v>3130036</v>
      </c>
      <c r="N114" s="102">
        <f>SUM(N102+N113)</f>
        <v>2902723</v>
      </c>
      <c r="O114" s="103">
        <f t="shared" si="21"/>
        <v>100</v>
      </c>
      <c r="P114" s="104">
        <f t="shared" si="22"/>
        <v>-7.26</v>
      </c>
      <c r="Q114" s="123"/>
      <c r="R114"/>
      <c r="S114" s="167"/>
      <c r="T114" s="167"/>
      <c r="U114" s="167"/>
    </row>
    <row r="115" spans="1:21" ht="13.5" customHeight="1" x14ac:dyDescent="0.2">
      <c r="A115" s="167"/>
      <c r="C115" s="122"/>
      <c r="D115" s="1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23"/>
      <c r="R115"/>
      <c r="S115" s="167"/>
      <c r="T115" s="167"/>
      <c r="U115" s="167"/>
    </row>
    <row r="116" spans="1:21" ht="13.5" customHeight="1" x14ac:dyDescent="0.2">
      <c r="A116" s="167"/>
      <c r="C116" s="122"/>
      <c r="D116" s="224" t="str">
        <f>CONCATENATE("Fonte: IBGE/LSPA - Previsão de safra ",Entrada_Dados!D5," / ",Entrada_Dados!E5,". Adaptado pela SED/SupexAgricultura/CEMEAS")</f>
        <v>Fonte: IBGE/LSPA - Previsão de safra 2016 / dezembro. Adaptado pela SED/SupexAgricultura/CEMEAS</v>
      </c>
      <c r="E116" s="225"/>
      <c r="F116" s="225"/>
      <c r="G116" s="225"/>
      <c r="H116" s="225"/>
      <c r="I116" s="225"/>
      <c r="J116" s="225"/>
      <c r="K116" s="225"/>
      <c r="L116" s="225"/>
      <c r="M116" s="225"/>
      <c r="N116" s="225"/>
      <c r="O116" s="225"/>
      <c r="P116" s="225"/>
      <c r="Q116" s="123"/>
      <c r="R116"/>
      <c r="S116" s="167"/>
      <c r="T116" s="167"/>
      <c r="U116" s="167"/>
    </row>
    <row r="117" spans="1:21" ht="9.75" customHeight="1" thickBot="1" x14ac:dyDescent="0.25">
      <c r="A117" s="167"/>
      <c r="C117" s="124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126"/>
      <c r="R117"/>
      <c r="S117" s="167"/>
      <c r="T117" s="167"/>
      <c r="U117" s="167"/>
    </row>
    <row r="118" spans="1:21" ht="13.5" customHeight="1" thickTop="1" x14ac:dyDescent="0.2">
      <c r="A118" s="167"/>
      <c r="R118"/>
      <c r="S118" s="167"/>
      <c r="T118" s="167"/>
      <c r="U118" s="167"/>
    </row>
    <row r="119" spans="1:21" ht="13.5" hidden="1" customHeight="1" x14ac:dyDescent="0.2">
      <c r="R119"/>
      <c r="S119"/>
      <c r="T119"/>
      <c r="U119"/>
    </row>
    <row r="120" spans="1:21" ht="13.5" hidden="1" customHeight="1" x14ac:dyDescent="0.2">
      <c r="R120"/>
      <c r="S120"/>
      <c r="T120"/>
      <c r="U120"/>
    </row>
    <row r="121" spans="1:21" ht="13.5" hidden="1" customHeight="1" x14ac:dyDescent="0.2">
      <c r="G121" s="36"/>
      <c r="M121" s="36"/>
      <c r="R121"/>
      <c r="S121"/>
      <c r="T121"/>
      <c r="U121"/>
    </row>
    <row r="122" spans="1:21" ht="13.5" hidden="1" customHeight="1" x14ac:dyDescent="0.2">
      <c r="F122" s="36"/>
      <c r="G122" s="36"/>
      <c r="N122" s="36"/>
      <c r="R122"/>
      <c r="S122"/>
      <c r="T122"/>
      <c r="U122"/>
    </row>
    <row r="123" spans="1:21" ht="13.5" hidden="1" customHeight="1" x14ac:dyDescent="0.2">
      <c r="R123"/>
      <c r="S123"/>
      <c r="T123"/>
      <c r="U123"/>
    </row>
    <row r="124" spans="1:21" ht="13.5" hidden="1" customHeight="1" x14ac:dyDescent="0.2">
      <c r="R124"/>
      <c r="S124"/>
      <c r="T124"/>
      <c r="U124"/>
    </row>
    <row r="125" spans="1:21" ht="13.5" hidden="1" customHeight="1" x14ac:dyDescent="0.2">
      <c r="R125"/>
      <c r="S125"/>
      <c r="T125"/>
      <c r="U125"/>
    </row>
    <row r="126" spans="1:21" ht="13.5" hidden="1" customHeight="1" x14ac:dyDescent="0.2">
      <c r="R126"/>
      <c r="S126"/>
      <c r="T126"/>
      <c r="U126"/>
    </row>
    <row r="127" spans="1:21" ht="13.5" hidden="1" customHeight="1" x14ac:dyDescent="0.2">
      <c r="R127"/>
      <c r="S127"/>
      <c r="T127"/>
      <c r="U127"/>
    </row>
    <row r="128" spans="1:21" ht="13.5" hidden="1" customHeight="1" x14ac:dyDescent="0.2">
      <c r="R128"/>
      <c r="S128"/>
      <c r="T128"/>
      <c r="U128"/>
    </row>
    <row r="129" spans="18:21" ht="13.5" hidden="1" customHeight="1" x14ac:dyDescent="0.2">
      <c r="R129"/>
      <c r="S129"/>
      <c r="T129"/>
      <c r="U129"/>
    </row>
    <row r="130" spans="18:21" ht="13.5" hidden="1" customHeight="1" x14ac:dyDescent="0.2">
      <c r="R130"/>
      <c r="S130"/>
      <c r="T130"/>
      <c r="U130"/>
    </row>
    <row r="131" spans="18:21" ht="13.5" hidden="1" customHeight="1" x14ac:dyDescent="0.2">
      <c r="R131"/>
      <c r="S131"/>
      <c r="T131"/>
      <c r="U131"/>
    </row>
    <row r="132" spans="18:21" ht="13.5" hidden="1" customHeight="1" x14ac:dyDescent="0.2">
      <c r="R132"/>
      <c r="S132"/>
      <c r="T132"/>
      <c r="U132"/>
    </row>
    <row r="133" spans="18:21" ht="13.5" hidden="1" customHeight="1" x14ac:dyDescent="0.2">
      <c r="R133"/>
      <c r="S133"/>
      <c r="T133"/>
      <c r="U133"/>
    </row>
    <row r="134" spans="18:21" ht="13.5" hidden="1" customHeight="1" x14ac:dyDescent="0.2">
      <c r="R134"/>
      <c r="S134"/>
      <c r="T134"/>
      <c r="U134"/>
    </row>
    <row r="135" spans="18:21" ht="13.5" hidden="1" customHeight="1" x14ac:dyDescent="0.2">
      <c r="R135"/>
      <c r="S135"/>
      <c r="T135"/>
      <c r="U135"/>
    </row>
    <row r="136" spans="18:21" ht="13.5" hidden="1" customHeight="1" x14ac:dyDescent="0.2">
      <c r="R136"/>
      <c r="S136"/>
      <c r="T136"/>
      <c r="U136"/>
    </row>
    <row r="137" spans="18:21" ht="13.5" hidden="1" customHeight="1" x14ac:dyDescent="0.2">
      <c r="R137"/>
      <c r="S137"/>
      <c r="T137"/>
      <c r="U137"/>
    </row>
    <row r="138" spans="18:21" ht="13.5" hidden="1" customHeight="1" x14ac:dyDescent="0.2">
      <c r="R138"/>
      <c r="S138"/>
      <c r="T138"/>
      <c r="U138"/>
    </row>
    <row r="139" spans="18:21" ht="13.5" hidden="1" customHeight="1" x14ac:dyDescent="0.2">
      <c r="R139"/>
      <c r="S139"/>
      <c r="T139"/>
      <c r="U139"/>
    </row>
    <row r="140" spans="18:21" ht="13.5" hidden="1" customHeight="1" x14ac:dyDescent="0.2">
      <c r="R140"/>
      <c r="S140"/>
      <c r="T140"/>
      <c r="U140"/>
    </row>
    <row r="141" spans="18:21" ht="13.5" hidden="1" customHeight="1" x14ac:dyDescent="0.2">
      <c r="R141"/>
      <c r="S141"/>
      <c r="T141"/>
      <c r="U141"/>
    </row>
    <row r="142" spans="18:21" ht="13.5" hidden="1" customHeight="1" x14ac:dyDescent="0.2">
      <c r="R142"/>
      <c r="S142"/>
      <c r="T142"/>
      <c r="U142"/>
    </row>
    <row r="143" spans="18:21" ht="13.5" hidden="1" customHeight="1" x14ac:dyDescent="0.2">
      <c r="R143"/>
      <c r="S143"/>
      <c r="T143"/>
      <c r="U143"/>
    </row>
    <row r="144" spans="18:21" ht="13.5" hidden="1" customHeight="1" x14ac:dyDescent="0.2">
      <c r="R144"/>
      <c r="S144"/>
      <c r="T144"/>
      <c r="U144"/>
    </row>
    <row r="145" spans="18:21" ht="13.5" hidden="1" customHeight="1" x14ac:dyDescent="0.2">
      <c r="R145"/>
      <c r="S145"/>
      <c r="T145"/>
      <c r="U145"/>
    </row>
    <row r="146" spans="18:21" ht="13.5" hidden="1" customHeight="1" x14ac:dyDescent="0.2">
      <c r="R146"/>
      <c r="S146"/>
      <c r="T146"/>
      <c r="U146"/>
    </row>
    <row r="147" spans="18:21" ht="13.5" hidden="1" customHeight="1" x14ac:dyDescent="0.2">
      <c r="R147"/>
      <c r="S147"/>
      <c r="T147"/>
      <c r="U147"/>
    </row>
    <row r="148" spans="18:21" ht="13.5" hidden="1" customHeight="1" x14ac:dyDescent="0.2">
      <c r="R148"/>
      <c r="S148"/>
      <c r="T148"/>
      <c r="U148"/>
    </row>
    <row r="149" spans="18:21" ht="13.5" hidden="1" customHeight="1" x14ac:dyDescent="0.2">
      <c r="R149"/>
      <c r="S149"/>
      <c r="T149"/>
      <c r="U149"/>
    </row>
    <row r="150" spans="18:21" ht="13.5" hidden="1" customHeight="1" x14ac:dyDescent="0.2">
      <c r="R150"/>
      <c r="S150"/>
      <c r="T150"/>
      <c r="U150"/>
    </row>
    <row r="151" spans="18:21" ht="13.5" hidden="1" customHeight="1" x14ac:dyDescent="0.2">
      <c r="R151"/>
      <c r="S151"/>
      <c r="T151"/>
      <c r="U151"/>
    </row>
    <row r="152" spans="18:21" ht="13.5" hidden="1" customHeight="1" x14ac:dyDescent="0.2">
      <c r="R152"/>
      <c r="S152"/>
      <c r="T152"/>
      <c r="U152"/>
    </row>
    <row r="153" spans="18:21" ht="13.5" hidden="1" customHeight="1" x14ac:dyDescent="0.2">
      <c r="R153"/>
      <c r="S153"/>
      <c r="T153"/>
      <c r="U153"/>
    </row>
    <row r="154" spans="18:21" ht="13.5" hidden="1" customHeight="1" x14ac:dyDescent="0.2">
      <c r="R154"/>
      <c r="S154"/>
      <c r="T154"/>
      <c r="U154"/>
    </row>
    <row r="155" spans="18:21" ht="13.5" hidden="1" customHeight="1" x14ac:dyDescent="0.2">
      <c r="R155"/>
      <c r="S155"/>
      <c r="T155"/>
      <c r="U155"/>
    </row>
    <row r="156" spans="18:21" ht="13.5" hidden="1" customHeight="1" x14ac:dyDescent="0.2">
      <c r="R156"/>
      <c r="S156"/>
      <c r="T156"/>
      <c r="U156"/>
    </row>
    <row r="157" spans="18:21" ht="13.5" hidden="1" customHeight="1" x14ac:dyDescent="0.2">
      <c r="R157"/>
      <c r="S157"/>
      <c r="T157"/>
      <c r="U157"/>
    </row>
    <row r="158" spans="18:21" ht="13.5" hidden="1" customHeight="1" x14ac:dyDescent="0.2">
      <c r="R158"/>
      <c r="S158"/>
      <c r="T158"/>
      <c r="U158"/>
    </row>
    <row r="159" spans="18:21" ht="13.5" hidden="1" customHeight="1" x14ac:dyDescent="0.2">
      <c r="R159"/>
      <c r="S159"/>
      <c r="T159"/>
      <c r="U159"/>
    </row>
    <row r="160" spans="18:21" ht="13.5" hidden="1" customHeight="1" x14ac:dyDescent="0.2">
      <c r="R160"/>
      <c r="S160"/>
      <c r="T160"/>
      <c r="U160"/>
    </row>
    <row r="161" spans="18:21" ht="13.5" hidden="1" customHeight="1" x14ac:dyDescent="0.2">
      <c r="R161"/>
      <c r="S161"/>
      <c r="T161"/>
      <c r="U161"/>
    </row>
    <row r="162" spans="18:21" ht="13.5" hidden="1" customHeight="1" x14ac:dyDescent="0.2">
      <c r="R162"/>
      <c r="S162"/>
      <c r="T162"/>
      <c r="U162"/>
    </row>
    <row r="163" spans="18:21" ht="13.5" hidden="1" customHeight="1" x14ac:dyDescent="0.2">
      <c r="R163"/>
      <c r="S163"/>
      <c r="T163"/>
      <c r="U163"/>
    </row>
    <row r="164" spans="18:21" ht="13.5" hidden="1" customHeight="1" x14ac:dyDescent="0.2">
      <c r="R164"/>
      <c r="S164"/>
      <c r="T164"/>
      <c r="U164"/>
    </row>
    <row r="165" spans="18:21" ht="13.5" hidden="1" customHeight="1" x14ac:dyDescent="0.2">
      <c r="R165"/>
      <c r="S165"/>
      <c r="T165"/>
      <c r="U165"/>
    </row>
    <row r="166" spans="18:21" ht="13.5" hidden="1" customHeight="1" x14ac:dyDescent="0.2">
      <c r="R166"/>
      <c r="S166"/>
      <c r="T166"/>
      <c r="U166"/>
    </row>
    <row r="167" spans="18:21" ht="13.5" hidden="1" customHeight="1" x14ac:dyDescent="0.2">
      <c r="R167"/>
      <c r="S167"/>
      <c r="T167"/>
      <c r="U167"/>
    </row>
    <row r="168" spans="18:21" ht="13.5" hidden="1" customHeight="1" x14ac:dyDescent="0.2">
      <c r="R168"/>
      <c r="S168"/>
      <c r="T168"/>
      <c r="U168"/>
    </row>
    <row r="169" spans="18:21" ht="13.5" hidden="1" customHeight="1" x14ac:dyDescent="0.2">
      <c r="R169"/>
      <c r="S169"/>
      <c r="T169"/>
      <c r="U169"/>
    </row>
    <row r="170" spans="18:21" ht="13.5" hidden="1" customHeight="1" x14ac:dyDescent="0.2">
      <c r="R170"/>
      <c r="S170"/>
      <c r="T170"/>
      <c r="U170"/>
    </row>
    <row r="171" spans="18:21" ht="13.5" hidden="1" customHeight="1" x14ac:dyDescent="0.2">
      <c r="R171"/>
      <c r="S171"/>
      <c r="T171"/>
      <c r="U171"/>
    </row>
    <row r="172" spans="18:21" ht="13.5" hidden="1" customHeight="1" x14ac:dyDescent="0.2">
      <c r="R172"/>
      <c r="S172"/>
      <c r="T172"/>
      <c r="U172"/>
    </row>
    <row r="173" spans="18:21" ht="13.5" hidden="1" customHeight="1" x14ac:dyDescent="0.2">
      <c r="R173"/>
      <c r="S173"/>
      <c r="T173"/>
      <c r="U173"/>
    </row>
    <row r="174" spans="18:21" ht="13.5" hidden="1" customHeight="1" x14ac:dyDescent="0.2">
      <c r="R174"/>
      <c r="S174"/>
      <c r="T174"/>
      <c r="U174"/>
    </row>
    <row r="175" spans="18:21" ht="13.5" hidden="1" customHeight="1" x14ac:dyDescent="0.2">
      <c r="R175"/>
      <c r="S175"/>
      <c r="T175"/>
      <c r="U175"/>
    </row>
    <row r="176" spans="18:21" ht="13.5" hidden="1" customHeight="1" x14ac:dyDescent="0.2">
      <c r="R176"/>
      <c r="S176"/>
      <c r="T176"/>
      <c r="U176"/>
    </row>
    <row r="177" spans="18:21" ht="13.5" hidden="1" customHeight="1" x14ac:dyDescent="0.2">
      <c r="R177"/>
      <c r="S177"/>
      <c r="T177"/>
      <c r="U177"/>
    </row>
    <row r="178" spans="18:21" ht="13.5" hidden="1" customHeight="1" x14ac:dyDescent="0.2">
      <c r="R178"/>
      <c r="S178"/>
      <c r="T178"/>
      <c r="U178"/>
    </row>
    <row r="179" spans="18:21" ht="13.5" hidden="1" customHeight="1" x14ac:dyDescent="0.2">
      <c r="R179"/>
      <c r="S179"/>
      <c r="T179"/>
      <c r="U179"/>
    </row>
    <row r="180" spans="18:21" ht="13.5" hidden="1" customHeight="1" x14ac:dyDescent="0.2">
      <c r="R180"/>
      <c r="S180"/>
      <c r="T180"/>
      <c r="U180"/>
    </row>
    <row r="181" spans="18:21" ht="13.5" hidden="1" customHeight="1" x14ac:dyDescent="0.2">
      <c r="R181"/>
      <c r="S181"/>
      <c r="T181"/>
      <c r="U181"/>
    </row>
    <row r="182" spans="18:21" ht="13.5" hidden="1" customHeight="1" x14ac:dyDescent="0.2">
      <c r="R182"/>
      <c r="S182"/>
      <c r="T182"/>
      <c r="U182"/>
    </row>
    <row r="183" spans="18:21" ht="13.5" hidden="1" customHeight="1" x14ac:dyDescent="0.2">
      <c r="R183"/>
      <c r="S183"/>
      <c r="T183"/>
      <c r="U183"/>
    </row>
    <row r="184" spans="18:21" ht="13.5" hidden="1" customHeight="1" x14ac:dyDescent="0.2">
      <c r="R184"/>
      <c r="S184"/>
      <c r="T184"/>
      <c r="U184"/>
    </row>
    <row r="185" spans="18:21" ht="13.5" hidden="1" customHeight="1" x14ac:dyDescent="0.2">
      <c r="R185"/>
      <c r="S185"/>
      <c r="T185"/>
      <c r="U185"/>
    </row>
    <row r="186" spans="18:21" ht="13.5" hidden="1" customHeight="1" x14ac:dyDescent="0.2">
      <c r="R186"/>
      <c r="S186"/>
      <c r="T186"/>
      <c r="U186"/>
    </row>
    <row r="187" spans="18:21" ht="13.5" hidden="1" customHeight="1" x14ac:dyDescent="0.2">
      <c r="R187"/>
      <c r="S187"/>
      <c r="T187"/>
      <c r="U187"/>
    </row>
    <row r="188" spans="18:21" ht="13.5" hidden="1" customHeight="1" x14ac:dyDescent="0.2">
      <c r="R188"/>
      <c r="S188"/>
      <c r="T188"/>
      <c r="U188"/>
    </row>
    <row r="189" spans="18:21" ht="13.5" hidden="1" customHeight="1" x14ac:dyDescent="0.2">
      <c r="R189"/>
      <c r="S189"/>
      <c r="T189"/>
      <c r="U189"/>
    </row>
    <row r="190" spans="18:21" ht="13.5" hidden="1" customHeight="1" x14ac:dyDescent="0.2">
      <c r="R190"/>
      <c r="S190"/>
      <c r="T190"/>
      <c r="U190"/>
    </row>
    <row r="191" spans="18:21" ht="13.5" hidden="1" customHeight="1" x14ac:dyDescent="0.2">
      <c r="R191"/>
      <c r="S191"/>
      <c r="T191"/>
      <c r="U191"/>
    </row>
    <row r="192" spans="18:21" ht="13.5" hidden="1" customHeight="1" x14ac:dyDescent="0.2">
      <c r="R192"/>
      <c r="S192"/>
      <c r="T192"/>
      <c r="U192"/>
    </row>
    <row r="193" spans="18:21" ht="13.5" hidden="1" customHeight="1" x14ac:dyDescent="0.2">
      <c r="R193"/>
      <c r="S193"/>
      <c r="T193"/>
      <c r="U193"/>
    </row>
    <row r="194" spans="18:21" ht="13.5" hidden="1" customHeight="1" x14ac:dyDescent="0.2">
      <c r="R194"/>
      <c r="S194"/>
      <c r="T194"/>
      <c r="U194"/>
    </row>
    <row r="195" spans="18:21" ht="13.5" hidden="1" customHeight="1" x14ac:dyDescent="0.2">
      <c r="R195"/>
      <c r="S195"/>
      <c r="T195"/>
      <c r="U195"/>
    </row>
    <row r="196" spans="18:21" ht="13.5" hidden="1" customHeight="1" x14ac:dyDescent="0.2">
      <c r="R196"/>
      <c r="S196"/>
      <c r="T196"/>
      <c r="U196"/>
    </row>
    <row r="197" spans="18:21" ht="13.5" hidden="1" customHeight="1" x14ac:dyDescent="0.2">
      <c r="R197"/>
      <c r="S197"/>
      <c r="T197"/>
      <c r="U197"/>
    </row>
    <row r="198" spans="18:21" ht="13.5" hidden="1" customHeight="1" x14ac:dyDescent="0.2">
      <c r="R198"/>
      <c r="S198"/>
      <c r="T198"/>
      <c r="U198"/>
    </row>
    <row r="199" spans="18:21" ht="13.5" hidden="1" customHeight="1" x14ac:dyDescent="0.2">
      <c r="R199"/>
      <c r="S199"/>
      <c r="T199"/>
      <c r="U199"/>
    </row>
    <row r="200" spans="18:21" ht="13.5" hidden="1" customHeight="1" x14ac:dyDescent="0.2">
      <c r="R200"/>
      <c r="S200"/>
      <c r="T200"/>
      <c r="U200"/>
    </row>
    <row r="201" spans="18:21" ht="13.5" hidden="1" customHeight="1" x14ac:dyDescent="0.2">
      <c r="R201"/>
      <c r="S201"/>
      <c r="T201"/>
      <c r="U201"/>
    </row>
    <row r="202" spans="18:21" ht="13.5" hidden="1" customHeight="1" x14ac:dyDescent="0.2">
      <c r="R202"/>
      <c r="S202"/>
      <c r="T202"/>
      <c r="U202"/>
    </row>
    <row r="203" spans="18:21" ht="13.5" hidden="1" customHeight="1" x14ac:dyDescent="0.2">
      <c r="R203"/>
      <c r="S203"/>
      <c r="T203"/>
      <c r="U203"/>
    </row>
    <row r="204" spans="18:21" ht="13.5" hidden="1" customHeight="1" x14ac:dyDescent="0.2">
      <c r="R204"/>
      <c r="S204"/>
      <c r="T204"/>
      <c r="U204"/>
    </row>
    <row r="205" spans="18:21" ht="13.5" hidden="1" customHeight="1" x14ac:dyDescent="0.2">
      <c r="R205"/>
      <c r="S205"/>
      <c r="T205"/>
      <c r="U205"/>
    </row>
    <row r="206" spans="18:21" ht="13.5" hidden="1" customHeight="1" x14ac:dyDescent="0.2">
      <c r="R206"/>
      <c r="S206"/>
      <c r="T206"/>
      <c r="U206"/>
    </row>
    <row r="207" spans="18:21" ht="13.5" hidden="1" customHeight="1" x14ac:dyDescent="0.2">
      <c r="R207"/>
      <c r="S207"/>
      <c r="T207"/>
      <c r="U207"/>
    </row>
    <row r="208" spans="18:21" ht="13.5" hidden="1" customHeight="1" x14ac:dyDescent="0.2">
      <c r="R208"/>
      <c r="S208"/>
      <c r="T208"/>
      <c r="U208"/>
    </row>
    <row r="209" spans="18:21" ht="13.5" hidden="1" customHeight="1" x14ac:dyDescent="0.2">
      <c r="R209"/>
      <c r="S209"/>
      <c r="T209"/>
      <c r="U209"/>
    </row>
    <row r="210" spans="18:21" ht="13.5" hidden="1" customHeight="1" x14ac:dyDescent="0.2">
      <c r="R210"/>
      <c r="S210"/>
      <c r="T210"/>
      <c r="U210"/>
    </row>
    <row r="211" spans="18:21" ht="13.5" hidden="1" customHeight="1" x14ac:dyDescent="0.2">
      <c r="R211"/>
      <c r="S211"/>
      <c r="T211"/>
      <c r="U211"/>
    </row>
    <row r="212" spans="18:21" ht="13.5" hidden="1" customHeight="1" x14ac:dyDescent="0.2">
      <c r="R212"/>
      <c r="S212"/>
      <c r="T212"/>
      <c r="U212"/>
    </row>
    <row r="213" spans="18:21" ht="13.5" hidden="1" customHeight="1" x14ac:dyDescent="0.2">
      <c r="R213"/>
      <c r="S213"/>
      <c r="T213"/>
      <c r="U213"/>
    </row>
    <row r="214" spans="18:21" ht="13.5" hidden="1" customHeight="1" x14ac:dyDescent="0.2">
      <c r="R214"/>
      <c r="S214"/>
      <c r="T214"/>
      <c r="U214"/>
    </row>
    <row r="215" spans="18:21" ht="13.5" hidden="1" customHeight="1" x14ac:dyDescent="0.2">
      <c r="R215"/>
      <c r="S215"/>
      <c r="T215"/>
      <c r="U215"/>
    </row>
    <row r="216" spans="18:21" ht="13.5" hidden="1" customHeight="1" x14ac:dyDescent="0.2">
      <c r="R216"/>
      <c r="S216"/>
      <c r="T216"/>
      <c r="U216"/>
    </row>
    <row r="217" spans="18:21" ht="13.5" hidden="1" customHeight="1" x14ac:dyDescent="0.2">
      <c r="R217"/>
      <c r="S217"/>
      <c r="T217"/>
      <c r="U217"/>
    </row>
    <row r="218" spans="18:21" ht="13.5" hidden="1" customHeight="1" x14ac:dyDescent="0.2">
      <c r="R218"/>
      <c r="S218"/>
      <c r="T218"/>
      <c r="U218"/>
    </row>
    <row r="219" spans="18:21" ht="13.5" hidden="1" customHeight="1" x14ac:dyDescent="0.2">
      <c r="R219"/>
      <c r="S219"/>
      <c r="T219"/>
      <c r="U219"/>
    </row>
    <row r="220" spans="18:21" ht="13.5" hidden="1" customHeight="1" x14ac:dyDescent="0.2">
      <c r="R220"/>
      <c r="S220"/>
      <c r="T220"/>
      <c r="U220"/>
    </row>
    <row r="221" spans="18:21" ht="13.5" hidden="1" customHeight="1" x14ac:dyDescent="0.2">
      <c r="R221"/>
      <c r="S221"/>
      <c r="T221"/>
      <c r="U221"/>
    </row>
    <row r="222" spans="18:21" ht="13.5" hidden="1" customHeight="1" x14ac:dyDescent="0.2">
      <c r="R222"/>
      <c r="S222"/>
      <c r="T222"/>
      <c r="U222"/>
    </row>
    <row r="223" spans="18:21" ht="13.5" hidden="1" customHeight="1" x14ac:dyDescent="0.2">
      <c r="R223"/>
      <c r="S223"/>
      <c r="T223"/>
      <c r="U223"/>
    </row>
    <row r="224" spans="18:21" ht="13.5" hidden="1" customHeight="1" x14ac:dyDescent="0.2">
      <c r="R224"/>
      <c r="S224"/>
      <c r="T224"/>
      <c r="U224"/>
    </row>
    <row r="225" spans="18:21" ht="13.5" hidden="1" customHeight="1" x14ac:dyDescent="0.2">
      <c r="R225"/>
      <c r="S225"/>
      <c r="T225"/>
      <c r="U225"/>
    </row>
    <row r="226" spans="18:21" ht="13.5" hidden="1" customHeight="1" x14ac:dyDescent="0.2">
      <c r="R226"/>
      <c r="S226"/>
      <c r="T226"/>
      <c r="U226"/>
    </row>
    <row r="227" spans="18:21" ht="13.5" hidden="1" customHeight="1" x14ac:dyDescent="0.2">
      <c r="R227"/>
      <c r="S227"/>
      <c r="T227"/>
      <c r="U227"/>
    </row>
    <row r="228" spans="18:21" ht="13.5" hidden="1" customHeight="1" x14ac:dyDescent="0.2">
      <c r="R228"/>
      <c r="S228"/>
      <c r="T228"/>
      <c r="U228"/>
    </row>
    <row r="229" spans="18:21" ht="13.5" hidden="1" customHeight="1" x14ac:dyDescent="0.2">
      <c r="R229"/>
      <c r="S229"/>
      <c r="T229"/>
      <c r="U229"/>
    </row>
    <row r="230" spans="18:21" ht="13.5" hidden="1" customHeight="1" x14ac:dyDescent="0.2">
      <c r="R230"/>
      <c r="S230"/>
      <c r="T230"/>
      <c r="U230"/>
    </row>
    <row r="231" spans="18:21" ht="13.5" hidden="1" customHeight="1" x14ac:dyDescent="0.2">
      <c r="R231"/>
      <c r="S231"/>
      <c r="T231"/>
      <c r="U231"/>
    </row>
    <row r="232" spans="18:21" ht="13.5" hidden="1" customHeight="1" x14ac:dyDescent="0.2">
      <c r="R232"/>
      <c r="S232"/>
      <c r="T232"/>
      <c r="U232"/>
    </row>
    <row r="233" spans="18:21" ht="13.5" hidden="1" customHeight="1" x14ac:dyDescent="0.2">
      <c r="R233"/>
      <c r="S233"/>
      <c r="T233"/>
      <c r="U233"/>
    </row>
    <row r="234" spans="18:21" ht="13.5" hidden="1" customHeight="1" x14ac:dyDescent="0.2">
      <c r="R234"/>
      <c r="S234"/>
      <c r="T234"/>
      <c r="U234"/>
    </row>
    <row r="235" spans="18:21" ht="13.5" hidden="1" customHeight="1" x14ac:dyDescent="0.2">
      <c r="R235"/>
      <c r="S235"/>
      <c r="T235"/>
      <c r="U235"/>
    </row>
    <row r="236" spans="18:21" ht="13.5" hidden="1" customHeight="1" x14ac:dyDescent="0.2">
      <c r="R236"/>
      <c r="S236"/>
      <c r="T236"/>
      <c r="U236"/>
    </row>
    <row r="237" spans="18:21" ht="13.5" hidden="1" customHeight="1" x14ac:dyDescent="0.2">
      <c r="R237"/>
      <c r="S237"/>
      <c r="T237"/>
      <c r="U237"/>
    </row>
    <row r="238" spans="18:21" ht="13.5" hidden="1" customHeight="1" x14ac:dyDescent="0.2">
      <c r="R238"/>
      <c r="S238"/>
      <c r="T238"/>
      <c r="U238"/>
    </row>
    <row r="239" spans="18:21" ht="13.5" hidden="1" customHeight="1" x14ac:dyDescent="0.2">
      <c r="R239"/>
      <c r="S239"/>
      <c r="T239"/>
      <c r="U239"/>
    </row>
    <row r="240" spans="18:21" ht="13.5" hidden="1" customHeight="1" x14ac:dyDescent="0.2">
      <c r="R240"/>
      <c r="S240"/>
      <c r="T240"/>
      <c r="U240"/>
    </row>
    <row r="241" spans="18:21" ht="13.5" hidden="1" customHeight="1" x14ac:dyDescent="0.2">
      <c r="R241"/>
      <c r="S241"/>
      <c r="T241"/>
      <c r="U241"/>
    </row>
    <row r="242" spans="18:21" ht="13.5" hidden="1" customHeight="1" x14ac:dyDescent="0.2">
      <c r="R242"/>
      <c r="S242"/>
      <c r="T242"/>
      <c r="U242"/>
    </row>
    <row r="243" spans="18:21" ht="13.5" hidden="1" customHeight="1" x14ac:dyDescent="0.2">
      <c r="R243"/>
      <c r="S243"/>
      <c r="T243"/>
      <c r="U243"/>
    </row>
    <row r="244" spans="18:21" ht="13.5" hidden="1" customHeight="1" x14ac:dyDescent="0.2">
      <c r="R244"/>
      <c r="S244"/>
      <c r="T244"/>
      <c r="U244"/>
    </row>
    <row r="245" spans="18:21" ht="13.5" hidden="1" customHeight="1" x14ac:dyDescent="0.2">
      <c r="R245"/>
      <c r="S245"/>
      <c r="T245"/>
      <c r="U245"/>
    </row>
    <row r="246" spans="18:21" ht="13.5" hidden="1" customHeight="1" x14ac:dyDescent="0.2">
      <c r="R246"/>
      <c r="S246"/>
      <c r="T246"/>
      <c r="U246"/>
    </row>
    <row r="247" spans="18:21" ht="13.5" hidden="1" customHeight="1" x14ac:dyDescent="0.2">
      <c r="R247"/>
      <c r="S247"/>
      <c r="T247"/>
      <c r="U247"/>
    </row>
    <row r="248" spans="18:21" ht="13.5" hidden="1" customHeight="1" x14ac:dyDescent="0.2">
      <c r="R248"/>
      <c r="S248"/>
      <c r="T248"/>
      <c r="U248"/>
    </row>
    <row r="249" spans="18:21" ht="13.5" hidden="1" customHeight="1" x14ac:dyDescent="0.2">
      <c r="R249"/>
      <c r="S249"/>
      <c r="T249"/>
      <c r="U249"/>
    </row>
    <row r="250" spans="18:21" ht="13.5" hidden="1" customHeight="1" x14ac:dyDescent="0.2">
      <c r="R250"/>
      <c r="S250"/>
      <c r="T250"/>
      <c r="U250"/>
    </row>
    <row r="251" spans="18:21" ht="13.5" hidden="1" customHeight="1" x14ac:dyDescent="0.2">
      <c r="R251"/>
      <c r="S251"/>
      <c r="T251"/>
      <c r="U251"/>
    </row>
    <row r="252" spans="18:21" ht="13.5" hidden="1" customHeight="1" x14ac:dyDescent="0.2">
      <c r="R252"/>
      <c r="S252"/>
      <c r="T252"/>
      <c r="U252"/>
    </row>
    <row r="253" spans="18:21" ht="13.5" hidden="1" customHeight="1" x14ac:dyDescent="0.2">
      <c r="R253"/>
      <c r="S253"/>
      <c r="T253"/>
      <c r="U253"/>
    </row>
    <row r="254" spans="18:21" ht="13.5" hidden="1" customHeight="1" x14ac:dyDescent="0.2">
      <c r="R254"/>
      <c r="S254"/>
      <c r="T254"/>
      <c r="U254"/>
    </row>
    <row r="255" spans="18:21" ht="13.5" hidden="1" customHeight="1" x14ac:dyDescent="0.2">
      <c r="R255"/>
      <c r="S255"/>
      <c r="T255"/>
      <c r="U255"/>
    </row>
    <row r="256" spans="18:21" ht="13.5" hidden="1" customHeight="1" x14ac:dyDescent="0.2">
      <c r="R256"/>
      <c r="S256"/>
      <c r="T256"/>
      <c r="U256"/>
    </row>
    <row r="257" spans="18:21" ht="13.5" hidden="1" customHeight="1" x14ac:dyDescent="0.2">
      <c r="R257"/>
      <c r="S257"/>
      <c r="T257"/>
      <c r="U257"/>
    </row>
    <row r="258" spans="18:21" ht="13.5" hidden="1" customHeight="1" x14ac:dyDescent="0.2">
      <c r="R258"/>
      <c r="S258"/>
      <c r="T258"/>
      <c r="U258"/>
    </row>
    <row r="259" spans="18:21" ht="13.5" hidden="1" customHeight="1" x14ac:dyDescent="0.2">
      <c r="R259"/>
      <c r="S259"/>
      <c r="T259"/>
      <c r="U259"/>
    </row>
    <row r="260" spans="18:21" ht="13.5" hidden="1" customHeight="1" x14ac:dyDescent="0.2">
      <c r="R260"/>
      <c r="S260"/>
      <c r="T260"/>
      <c r="U260"/>
    </row>
    <row r="261" spans="18:21" ht="13.5" hidden="1" customHeight="1" x14ac:dyDescent="0.2">
      <c r="R261"/>
      <c r="S261"/>
      <c r="T261"/>
      <c r="U261"/>
    </row>
    <row r="262" spans="18:21" ht="13.5" hidden="1" customHeight="1" x14ac:dyDescent="0.2">
      <c r="R262"/>
      <c r="S262"/>
      <c r="T262"/>
      <c r="U262"/>
    </row>
    <row r="263" spans="18:21" ht="13.5" hidden="1" customHeight="1" x14ac:dyDescent="0.2">
      <c r="R263"/>
      <c r="S263"/>
      <c r="T263"/>
      <c r="U263"/>
    </row>
    <row r="264" spans="18:21" ht="13.5" hidden="1" customHeight="1" x14ac:dyDescent="0.2">
      <c r="R264"/>
      <c r="S264"/>
      <c r="T264"/>
      <c r="U264"/>
    </row>
    <row r="265" spans="18:21" ht="13.5" hidden="1" customHeight="1" x14ac:dyDescent="0.2">
      <c r="R265"/>
      <c r="S265"/>
      <c r="T265"/>
      <c r="U265"/>
    </row>
    <row r="266" spans="18:21" ht="13.5" hidden="1" customHeight="1" x14ac:dyDescent="0.2">
      <c r="R266"/>
      <c r="S266"/>
      <c r="T266"/>
      <c r="U266"/>
    </row>
    <row r="267" spans="18:21" ht="13.5" hidden="1" customHeight="1" x14ac:dyDescent="0.2">
      <c r="R267"/>
      <c r="S267"/>
      <c r="T267"/>
      <c r="U267"/>
    </row>
    <row r="268" spans="18:21" ht="13.5" hidden="1" customHeight="1" x14ac:dyDescent="0.2">
      <c r="R268"/>
      <c r="S268"/>
      <c r="T268"/>
      <c r="U268"/>
    </row>
    <row r="269" spans="18:21" ht="13.5" hidden="1" customHeight="1" x14ac:dyDescent="0.2">
      <c r="R269"/>
      <c r="S269"/>
      <c r="T269"/>
      <c r="U269"/>
    </row>
    <row r="270" spans="18:21" ht="13.5" hidden="1" customHeight="1" x14ac:dyDescent="0.2">
      <c r="R270"/>
      <c r="S270"/>
      <c r="T270"/>
      <c r="U270"/>
    </row>
    <row r="271" spans="18:21" ht="13.5" hidden="1" customHeight="1" x14ac:dyDescent="0.2">
      <c r="R271"/>
      <c r="S271"/>
      <c r="T271"/>
      <c r="U271"/>
    </row>
    <row r="272" spans="18:21" ht="13.5" hidden="1" customHeight="1" x14ac:dyDescent="0.2">
      <c r="R272"/>
      <c r="S272"/>
      <c r="T272"/>
      <c r="U272"/>
    </row>
    <row r="273" spans="18:21" ht="13.5" hidden="1" customHeight="1" x14ac:dyDescent="0.2">
      <c r="R273"/>
      <c r="S273"/>
      <c r="T273"/>
      <c r="U273"/>
    </row>
    <row r="274" spans="18:21" ht="13.5" hidden="1" customHeight="1" x14ac:dyDescent="0.2">
      <c r="R274"/>
      <c r="S274"/>
      <c r="T274"/>
      <c r="U274"/>
    </row>
    <row r="275" spans="18:21" ht="13.5" hidden="1" customHeight="1" x14ac:dyDescent="0.2">
      <c r="R275"/>
      <c r="S275"/>
      <c r="T275"/>
      <c r="U275"/>
    </row>
    <row r="276" spans="18:21" ht="13.5" hidden="1" customHeight="1" x14ac:dyDescent="0.2">
      <c r="R276"/>
      <c r="S276"/>
      <c r="T276"/>
      <c r="U276"/>
    </row>
    <row r="277" spans="18:21" ht="13.5" hidden="1" customHeight="1" x14ac:dyDescent="0.2">
      <c r="R277"/>
      <c r="S277"/>
      <c r="T277"/>
      <c r="U277"/>
    </row>
    <row r="278" spans="18:21" ht="13.5" hidden="1" customHeight="1" x14ac:dyDescent="0.2">
      <c r="R278"/>
      <c r="S278"/>
      <c r="T278"/>
      <c r="U278"/>
    </row>
    <row r="279" spans="18:21" ht="13.5" hidden="1" customHeight="1" x14ac:dyDescent="0.2">
      <c r="R279"/>
      <c r="S279"/>
      <c r="T279"/>
      <c r="U279"/>
    </row>
    <row r="280" spans="18:21" ht="13.5" hidden="1" customHeight="1" x14ac:dyDescent="0.2">
      <c r="R280"/>
      <c r="S280"/>
      <c r="T280"/>
      <c r="U280"/>
    </row>
    <row r="281" spans="18:21" ht="13.5" hidden="1" customHeight="1" x14ac:dyDescent="0.2">
      <c r="R281"/>
      <c r="S281"/>
      <c r="T281"/>
      <c r="U281"/>
    </row>
    <row r="282" spans="18:21" ht="13.5" hidden="1" customHeight="1" x14ac:dyDescent="0.2">
      <c r="R282"/>
      <c r="S282"/>
      <c r="T282"/>
      <c r="U282"/>
    </row>
    <row r="283" spans="18:21" ht="13.5" hidden="1" customHeight="1" x14ac:dyDescent="0.2">
      <c r="R283"/>
      <c r="S283"/>
      <c r="T283"/>
      <c r="U283"/>
    </row>
    <row r="284" spans="18:21" ht="13.5" hidden="1" customHeight="1" x14ac:dyDescent="0.2">
      <c r="R284"/>
      <c r="S284"/>
      <c r="T284"/>
      <c r="U284"/>
    </row>
    <row r="285" spans="18:21" ht="13.5" hidden="1" customHeight="1" x14ac:dyDescent="0.2">
      <c r="R285"/>
      <c r="S285"/>
      <c r="T285"/>
      <c r="U285"/>
    </row>
    <row r="286" spans="18:21" ht="13.5" hidden="1" customHeight="1" x14ac:dyDescent="0.2">
      <c r="R286"/>
      <c r="S286"/>
      <c r="T286"/>
      <c r="U286"/>
    </row>
    <row r="287" spans="18:21" ht="13.5" hidden="1" customHeight="1" x14ac:dyDescent="0.2">
      <c r="R287"/>
      <c r="S287"/>
      <c r="T287"/>
      <c r="U287"/>
    </row>
    <row r="288" spans="18:21" ht="13.5" hidden="1" customHeight="1" x14ac:dyDescent="0.2">
      <c r="R288"/>
      <c r="S288"/>
      <c r="T288"/>
      <c r="U288"/>
    </row>
    <row r="289" spans="18:21" ht="13.5" hidden="1" customHeight="1" x14ac:dyDescent="0.2">
      <c r="R289"/>
      <c r="S289"/>
      <c r="T289"/>
      <c r="U289"/>
    </row>
    <row r="290" spans="18:21" ht="13.5" hidden="1" customHeight="1" x14ac:dyDescent="0.2">
      <c r="R290"/>
      <c r="S290"/>
      <c r="T290"/>
      <c r="U290"/>
    </row>
    <row r="291" spans="18:21" ht="13.5" hidden="1" customHeight="1" x14ac:dyDescent="0.2">
      <c r="R291"/>
      <c r="S291"/>
      <c r="T291"/>
      <c r="U291"/>
    </row>
    <row r="292" spans="18:21" ht="13.5" hidden="1" customHeight="1" x14ac:dyDescent="0.2">
      <c r="R292"/>
      <c r="S292"/>
      <c r="T292"/>
      <c r="U292"/>
    </row>
    <row r="293" spans="18:21" ht="13.5" hidden="1" customHeight="1" x14ac:dyDescent="0.2">
      <c r="R293"/>
      <c r="S293"/>
      <c r="T293"/>
      <c r="U293"/>
    </row>
    <row r="294" spans="18:21" ht="13.5" hidden="1" customHeight="1" x14ac:dyDescent="0.2">
      <c r="R294"/>
      <c r="S294"/>
      <c r="T294"/>
      <c r="U294"/>
    </row>
    <row r="295" spans="18:21" ht="13.5" hidden="1" customHeight="1" x14ac:dyDescent="0.2">
      <c r="R295"/>
      <c r="S295"/>
      <c r="T295"/>
      <c r="U295"/>
    </row>
    <row r="296" spans="18:21" ht="13.5" hidden="1" customHeight="1" x14ac:dyDescent="0.2">
      <c r="R296"/>
      <c r="S296"/>
      <c r="T296"/>
      <c r="U296"/>
    </row>
    <row r="297" spans="18:21" ht="13.5" hidden="1" customHeight="1" x14ac:dyDescent="0.2">
      <c r="R297"/>
      <c r="S297"/>
      <c r="T297"/>
      <c r="U297"/>
    </row>
    <row r="298" spans="18:21" ht="13.5" hidden="1" customHeight="1" x14ac:dyDescent="0.2">
      <c r="R298"/>
      <c r="S298"/>
      <c r="T298"/>
      <c r="U298"/>
    </row>
    <row r="299" spans="18:21" ht="13.5" hidden="1" customHeight="1" x14ac:dyDescent="0.2">
      <c r="R299"/>
      <c r="S299"/>
      <c r="T299"/>
      <c r="U299"/>
    </row>
    <row r="300" spans="18:21" ht="13.5" hidden="1" customHeight="1" x14ac:dyDescent="0.2">
      <c r="R300"/>
      <c r="S300"/>
      <c r="T300"/>
      <c r="U300"/>
    </row>
    <row r="301" spans="18:21" ht="13.5" hidden="1" customHeight="1" x14ac:dyDescent="0.2">
      <c r="R301"/>
      <c r="S301"/>
      <c r="T301"/>
      <c r="U301"/>
    </row>
    <row r="302" spans="18:21" ht="13.5" hidden="1" customHeight="1" x14ac:dyDescent="0.2">
      <c r="R302"/>
      <c r="S302"/>
      <c r="T302"/>
      <c r="U302"/>
    </row>
    <row r="303" spans="18:21" ht="13.5" hidden="1" customHeight="1" x14ac:dyDescent="0.2">
      <c r="R303"/>
      <c r="S303"/>
      <c r="T303"/>
      <c r="U303"/>
    </row>
    <row r="304" spans="18:21" ht="13.5" hidden="1" customHeight="1" x14ac:dyDescent="0.2">
      <c r="R304"/>
      <c r="S304"/>
      <c r="T304"/>
      <c r="U304"/>
    </row>
    <row r="305" spans="18:21" ht="13.5" hidden="1" customHeight="1" x14ac:dyDescent="0.2">
      <c r="R305"/>
      <c r="S305"/>
      <c r="T305"/>
      <c r="U305"/>
    </row>
    <row r="306" spans="18:21" ht="13.5" hidden="1" customHeight="1" x14ac:dyDescent="0.2">
      <c r="R306"/>
      <c r="S306"/>
      <c r="T306"/>
      <c r="U306"/>
    </row>
    <row r="307" spans="18:21" ht="13.5" hidden="1" customHeight="1" x14ac:dyDescent="0.2">
      <c r="R307"/>
      <c r="S307"/>
      <c r="T307"/>
      <c r="U307"/>
    </row>
    <row r="308" spans="18:21" ht="13.5" hidden="1" customHeight="1" x14ac:dyDescent="0.2">
      <c r="R308"/>
      <c r="S308"/>
      <c r="T308"/>
      <c r="U308"/>
    </row>
    <row r="309" spans="18:21" ht="13.5" hidden="1" customHeight="1" x14ac:dyDescent="0.2">
      <c r="R309"/>
      <c r="S309"/>
      <c r="T309"/>
      <c r="U309"/>
    </row>
    <row r="310" spans="18:21" ht="13.5" hidden="1" customHeight="1" x14ac:dyDescent="0.2">
      <c r="R310"/>
      <c r="S310"/>
      <c r="T310"/>
      <c r="U310"/>
    </row>
    <row r="311" spans="18:21" ht="13.5" hidden="1" customHeight="1" x14ac:dyDescent="0.2">
      <c r="R311"/>
      <c r="S311"/>
      <c r="T311"/>
      <c r="U311"/>
    </row>
    <row r="312" spans="18:21" ht="13.5" hidden="1" customHeight="1" x14ac:dyDescent="0.2">
      <c r="R312"/>
      <c r="S312"/>
      <c r="T312"/>
      <c r="U312"/>
    </row>
    <row r="313" spans="18:21" ht="13.5" hidden="1" customHeight="1" x14ac:dyDescent="0.2">
      <c r="R313"/>
      <c r="S313"/>
      <c r="T313"/>
      <c r="U313"/>
    </row>
    <row r="314" spans="18:21" ht="13.5" hidden="1" customHeight="1" x14ac:dyDescent="0.2">
      <c r="R314"/>
      <c r="S314"/>
      <c r="T314"/>
      <c r="U314"/>
    </row>
    <row r="315" spans="18:21" ht="13.5" hidden="1" customHeight="1" x14ac:dyDescent="0.2">
      <c r="R315"/>
      <c r="S315"/>
      <c r="T315"/>
      <c r="U315"/>
    </row>
    <row r="316" spans="18:21" ht="13.5" hidden="1" customHeight="1" x14ac:dyDescent="0.2">
      <c r="R316"/>
      <c r="S316"/>
      <c r="T316"/>
      <c r="U316"/>
    </row>
    <row r="317" spans="18:21" ht="13.5" hidden="1" customHeight="1" x14ac:dyDescent="0.2">
      <c r="R317"/>
      <c r="S317"/>
      <c r="T317"/>
      <c r="U317"/>
    </row>
    <row r="318" spans="18:21" ht="13.5" hidden="1" customHeight="1" x14ac:dyDescent="0.2">
      <c r="R318"/>
      <c r="S318"/>
      <c r="T318"/>
      <c r="U318"/>
    </row>
    <row r="319" spans="18:21" ht="13.5" hidden="1" customHeight="1" x14ac:dyDescent="0.2">
      <c r="R319"/>
      <c r="S319"/>
      <c r="T319"/>
      <c r="U319"/>
    </row>
    <row r="320" spans="18:21" ht="13.5" hidden="1" customHeight="1" x14ac:dyDescent="0.2">
      <c r="R320"/>
      <c r="S320"/>
      <c r="T320"/>
      <c r="U320"/>
    </row>
    <row r="321" spans="18:21" ht="13.5" hidden="1" customHeight="1" x14ac:dyDescent="0.2">
      <c r="R321"/>
      <c r="S321"/>
      <c r="T321"/>
      <c r="U321"/>
    </row>
    <row r="322" spans="18:21" ht="13.5" hidden="1" customHeight="1" x14ac:dyDescent="0.2">
      <c r="R322"/>
      <c r="S322"/>
      <c r="T322"/>
      <c r="U322"/>
    </row>
    <row r="323" spans="18:21" ht="13.5" hidden="1" customHeight="1" x14ac:dyDescent="0.2">
      <c r="R323"/>
      <c r="S323"/>
      <c r="T323"/>
      <c r="U323"/>
    </row>
    <row r="324" spans="18:21" ht="13.5" hidden="1" customHeight="1" x14ac:dyDescent="0.2">
      <c r="R324"/>
      <c r="S324"/>
      <c r="T324"/>
      <c r="U324"/>
    </row>
    <row r="325" spans="18:21" ht="13.5" hidden="1" customHeight="1" x14ac:dyDescent="0.2">
      <c r="R325"/>
      <c r="S325"/>
      <c r="T325"/>
      <c r="U325"/>
    </row>
    <row r="326" spans="18:21" ht="13.5" hidden="1" customHeight="1" x14ac:dyDescent="0.2">
      <c r="R326"/>
      <c r="S326"/>
      <c r="T326"/>
      <c r="U326"/>
    </row>
    <row r="327" spans="18:21" ht="13.5" hidden="1" customHeight="1" x14ac:dyDescent="0.2">
      <c r="R327"/>
      <c r="S327"/>
      <c r="T327"/>
      <c r="U327"/>
    </row>
    <row r="328" spans="18:21" ht="13.5" hidden="1" customHeight="1" x14ac:dyDescent="0.2">
      <c r="R328"/>
      <c r="S328"/>
      <c r="T328"/>
      <c r="U328"/>
    </row>
    <row r="329" spans="18:21" ht="13.5" hidden="1" customHeight="1" x14ac:dyDescent="0.2">
      <c r="R329"/>
      <c r="S329"/>
      <c r="T329"/>
      <c r="U329"/>
    </row>
    <row r="330" spans="18:21" ht="13.5" hidden="1" customHeight="1" x14ac:dyDescent="0.2">
      <c r="R330"/>
      <c r="S330"/>
      <c r="T330"/>
      <c r="U330"/>
    </row>
    <row r="331" spans="18:21" ht="13.5" hidden="1" customHeight="1" x14ac:dyDescent="0.2">
      <c r="R331"/>
      <c r="S331"/>
      <c r="T331"/>
      <c r="U331"/>
    </row>
    <row r="332" spans="18:21" ht="13.5" hidden="1" customHeight="1" x14ac:dyDescent="0.2">
      <c r="R332"/>
      <c r="S332"/>
      <c r="T332"/>
      <c r="U332"/>
    </row>
    <row r="333" spans="18:21" ht="13.5" hidden="1" customHeight="1" x14ac:dyDescent="0.2">
      <c r="R333"/>
      <c r="S333"/>
      <c r="T333"/>
      <c r="U333"/>
    </row>
    <row r="334" spans="18:21" ht="13.5" hidden="1" customHeight="1" x14ac:dyDescent="0.2">
      <c r="R334"/>
      <c r="S334"/>
      <c r="T334"/>
      <c r="U334"/>
    </row>
    <row r="335" spans="18:21" ht="13.5" hidden="1" customHeight="1" x14ac:dyDescent="0.2">
      <c r="R335"/>
      <c r="S335"/>
      <c r="T335"/>
      <c r="U335"/>
    </row>
    <row r="336" spans="18:21" hidden="1" x14ac:dyDescent="0.2">
      <c r="R336"/>
      <c r="S336"/>
      <c r="T336"/>
      <c r="U336"/>
    </row>
    <row r="337" spans="18:21" hidden="1" x14ac:dyDescent="0.2">
      <c r="R337"/>
      <c r="S337"/>
      <c r="T337"/>
      <c r="U337"/>
    </row>
    <row r="338" spans="18:21" hidden="1" x14ac:dyDescent="0.2">
      <c r="R338"/>
      <c r="S338"/>
      <c r="T338"/>
      <c r="U338"/>
    </row>
    <row r="339" spans="18:21" hidden="1" x14ac:dyDescent="0.2">
      <c r="R339"/>
      <c r="S339"/>
      <c r="T339"/>
      <c r="U339"/>
    </row>
    <row r="340" spans="18:21" hidden="1" x14ac:dyDescent="0.2"/>
    <row r="341" spans="18:21" hidden="1" x14ac:dyDescent="0.2"/>
    <row r="342" spans="18:21" hidden="1" x14ac:dyDescent="0.2"/>
    <row r="343" spans="18:21" hidden="1" x14ac:dyDescent="0.2"/>
    <row r="344" spans="18:21" hidden="1" x14ac:dyDescent="0.2">
      <c r="R344"/>
      <c r="S344"/>
      <c r="T344"/>
      <c r="U344"/>
    </row>
    <row r="345" spans="18:21" hidden="1" x14ac:dyDescent="0.2">
      <c r="R345"/>
      <c r="S345"/>
      <c r="T345"/>
      <c r="U345"/>
    </row>
    <row r="346" spans="18:21" hidden="1" x14ac:dyDescent="0.2">
      <c r="R346"/>
      <c r="S346"/>
      <c r="T346"/>
      <c r="U346"/>
    </row>
    <row r="347" spans="18:21" hidden="1" x14ac:dyDescent="0.2">
      <c r="R347"/>
      <c r="S347"/>
      <c r="T347"/>
      <c r="U347"/>
    </row>
    <row r="348" spans="18:21" ht="14.25" hidden="1" customHeight="1" x14ac:dyDescent="0.2">
      <c r="R348"/>
      <c r="S348"/>
      <c r="T348"/>
      <c r="U348"/>
    </row>
    <row r="349" spans="18:21" hidden="1" x14ac:dyDescent="0.2">
      <c r="R349"/>
      <c r="S349"/>
      <c r="T349"/>
      <c r="U349"/>
    </row>
    <row r="350" spans="18:21" ht="9.75" hidden="1" customHeight="1" x14ac:dyDescent="0.2">
      <c r="R350"/>
      <c r="S350"/>
      <c r="T350"/>
      <c r="U350"/>
    </row>
    <row r="351" spans="18:21" hidden="1" x14ac:dyDescent="0.2"/>
    <row r="352" spans="18:21" hidden="1" x14ac:dyDescent="0.2"/>
    <row r="353" spans="18:21" hidden="1" x14ac:dyDescent="0.2"/>
    <row r="354" spans="18:21" hidden="1" x14ac:dyDescent="0.2"/>
    <row r="355" spans="18:21" ht="12.75" hidden="1" customHeight="1" x14ac:dyDescent="0.2">
      <c r="R355"/>
      <c r="S355"/>
      <c r="T355"/>
      <c r="U355"/>
    </row>
    <row r="356" spans="18:21" hidden="1" x14ac:dyDescent="0.2">
      <c r="R356"/>
      <c r="S356"/>
      <c r="T356"/>
      <c r="U356"/>
    </row>
    <row r="357" spans="18:21" hidden="1" x14ac:dyDescent="0.2">
      <c r="R357"/>
      <c r="S357"/>
      <c r="T357"/>
      <c r="U357"/>
    </row>
    <row r="358" spans="18:21" hidden="1" x14ac:dyDescent="0.2">
      <c r="R358"/>
      <c r="S358"/>
      <c r="T358"/>
      <c r="U358"/>
    </row>
    <row r="359" spans="18:21" hidden="1" x14ac:dyDescent="0.2">
      <c r="R359"/>
      <c r="S359"/>
      <c r="T359"/>
      <c r="U359"/>
    </row>
    <row r="360" spans="18:21" hidden="1" x14ac:dyDescent="0.2">
      <c r="R360"/>
      <c r="S360"/>
      <c r="T360"/>
      <c r="U360"/>
    </row>
    <row r="361" spans="18:21" hidden="1" x14ac:dyDescent="0.2">
      <c r="R361"/>
      <c r="S361"/>
      <c r="T361"/>
      <c r="U361"/>
    </row>
    <row r="362" spans="18:21" hidden="1" x14ac:dyDescent="0.2">
      <c r="R362"/>
      <c r="S362"/>
      <c r="T362"/>
      <c r="U362"/>
    </row>
    <row r="363" spans="18:21" hidden="1" x14ac:dyDescent="0.2">
      <c r="R363"/>
      <c r="S363"/>
      <c r="T363"/>
      <c r="U363"/>
    </row>
    <row r="364" spans="18:21" hidden="1" x14ac:dyDescent="0.2">
      <c r="R364"/>
      <c r="S364"/>
      <c r="T364"/>
      <c r="U364"/>
    </row>
    <row r="365" spans="18:21" hidden="1" x14ac:dyDescent="0.2">
      <c r="R365"/>
      <c r="S365"/>
      <c r="T365"/>
      <c r="U365"/>
    </row>
    <row r="366" spans="18:21" hidden="1" x14ac:dyDescent="0.2">
      <c r="R366"/>
      <c r="S366"/>
      <c r="T366"/>
      <c r="U366"/>
    </row>
    <row r="367" spans="18:21" hidden="1" x14ac:dyDescent="0.2">
      <c r="R367"/>
      <c r="S367"/>
      <c r="T367"/>
      <c r="U367"/>
    </row>
    <row r="368" spans="18:21" hidden="1" x14ac:dyDescent="0.2">
      <c r="R368"/>
      <c r="S368"/>
      <c r="T368"/>
      <c r="U368"/>
    </row>
    <row r="369" spans="18:21" hidden="1" x14ac:dyDescent="0.2">
      <c r="R369"/>
      <c r="S369"/>
      <c r="T369"/>
      <c r="U369"/>
    </row>
    <row r="370" spans="18:21" hidden="1" x14ac:dyDescent="0.2">
      <c r="R370"/>
      <c r="S370"/>
      <c r="T370"/>
      <c r="U370"/>
    </row>
    <row r="371" spans="18:21" hidden="1" x14ac:dyDescent="0.2">
      <c r="R371"/>
      <c r="S371"/>
      <c r="T371"/>
      <c r="U371"/>
    </row>
    <row r="372" spans="18:21" hidden="1" x14ac:dyDescent="0.2">
      <c r="R372"/>
      <c r="S372"/>
      <c r="T372"/>
      <c r="U372"/>
    </row>
    <row r="373" spans="18:21" hidden="1" x14ac:dyDescent="0.2">
      <c r="R373"/>
      <c r="S373"/>
      <c r="T373"/>
      <c r="U373"/>
    </row>
    <row r="374" spans="18:21" hidden="1" x14ac:dyDescent="0.2">
      <c r="R374"/>
      <c r="S374"/>
      <c r="T374"/>
      <c r="U374"/>
    </row>
    <row r="375" spans="18:21" hidden="1" x14ac:dyDescent="0.2">
      <c r="R375"/>
      <c r="S375"/>
      <c r="T375"/>
      <c r="U375"/>
    </row>
    <row r="376" spans="18:21" hidden="1" x14ac:dyDescent="0.2">
      <c r="R376"/>
      <c r="S376"/>
      <c r="T376"/>
      <c r="U376"/>
    </row>
    <row r="377" spans="18:21" hidden="1" x14ac:dyDescent="0.2">
      <c r="R377"/>
      <c r="S377"/>
      <c r="T377"/>
      <c r="U377"/>
    </row>
    <row r="378" spans="18:21" hidden="1" x14ac:dyDescent="0.2">
      <c r="R378"/>
      <c r="S378"/>
      <c r="T378"/>
      <c r="U378"/>
    </row>
    <row r="379" spans="18:21" hidden="1" x14ac:dyDescent="0.2">
      <c r="R379"/>
      <c r="S379"/>
      <c r="T379"/>
      <c r="U379"/>
    </row>
    <row r="380" spans="18:21" hidden="1" x14ac:dyDescent="0.2">
      <c r="R380"/>
      <c r="S380"/>
      <c r="T380"/>
      <c r="U380"/>
    </row>
    <row r="381" spans="18:21" hidden="1" x14ac:dyDescent="0.2">
      <c r="R381"/>
      <c r="S381"/>
      <c r="T381"/>
      <c r="U381"/>
    </row>
    <row r="382" spans="18:21" hidden="1" x14ac:dyDescent="0.2">
      <c r="R382"/>
      <c r="S382"/>
      <c r="T382"/>
      <c r="U382"/>
    </row>
    <row r="383" spans="18:21" hidden="1" x14ac:dyDescent="0.2">
      <c r="R383"/>
      <c r="S383"/>
      <c r="T383"/>
      <c r="U383"/>
    </row>
    <row r="384" spans="18:21" hidden="1" x14ac:dyDescent="0.2">
      <c r="R384"/>
      <c r="S384"/>
      <c r="T384"/>
      <c r="U384"/>
    </row>
    <row r="385" spans="18:21" hidden="1" x14ac:dyDescent="0.2">
      <c r="R385"/>
      <c r="S385"/>
      <c r="T385"/>
      <c r="U385"/>
    </row>
    <row r="386" spans="18:21" hidden="1" x14ac:dyDescent="0.2">
      <c r="R386"/>
      <c r="S386"/>
      <c r="T386"/>
      <c r="U386"/>
    </row>
    <row r="387" spans="18:21" hidden="1" x14ac:dyDescent="0.2">
      <c r="R387"/>
      <c r="S387"/>
      <c r="T387"/>
      <c r="U387"/>
    </row>
    <row r="388" spans="18:21" hidden="1" x14ac:dyDescent="0.2">
      <c r="R388"/>
      <c r="S388"/>
      <c r="T388"/>
      <c r="U388"/>
    </row>
    <row r="389" spans="18:21" hidden="1" x14ac:dyDescent="0.2">
      <c r="R389"/>
      <c r="S389"/>
      <c r="T389"/>
      <c r="U389"/>
    </row>
    <row r="390" spans="18:21" hidden="1" x14ac:dyDescent="0.2">
      <c r="R390"/>
      <c r="S390"/>
      <c r="T390"/>
      <c r="U390"/>
    </row>
    <row r="391" spans="18:21" hidden="1" x14ac:dyDescent="0.2"/>
  </sheetData>
  <sheetProtection password="D2FB" sheet="1" objects="1" scenarios="1"/>
  <mergeCells count="18">
    <mergeCell ref="D116:P116"/>
    <mergeCell ref="D83:I83"/>
    <mergeCell ref="K83:P83"/>
    <mergeCell ref="D100:I100"/>
    <mergeCell ref="K100:P100"/>
    <mergeCell ref="D80:P80"/>
    <mergeCell ref="D64:I64"/>
    <mergeCell ref="K64:P64"/>
    <mergeCell ref="D11:I11"/>
    <mergeCell ref="K11:P11"/>
    <mergeCell ref="D28:I28"/>
    <mergeCell ref="K28:P28"/>
    <mergeCell ref="M6:P6"/>
    <mergeCell ref="D7:P7"/>
    <mergeCell ref="D8:P8"/>
    <mergeCell ref="D44:P44"/>
    <mergeCell ref="D47:I47"/>
    <mergeCell ref="K47:P47"/>
  </mergeCells>
  <printOptions horizontalCentered="1" verticalCentered="1"/>
  <pageMargins left="0.47244094488188981" right="0.47244094488188981" top="0" bottom="0.59055118110236227" header="0.31496062992125984" footer="0"/>
  <pageSetup paperSize="9" scale="95" orientation="landscape" r:id="rId1"/>
  <headerFooter alignWithMargins="0">
    <oddFooter>&amp;C&amp;"Arial,Itálico"&amp;8Superintendência de Política Agrícola, Agronegócios e Irrigação
Gerência de Agronegócio e Estatística / Coordenação de Estudos de Mercados, Estatística e Acompanhamento de Safras (CEMEAS)
Página &amp;P / &amp;N</oddFooter>
  </headerFooter>
  <rowBreaks count="2" manualBreakCount="2">
    <brk id="44" max="16383" man="1"/>
    <brk id="80" min="3" max="15" man="1"/>
  </rowBreaks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CW668"/>
  <sheetViews>
    <sheetView zoomScaleNormal="100" workbookViewId="0"/>
  </sheetViews>
  <sheetFormatPr defaultRowHeight="12.75" x14ac:dyDescent="0.2"/>
  <cols>
    <col min="1" max="1" width="3.140625" customWidth="1"/>
    <col min="2" max="2" width="8.7109375" customWidth="1"/>
    <col min="3" max="3" width="19.42578125" customWidth="1"/>
    <col min="4" max="5" width="12.7109375" customWidth="1"/>
    <col min="6" max="6" width="8.7109375" customWidth="1"/>
    <col min="7" max="7" width="6.28515625" customWidth="1"/>
    <col min="8" max="8" width="8.7109375" customWidth="1"/>
    <col min="9" max="9" width="19.42578125" customWidth="1"/>
    <col min="10" max="11" width="12.7109375" customWidth="1"/>
    <col min="12" max="12" width="8.7109375" customWidth="1"/>
    <col min="13" max="13" width="7.85546875" customWidth="1"/>
    <col min="14" max="14" width="8.7109375" customWidth="1"/>
    <col min="15" max="15" width="22.42578125" customWidth="1"/>
    <col min="16" max="16" width="14" customWidth="1"/>
    <col min="17" max="19" width="11.7109375" customWidth="1"/>
    <col min="20" max="57" width="11.7109375" style="9" customWidth="1"/>
    <col min="58" max="58" width="11.7109375" customWidth="1"/>
    <col min="59" max="59" width="16" customWidth="1"/>
    <col min="60" max="101" width="11.7109375" customWidth="1"/>
  </cols>
  <sheetData>
    <row r="1" spans="1:101" x14ac:dyDescent="0.2">
      <c r="P1" s="9"/>
      <c r="Q1" s="9"/>
      <c r="R1" s="9"/>
      <c r="S1" s="9"/>
      <c r="BB1"/>
      <c r="BC1"/>
      <c r="BD1"/>
      <c r="BE1"/>
    </row>
    <row r="2" spans="1:101" ht="12.75" customHeight="1" x14ac:dyDescent="0.2">
      <c r="C2" s="267" t="s">
        <v>80</v>
      </c>
      <c r="D2" s="267"/>
      <c r="E2" s="48"/>
      <c r="G2" s="48" t="s">
        <v>86</v>
      </c>
      <c r="H2" s="48"/>
      <c r="I2" s="48"/>
      <c r="J2" s="59"/>
      <c r="K2" s="59"/>
      <c r="L2" s="59"/>
      <c r="M2" s="59"/>
      <c r="O2" s="66" t="s">
        <v>13</v>
      </c>
      <c r="P2" s="67"/>
      <c r="Q2" s="67"/>
      <c r="R2" s="67"/>
      <c r="S2" s="67"/>
      <c r="T2" s="67"/>
      <c r="U2" s="67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66" t="s">
        <v>13</v>
      </c>
      <c r="BH2" s="67"/>
      <c r="BI2" s="67"/>
      <c r="BJ2" s="67"/>
      <c r="BK2" s="67"/>
      <c r="BL2" s="67"/>
      <c r="BM2" s="67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6"/>
    </row>
    <row r="3" spans="1:101" ht="12.75" customHeight="1" x14ac:dyDescent="0.2">
      <c r="D3" s="136" t="s">
        <v>103</v>
      </c>
      <c r="E3" s="136" t="s">
        <v>104</v>
      </c>
      <c r="G3" s="61" t="str">
        <f>CONCATENATE(" - Levantamento dos dados nos anos de ",D4," e ",D5," (mês de ",E5,") ao mesmo tempo")</f>
        <v xml:space="preserve"> - Levantamento dos dados nos anos de 2015 e 2016 (mês de dezembro) ao mesmo tempo</v>
      </c>
      <c r="H3" s="59"/>
      <c r="I3" s="59"/>
      <c r="J3" s="59"/>
      <c r="K3" s="59"/>
      <c r="L3" s="59"/>
      <c r="M3" s="59"/>
      <c r="O3" s="64" t="s">
        <v>42</v>
      </c>
      <c r="P3" s="65"/>
      <c r="Q3" s="65"/>
      <c r="R3" s="65"/>
      <c r="S3" s="65"/>
      <c r="T3" s="65"/>
      <c r="U3" s="6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64" t="s">
        <v>42</v>
      </c>
      <c r="BH3" s="65"/>
      <c r="BI3" s="65"/>
      <c r="BJ3" s="65"/>
      <c r="BK3" s="65"/>
      <c r="BL3" s="65"/>
      <c r="BM3" s="6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  <c r="CG3" s="175"/>
      <c r="CH3" s="175"/>
      <c r="CI3" s="175"/>
      <c r="CJ3" s="175"/>
      <c r="CK3" s="175"/>
      <c r="CL3" s="175"/>
      <c r="CM3" s="175"/>
      <c r="CN3" s="175"/>
      <c r="CO3" s="175"/>
      <c r="CP3" s="175"/>
      <c r="CQ3" s="175"/>
      <c r="CR3" s="175"/>
      <c r="CS3" s="175"/>
      <c r="CT3" s="175"/>
      <c r="CU3" s="175"/>
      <c r="CV3" s="175"/>
      <c r="CW3" s="176"/>
    </row>
    <row r="4" spans="1:101" ht="12.75" customHeight="1" x14ac:dyDescent="0.2">
      <c r="C4" s="60" t="s">
        <v>81</v>
      </c>
      <c r="D4" s="157">
        <v>2015</v>
      </c>
      <c r="E4" s="54" t="s">
        <v>105</v>
      </c>
      <c r="G4" s="61" t="s">
        <v>111</v>
      </c>
      <c r="H4" s="59"/>
      <c r="O4" s="70" t="str">
        <f>CONCATENATE("Mês/ano de referência: ",E5," de ",D5)</f>
        <v>Mês/ano de referência: dezembro de 2016</v>
      </c>
      <c r="P4" s="69"/>
      <c r="Q4" s="69"/>
      <c r="R4" s="69"/>
      <c r="S4" s="69"/>
      <c r="T4" s="69"/>
      <c r="U4" s="69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70" t="str">
        <f>O4</f>
        <v>Mês/ano de referência: dezembro de 2016</v>
      </c>
      <c r="BH4" s="69"/>
      <c r="BI4" s="69"/>
      <c r="BJ4" s="69"/>
      <c r="BK4" s="69"/>
      <c r="BL4" s="69"/>
      <c r="BM4" s="69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6"/>
    </row>
    <row r="5" spans="1:101" ht="12.75" customHeight="1" x14ac:dyDescent="0.2">
      <c r="C5" s="60" t="s">
        <v>82</v>
      </c>
      <c r="D5" s="157">
        <v>2016</v>
      </c>
      <c r="E5" s="159" t="s">
        <v>105</v>
      </c>
      <c r="G5" s="61"/>
      <c r="O5" s="154"/>
      <c r="P5" s="68" t="s">
        <v>155</v>
      </c>
      <c r="Q5" s="69"/>
      <c r="R5" s="69"/>
      <c r="S5" s="69"/>
      <c r="T5" s="69"/>
      <c r="U5" s="69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54" t="s">
        <v>14</v>
      </c>
      <c r="BH5" s="68" t="s">
        <v>155</v>
      </c>
      <c r="BI5" s="69"/>
      <c r="BJ5" s="69"/>
      <c r="BK5" s="69"/>
      <c r="BL5" s="69"/>
      <c r="BM5" s="69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6"/>
    </row>
    <row r="6" spans="1:101" ht="13.5" customHeight="1" x14ac:dyDescent="0.2">
      <c r="G6" s="61"/>
      <c r="O6" s="155"/>
      <c r="P6" s="70" t="str">
        <f>CONCATENATE("Safra ",D4," - Mês de ",E4)</f>
        <v>Safra 2015 - Mês de dezembro</v>
      </c>
      <c r="Q6" s="69"/>
      <c r="R6" s="69"/>
      <c r="S6" s="69"/>
      <c r="T6" s="69"/>
      <c r="U6" s="69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6"/>
      <c r="BG6" s="155"/>
      <c r="BH6" s="70" t="str">
        <f>CONCATENATE("Safra ",D5," - Mês de ",E5)</f>
        <v>Safra 2016 - Mês de dezembro</v>
      </c>
      <c r="BI6" s="69"/>
      <c r="BJ6" s="69"/>
      <c r="BK6" s="69"/>
      <c r="BL6" s="69"/>
      <c r="BM6" s="69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75"/>
      <c r="CS6" s="175"/>
      <c r="CT6" s="175"/>
      <c r="CU6" s="175"/>
      <c r="CV6" s="175"/>
      <c r="CW6" s="176"/>
    </row>
    <row r="7" spans="1:101" s="33" customFormat="1" ht="37.5" customHeight="1" thickBot="1" x14ac:dyDescent="0.3">
      <c r="B7" s="234" t="s">
        <v>73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72"/>
      <c r="O7" s="177" t="s">
        <v>14</v>
      </c>
      <c r="P7" s="6" t="s">
        <v>156</v>
      </c>
      <c r="Q7" s="6" t="s">
        <v>157</v>
      </c>
      <c r="R7" s="6" t="s">
        <v>158</v>
      </c>
      <c r="S7" s="6" t="s">
        <v>159</v>
      </c>
      <c r="T7" s="6" t="s">
        <v>160</v>
      </c>
      <c r="U7" s="6" t="s">
        <v>161</v>
      </c>
      <c r="V7" s="6" t="s">
        <v>162</v>
      </c>
      <c r="W7" s="6" t="s">
        <v>163</v>
      </c>
      <c r="X7" s="6" t="s">
        <v>164</v>
      </c>
      <c r="Y7" s="6" t="s">
        <v>165</v>
      </c>
      <c r="Z7" s="6" t="s">
        <v>166</v>
      </c>
      <c r="AA7" s="6" t="s">
        <v>167</v>
      </c>
      <c r="AB7" s="6" t="s">
        <v>168</v>
      </c>
      <c r="AC7" s="6" t="s">
        <v>169</v>
      </c>
      <c r="AD7" s="6" t="s">
        <v>170</v>
      </c>
      <c r="AE7" s="6" t="s">
        <v>171</v>
      </c>
      <c r="AF7" s="6" t="s">
        <v>172</v>
      </c>
      <c r="AG7" s="6" t="s">
        <v>173</v>
      </c>
      <c r="AH7" s="6" t="s">
        <v>174</v>
      </c>
      <c r="AI7" s="6" t="s">
        <v>175</v>
      </c>
      <c r="AJ7" s="6" t="s">
        <v>176</v>
      </c>
      <c r="AK7" s="6" t="s">
        <v>177</v>
      </c>
      <c r="AL7" s="6" t="s">
        <v>178</v>
      </c>
      <c r="AM7" s="6" t="s">
        <v>179</v>
      </c>
      <c r="AN7" s="6" t="s">
        <v>180</v>
      </c>
      <c r="AO7" s="6" t="s">
        <v>181</v>
      </c>
      <c r="AP7" s="6" t="s">
        <v>182</v>
      </c>
      <c r="AQ7" s="6" t="s">
        <v>183</v>
      </c>
      <c r="AR7" s="6" t="s">
        <v>184</v>
      </c>
      <c r="AS7" s="6" t="s">
        <v>185</v>
      </c>
      <c r="AT7" s="6" t="s">
        <v>186</v>
      </c>
      <c r="AU7" s="6" t="s">
        <v>187</v>
      </c>
      <c r="AV7" s="6" t="s">
        <v>188</v>
      </c>
      <c r="AW7" s="6" t="s">
        <v>189</v>
      </c>
      <c r="AX7" s="6" t="s">
        <v>190</v>
      </c>
      <c r="AY7" s="6" t="s">
        <v>191</v>
      </c>
      <c r="AZ7" s="6" t="s">
        <v>192</v>
      </c>
      <c r="BA7" s="6" t="s">
        <v>193</v>
      </c>
      <c r="BB7" s="6" t="s">
        <v>194</v>
      </c>
      <c r="BC7" s="6" t="s">
        <v>195</v>
      </c>
      <c r="BD7" s="6" t="s">
        <v>196</v>
      </c>
      <c r="BE7" s="6" t="s">
        <v>197</v>
      </c>
      <c r="BF7" s="6" t="s">
        <v>198</v>
      </c>
      <c r="BG7" s="6" t="s">
        <v>156</v>
      </c>
      <c r="BH7" s="6" t="s">
        <v>157</v>
      </c>
      <c r="BI7" s="6" t="s">
        <v>158</v>
      </c>
      <c r="BJ7" s="6" t="s">
        <v>159</v>
      </c>
      <c r="BK7" s="6" t="s">
        <v>160</v>
      </c>
      <c r="BL7" s="6" t="s">
        <v>161</v>
      </c>
      <c r="BM7" s="6" t="s">
        <v>162</v>
      </c>
      <c r="BN7" s="6" t="s">
        <v>163</v>
      </c>
      <c r="BO7" s="6" t="s">
        <v>164</v>
      </c>
      <c r="BP7" s="6" t="s">
        <v>165</v>
      </c>
      <c r="BQ7" s="6" t="s">
        <v>166</v>
      </c>
      <c r="BR7" s="6" t="s">
        <v>167</v>
      </c>
      <c r="BS7" s="6" t="s">
        <v>168</v>
      </c>
      <c r="BT7" s="6" t="s">
        <v>169</v>
      </c>
      <c r="BU7" s="6" t="s">
        <v>170</v>
      </c>
      <c r="BV7" s="6" t="s">
        <v>171</v>
      </c>
      <c r="BW7" s="6" t="s">
        <v>172</v>
      </c>
      <c r="BX7" s="6" t="s">
        <v>173</v>
      </c>
      <c r="BY7" s="6" t="s">
        <v>174</v>
      </c>
      <c r="BZ7" s="6" t="s">
        <v>175</v>
      </c>
      <c r="CA7" s="6" t="s">
        <v>176</v>
      </c>
      <c r="CB7" s="6" t="s">
        <v>177</v>
      </c>
      <c r="CC7" s="6" t="s">
        <v>178</v>
      </c>
      <c r="CD7" s="6" t="s">
        <v>179</v>
      </c>
      <c r="CE7" s="6" t="s">
        <v>180</v>
      </c>
      <c r="CF7" s="6" t="s">
        <v>181</v>
      </c>
      <c r="CG7" s="6" t="s">
        <v>182</v>
      </c>
      <c r="CH7" s="6" t="s">
        <v>183</v>
      </c>
      <c r="CI7" s="6" t="s">
        <v>184</v>
      </c>
      <c r="CJ7" s="6" t="s">
        <v>185</v>
      </c>
      <c r="CK7" s="6" t="s">
        <v>186</v>
      </c>
      <c r="CL7" s="6" t="s">
        <v>187</v>
      </c>
      <c r="CM7" s="6" t="s">
        <v>188</v>
      </c>
      <c r="CN7" s="6" t="s">
        <v>189</v>
      </c>
      <c r="CO7" s="6" t="s">
        <v>190</v>
      </c>
      <c r="CP7" s="6" t="s">
        <v>191</v>
      </c>
      <c r="CQ7" s="6" t="s">
        <v>192</v>
      </c>
      <c r="CR7" s="6" t="s">
        <v>193</v>
      </c>
      <c r="CS7" s="6" t="s">
        <v>194</v>
      </c>
      <c r="CT7" s="6" t="s">
        <v>195</v>
      </c>
      <c r="CU7" s="6" t="s">
        <v>196</v>
      </c>
      <c r="CV7" s="6" t="s">
        <v>197</v>
      </c>
      <c r="CW7" s="6" t="s">
        <v>198</v>
      </c>
    </row>
    <row r="8" spans="1:101" ht="13.5" customHeight="1" thickTop="1" x14ac:dyDescent="0.2">
      <c r="L8" s="71"/>
      <c r="M8" s="2" t="str">
        <f>IF(P8=N8,"OK","Error")</f>
        <v>OK</v>
      </c>
      <c r="N8" s="195">
        <f>SUM(Q8:AH8)</f>
        <v>1677360</v>
      </c>
      <c r="O8" s="270" t="s">
        <v>15</v>
      </c>
      <c r="P8" s="271">
        <v>1677360</v>
      </c>
      <c r="Q8" s="272" t="s">
        <v>0</v>
      </c>
      <c r="R8" s="272">
        <v>42</v>
      </c>
      <c r="S8" s="272" t="s">
        <v>0</v>
      </c>
      <c r="T8" s="271">
        <v>122321</v>
      </c>
      <c r="U8" s="272" t="s">
        <v>0</v>
      </c>
      <c r="V8" s="272" t="s">
        <v>0</v>
      </c>
      <c r="W8" s="272" t="s">
        <v>0</v>
      </c>
      <c r="X8" s="271">
        <v>19475</v>
      </c>
      <c r="Y8" s="272" t="s">
        <v>0</v>
      </c>
      <c r="Z8" s="272" t="s">
        <v>0</v>
      </c>
      <c r="AA8" s="272" t="s">
        <v>0</v>
      </c>
      <c r="AB8" s="272" t="s">
        <v>0</v>
      </c>
      <c r="AC8" s="271">
        <v>91696</v>
      </c>
      <c r="AD8" s="271">
        <v>695397</v>
      </c>
      <c r="AE8" s="271">
        <v>748429</v>
      </c>
      <c r="AF8" s="272" t="s">
        <v>0</v>
      </c>
      <c r="AG8" s="272" t="s">
        <v>0</v>
      </c>
      <c r="AH8" s="272" t="s">
        <v>0</v>
      </c>
      <c r="AI8" s="271">
        <v>17378</v>
      </c>
      <c r="AJ8" s="272" t="s">
        <v>0</v>
      </c>
      <c r="AK8" s="271">
        <v>77293</v>
      </c>
      <c r="AL8" s="272" t="s">
        <v>0</v>
      </c>
      <c r="AM8" s="272" t="s">
        <v>0</v>
      </c>
      <c r="AN8" s="272" t="s">
        <v>0</v>
      </c>
      <c r="AO8" s="271">
        <v>5706</v>
      </c>
      <c r="AP8" s="272" t="s">
        <v>0</v>
      </c>
      <c r="AQ8" s="271">
        <v>84734</v>
      </c>
      <c r="AR8" s="271">
        <v>159383</v>
      </c>
      <c r="AS8" s="272" t="s">
        <v>0</v>
      </c>
      <c r="AT8" s="272" t="s">
        <v>0</v>
      </c>
      <c r="AU8" s="271">
        <v>1333</v>
      </c>
      <c r="AV8" s="272" t="s">
        <v>0</v>
      </c>
      <c r="AW8" s="272">
        <v>37</v>
      </c>
      <c r="AX8" s="272" t="s">
        <v>0</v>
      </c>
      <c r="AY8" s="271">
        <v>6527</v>
      </c>
      <c r="AZ8" s="272" t="s">
        <v>0</v>
      </c>
      <c r="BA8" s="272" t="s">
        <v>0</v>
      </c>
      <c r="BB8" s="271">
        <v>573960</v>
      </c>
      <c r="BC8" s="272">
        <v>42</v>
      </c>
      <c r="BD8" s="272" t="s">
        <v>0</v>
      </c>
      <c r="BE8" s="271">
        <v>2542</v>
      </c>
      <c r="BF8" s="272">
        <v>197</v>
      </c>
      <c r="BG8" s="271">
        <v>1515379</v>
      </c>
      <c r="BH8" s="272" t="s">
        <v>0</v>
      </c>
      <c r="BI8" s="272">
        <v>42</v>
      </c>
      <c r="BJ8" s="272" t="s">
        <v>0</v>
      </c>
      <c r="BK8" s="271">
        <v>138175</v>
      </c>
      <c r="BL8" s="272" t="s">
        <v>0</v>
      </c>
      <c r="BM8" s="272" t="s">
        <v>0</v>
      </c>
      <c r="BN8" s="272" t="s">
        <v>0</v>
      </c>
      <c r="BO8" s="271">
        <v>13323</v>
      </c>
      <c r="BP8" s="272" t="s">
        <v>0</v>
      </c>
      <c r="BQ8" s="272" t="s">
        <v>0</v>
      </c>
      <c r="BR8" s="272" t="s">
        <v>0</v>
      </c>
      <c r="BS8" s="272" t="s">
        <v>0</v>
      </c>
      <c r="BT8" s="271">
        <v>98960</v>
      </c>
      <c r="BU8" s="271">
        <v>503451</v>
      </c>
      <c r="BV8" s="271">
        <v>761428</v>
      </c>
      <c r="BW8" s="272" t="s">
        <v>0</v>
      </c>
      <c r="BX8" s="272" t="s">
        <v>0</v>
      </c>
      <c r="BY8" s="272" t="s">
        <v>0</v>
      </c>
      <c r="BZ8" s="271">
        <v>17378</v>
      </c>
      <c r="CA8" s="272" t="s">
        <v>0</v>
      </c>
      <c r="CB8" s="271">
        <v>76603</v>
      </c>
      <c r="CC8" s="272" t="s">
        <v>0</v>
      </c>
      <c r="CD8" s="272" t="s">
        <v>0</v>
      </c>
      <c r="CE8" s="272" t="s">
        <v>0</v>
      </c>
      <c r="CF8" s="271">
        <v>5272</v>
      </c>
      <c r="CG8" s="272" t="s">
        <v>0</v>
      </c>
      <c r="CH8" s="271">
        <v>90332</v>
      </c>
      <c r="CI8" s="271">
        <v>159383</v>
      </c>
      <c r="CJ8" s="272" t="s">
        <v>0</v>
      </c>
      <c r="CK8" s="272" t="s">
        <v>0</v>
      </c>
      <c r="CL8" s="271">
        <v>1333</v>
      </c>
      <c r="CM8" s="272" t="s">
        <v>0</v>
      </c>
      <c r="CN8" s="272">
        <v>37</v>
      </c>
      <c r="CO8" s="272" t="s">
        <v>0</v>
      </c>
      <c r="CP8" s="271">
        <v>6527</v>
      </c>
      <c r="CQ8" s="272" t="s">
        <v>0</v>
      </c>
      <c r="CR8" s="272" t="s">
        <v>0</v>
      </c>
      <c r="CS8" s="271">
        <v>664928</v>
      </c>
      <c r="CT8" s="272">
        <v>42</v>
      </c>
      <c r="CU8" s="272" t="s">
        <v>0</v>
      </c>
      <c r="CV8" s="271">
        <v>2542</v>
      </c>
      <c r="CW8" s="273">
        <v>197</v>
      </c>
    </row>
    <row r="9" spans="1:101" ht="13.5" customHeight="1" x14ac:dyDescent="0.2">
      <c r="C9" s="242" t="s">
        <v>41</v>
      </c>
      <c r="D9" s="243"/>
      <c r="E9" s="244"/>
      <c r="F9" s="9"/>
      <c r="G9" s="9"/>
      <c r="H9" s="9"/>
      <c r="I9" s="239" t="s">
        <v>5</v>
      </c>
      <c r="J9" s="240"/>
      <c r="K9" s="241"/>
      <c r="L9" s="9"/>
      <c r="M9" s="2" t="str">
        <f t="shared" ref="M9:M34" si="0">IF(P9=N9,"OK","Error")</f>
        <v>OK</v>
      </c>
      <c r="N9" s="195">
        <f t="shared" ref="N9:N34" si="1">SUM(Q9:AH9)</f>
        <v>106297</v>
      </c>
      <c r="O9" s="274" t="s">
        <v>16</v>
      </c>
      <c r="P9" s="268">
        <v>106297</v>
      </c>
      <c r="Q9" s="269" t="s">
        <v>0</v>
      </c>
      <c r="R9" s="269">
        <v>443</v>
      </c>
      <c r="S9" s="269" t="s">
        <v>0</v>
      </c>
      <c r="T9" s="268">
        <v>7144</v>
      </c>
      <c r="U9" s="269" t="s">
        <v>0</v>
      </c>
      <c r="V9" s="269" t="s">
        <v>0</v>
      </c>
      <c r="W9" s="269" t="s">
        <v>0</v>
      </c>
      <c r="X9" s="269" t="s">
        <v>0</v>
      </c>
      <c r="Y9" s="268">
        <v>4226</v>
      </c>
      <c r="Z9" s="269" t="s">
        <v>0</v>
      </c>
      <c r="AA9" s="269" t="s">
        <v>0</v>
      </c>
      <c r="AB9" s="269" t="s">
        <v>0</v>
      </c>
      <c r="AC9" s="268">
        <v>93389</v>
      </c>
      <c r="AD9" s="268">
        <v>1094</v>
      </c>
      <c r="AE9" s="269">
        <v>1</v>
      </c>
      <c r="AF9" s="269" t="s">
        <v>0</v>
      </c>
      <c r="AG9" s="269" t="s">
        <v>0</v>
      </c>
      <c r="AH9" s="269" t="s">
        <v>0</v>
      </c>
      <c r="AI9" s="268">
        <v>7700</v>
      </c>
      <c r="AJ9" s="269" t="s">
        <v>0</v>
      </c>
      <c r="AK9" s="268">
        <v>106268</v>
      </c>
      <c r="AL9" s="269" t="s">
        <v>0</v>
      </c>
      <c r="AM9" s="269" t="s">
        <v>0</v>
      </c>
      <c r="AN9" s="269" t="s">
        <v>0</v>
      </c>
      <c r="AO9" s="269" t="s">
        <v>0</v>
      </c>
      <c r="AP9" s="269" t="s">
        <v>0</v>
      </c>
      <c r="AQ9" s="268">
        <v>2229</v>
      </c>
      <c r="AR9" s="268">
        <v>197376</v>
      </c>
      <c r="AS9" s="269" t="s">
        <v>0</v>
      </c>
      <c r="AT9" s="269" t="s">
        <v>0</v>
      </c>
      <c r="AU9" s="268">
        <v>1427</v>
      </c>
      <c r="AV9" s="269">
        <v>242</v>
      </c>
      <c r="AW9" s="269">
        <v>2</v>
      </c>
      <c r="AX9" s="269" t="s">
        <v>0</v>
      </c>
      <c r="AY9" s="268">
        <v>8686</v>
      </c>
      <c r="AZ9" s="269" t="s">
        <v>0</v>
      </c>
      <c r="BA9" s="269" t="s">
        <v>0</v>
      </c>
      <c r="BB9" s="268">
        <v>1122578</v>
      </c>
      <c r="BC9" s="269" t="s">
        <v>0</v>
      </c>
      <c r="BD9" s="269" t="s">
        <v>0</v>
      </c>
      <c r="BE9" s="269" t="s">
        <v>0</v>
      </c>
      <c r="BF9" s="269" t="s">
        <v>0</v>
      </c>
      <c r="BG9" s="268">
        <v>93259</v>
      </c>
      <c r="BH9" s="269" t="s">
        <v>0</v>
      </c>
      <c r="BI9" s="269">
        <v>398</v>
      </c>
      <c r="BJ9" s="269" t="s">
        <v>0</v>
      </c>
      <c r="BK9" s="268">
        <v>6362</v>
      </c>
      <c r="BL9" s="269" t="s">
        <v>0</v>
      </c>
      <c r="BM9" s="269" t="s">
        <v>0</v>
      </c>
      <c r="BN9" s="269" t="s">
        <v>0</v>
      </c>
      <c r="BO9" s="269" t="s">
        <v>0</v>
      </c>
      <c r="BP9" s="268">
        <v>4286</v>
      </c>
      <c r="BQ9" s="269" t="s">
        <v>0</v>
      </c>
      <c r="BR9" s="269" t="s">
        <v>0</v>
      </c>
      <c r="BS9" s="269" t="s">
        <v>0</v>
      </c>
      <c r="BT9" s="268">
        <v>80921</v>
      </c>
      <c r="BU9" s="268">
        <v>1142</v>
      </c>
      <c r="BV9" s="269">
        <v>150</v>
      </c>
      <c r="BW9" s="269" t="s">
        <v>0</v>
      </c>
      <c r="BX9" s="269" t="s">
        <v>0</v>
      </c>
      <c r="BY9" s="269" t="s">
        <v>0</v>
      </c>
      <c r="BZ9" s="268">
        <v>8939</v>
      </c>
      <c r="CA9" s="269" t="s">
        <v>0</v>
      </c>
      <c r="CB9" s="268">
        <v>114741</v>
      </c>
      <c r="CC9" s="269" t="s">
        <v>0</v>
      </c>
      <c r="CD9" s="269" t="s">
        <v>0</v>
      </c>
      <c r="CE9" s="269" t="s">
        <v>0</v>
      </c>
      <c r="CF9" s="269" t="s">
        <v>0</v>
      </c>
      <c r="CG9" s="269" t="s">
        <v>0</v>
      </c>
      <c r="CH9" s="268">
        <v>2171</v>
      </c>
      <c r="CI9" s="268">
        <v>117436</v>
      </c>
      <c r="CJ9" s="269" t="s">
        <v>0</v>
      </c>
      <c r="CK9" s="269" t="s">
        <v>0</v>
      </c>
      <c r="CL9" s="268">
        <v>1557</v>
      </c>
      <c r="CM9" s="269">
        <v>171</v>
      </c>
      <c r="CN9" s="269">
        <v>2</v>
      </c>
      <c r="CO9" s="269" t="s">
        <v>0</v>
      </c>
      <c r="CP9" s="268">
        <v>8766</v>
      </c>
      <c r="CQ9" s="269" t="s">
        <v>0</v>
      </c>
      <c r="CR9" s="269" t="s">
        <v>0</v>
      </c>
      <c r="CS9" s="268">
        <v>1147596</v>
      </c>
      <c r="CT9" s="269" t="s">
        <v>0</v>
      </c>
      <c r="CU9" s="269" t="s">
        <v>0</v>
      </c>
      <c r="CV9" s="269" t="s">
        <v>0</v>
      </c>
      <c r="CW9" s="275" t="s">
        <v>0</v>
      </c>
    </row>
    <row r="10" spans="1:101" ht="13.5" customHeight="1" x14ac:dyDescent="0.2">
      <c r="B10" s="6" t="s">
        <v>88</v>
      </c>
      <c r="C10" s="247" t="s">
        <v>75</v>
      </c>
      <c r="D10" s="248"/>
      <c r="E10" s="249"/>
      <c r="H10" s="6" t="s">
        <v>88</v>
      </c>
      <c r="I10" s="250" t="str">
        <f>C10</f>
        <v>Todos os produtos</v>
      </c>
      <c r="J10" s="251"/>
      <c r="K10" s="252"/>
      <c r="L10" s="6" t="s">
        <v>89</v>
      </c>
      <c r="M10" s="2" t="str">
        <f t="shared" si="0"/>
        <v>OK</v>
      </c>
      <c r="N10" s="195">
        <f t="shared" si="1"/>
        <v>23349</v>
      </c>
      <c r="O10" s="274" t="s">
        <v>17</v>
      </c>
      <c r="P10" s="268">
        <v>23349</v>
      </c>
      <c r="Q10" s="269" t="s">
        <v>0</v>
      </c>
      <c r="R10" s="269" t="s">
        <v>0</v>
      </c>
      <c r="S10" s="269" t="s">
        <v>0</v>
      </c>
      <c r="T10" s="268">
        <v>4099</v>
      </c>
      <c r="U10" s="269" t="s">
        <v>0</v>
      </c>
      <c r="V10" s="269" t="s">
        <v>0</v>
      </c>
      <c r="W10" s="269" t="s">
        <v>0</v>
      </c>
      <c r="X10" s="268">
        <v>2121</v>
      </c>
      <c r="Y10" s="269">
        <v>308</v>
      </c>
      <c r="Z10" s="269">
        <v>5</v>
      </c>
      <c r="AA10" s="269" t="s">
        <v>0</v>
      </c>
      <c r="AB10" s="269" t="s">
        <v>0</v>
      </c>
      <c r="AC10" s="268">
        <v>16577</v>
      </c>
      <c r="AD10" s="269">
        <v>239</v>
      </c>
      <c r="AE10" s="269" t="s">
        <v>0</v>
      </c>
      <c r="AF10" s="269" t="s">
        <v>0</v>
      </c>
      <c r="AG10" s="269" t="s">
        <v>0</v>
      </c>
      <c r="AH10" s="269" t="s">
        <v>0</v>
      </c>
      <c r="AI10" s="268">
        <v>69090</v>
      </c>
      <c r="AJ10" s="269" t="s">
        <v>0</v>
      </c>
      <c r="AK10" s="268">
        <v>73444</v>
      </c>
      <c r="AL10" s="269" t="s">
        <v>0</v>
      </c>
      <c r="AM10" s="269" t="s">
        <v>0</v>
      </c>
      <c r="AN10" s="269" t="s">
        <v>0</v>
      </c>
      <c r="AO10" s="268">
        <v>2109</v>
      </c>
      <c r="AP10" s="269">
        <v>39</v>
      </c>
      <c r="AQ10" s="268">
        <v>1972</v>
      </c>
      <c r="AR10" s="268">
        <v>232389</v>
      </c>
      <c r="AS10" s="269" t="s">
        <v>0</v>
      </c>
      <c r="AT10" s="269" t="s">
        <v>0</v>
      </c>
      <c r="AU10" s="268">
        <v>5552</v>
      </c>
      <c r="AV10" s="269" t="s">
        <v>0</v>
      </c>
      <c r="AW10" s="269">
        <v>662</v>
      </c>
      <c r="AX10" s="269" t="s">
        <v>0</v>
      </c>
      <c r="AY10" s="268">
        <v>55837</v>
      </c>
      <c r="AZ10" s="269" t="s">
        <v>0</v>
      </c>
      <c r="BA10" s="268">
        <v>3812</v>
      </c>
      <c r="BB10" s="268">
        <v>801299</v>
      </c>
      <c r="BC10" s="269">
        <v>95</v>
      </c>
      <c r="BD10" s="269" t="s">
        <v>0</v>
      </c>
      <c r="BE10" s="269">
        <v>249</v>
      </c>
      <c r="BF10" s="269" t="s">
        <v>0</v>
      </c>
      <c r="BG10" s="268">
        <v>38819</v>
      </c>
      <c r="BH10" s="269" t="s">
        <v>0</v>
      </c>
      <c r="BI10" s="269" t="s">
        <v>0</v>
      </c>
      <c r="BJ10" s="269" t="s">
        <v>0</v>
      </c>
      <c r="BK10" s="268">
        <v>4516</v>
      </c>
      <c r="BL10" s="269" t="s">
        <v>0</v>
      </c>
      <c r="BM10" s="269" t="s">
        <v>0</v>
      </c>
      <c r="BN10" s="269" t="s">
        <v>0</v>
      </c>
      <c r="BO10" s="268">
        <v>4205</v>
      </c>
      <c r="BP10" s="268">
        <v>4919</v>
      </c>
      <c r="BQ10" s="269">
        <v>5</v>
      </c>
      <c r="BR10" s="269" t="s">
        <v>0</v>
      </c>
      <c r="BS10" s="269" t="s">
        <v>0</v>
      </c>
      <c r="BT10" s="268">
        <v>24935</v>
      </c>
      <c r="BU10" s="269">
        <v>239</v>
      </c>
      <c r="BV10" s="269" t="s">
        <v>0</v>
      </c>
      <c r="BW10" s="269" t="s">
        <v>0</v>
      </c>
      <c r="BX10" s="269" t="s">
        <v>0</v>
      </c>
      <c r="BY10" s="269" t="s">
        <v>0</v>
      </c>
      <c r="BZ10" s="268">
        <v>83574</v>
      </c>
      <c r="CA10" s="269" t="s">
        <v>0</v>
      </c>
      <c r="CB10" s="268">
        <v>92557</v>
      </c>
      <c r="CC10" s="269" t="s">
        <v>0</v>
      </c>
      <c r="CD10" s="269" t="s">
        <v>0</v>
      </c>
      <c r="CE10" s="269" t="s">
        <v>0</v>
      </c>
      <c r="CF10" s="268">
        <v>1304</v>
      </c>
      <c r="CG10" s="268">
        <v>1835</v>
      </c>
      <c r="CH10" s="268">
        <v>1835</v>
      </c>
      <c r="CI10" s="268">
        <v>303971</v>
      </c>
      <c r="CJ10" s="269" t="s">
        <v>0</v>
      </c>
      <c r="CK10" s="269" t="s">
        <v>0</v>
      </c>
      <c r="CL10" s="268">
        <v>7186</v>
      </c>
      <c r="CM10" s="269" t="s">
        <v>0</v>
      </c>
      <c r="CN10" s="269">
        <v>855</v>
      </c>
      <c r="CO10" s="269" t="s">
        <v>0</v>
      </c>
      <c r="CP10" s="268">
        <v>57346</v>
      </c>
      <c r="CQ10" s="269" t="s">
        <v>0</v>
      </c>
      <c r="CR10" s="268">
        <v>12950</v>
      </c>
      <c r="CS10" s="268">
        <v>1665434</v>
      </c>
      <c r="CT10" s="269">
        <v>147</v>
      </c>
      <c r="CU10" s="269" t="s">
        <v>0</v>
      </c>
      <c r="CV10" s="269">
        <v>249</v>
      </c>
      <c r="CW10" s="275" t="s">
        <v>0</v>
      </c>
    </row>
    <row r="11" spans="1:101" ht="13.5" customHeight="1" x14ac:dyDescent="0.2">
      <c r="B11" s="6" t="s">
        <v>4</v>
      </c>
      <c r="C11" s="257" t="s">
        <v>87</v>
      </c>
      <c r="D11" s="258"/>
      <c r="E11" s="259"/>
      <c r="F11" s="9"/>
      <c r="G11" s="9"/>
      <c r="H11" s="6" t="s">
        <v>4</v>
      </c>
      <c r="I11" s="257" t="str">
        <f>C11</f>
        <v xml:space="preserve"> (cereais, leguminosas e oleaginosas)</v>
      </c>
      <c r="J11" s="258"/>
      <c r="K11" s="259"/>
      <c r="L11" s="6" t="s">
        <v>90</v>
      </c>
      <c r="M11" s="2" t="str">
        <f t="shared" si="0"/>
        <v>Error</v>
      </c>
      <c r="N11" s="195">
        <f>SUM(Q11:AH11)</f>
        <v>127505</v>
      </c>
      <c r="O11" s="274" t="s">
        <v>18</v>
      </c>
      <c r="P11" s="268">
        <v>127031</v>
      </c>
      <c r="Q11" s="268">
        <v>1215</v>
      </c>
      <c r="R11" s="269" t="s">
        <v>0</v>
      </c>
      <c r="S11" s="269" t="s">
        <v>0</v>
      </c>
      <c r="T11" s="268">
        <v>53003</v>
      </c>
      <c r="U11" s="269" t="s">
        <v>0</v>
      </c>
      <c r="V11" s="269" t="s">
        <v>0</v>
      </c>
      <c r="W11" s="269" t="s">
        <v>0</v>
      </c>
      <c r="X11" s="268">
        <v>1964</v>
      </c>
      <c r="Y11" s="269" t="s">
        <v>0</v>
      </c>
      <c r="Z11" s="269" t="s">
        <v>0</v>
      </c>
      <c r="AA11" s="269" t="s">
        <v>0</v>
      </c>
      <c r="AB11" s="269" t="s">
        <v>0</v>
      </c>
      <c r="AC11" s="268">
        <v>14028</v>
      </c>
      <c r="AD11" s="268">
        <v>1500</v>
      </c>
      <c r="AE11" s="268">
        <v>55795</v>
      </c>
      <c r="AF11" s="269" t="s">
        <v>0</v>
      </c>
      <c r="AG11" s="269" t="s">
        <v>0</v>
      </c>
      <c r="AH11" s="269" t="s">
        <v>0</v>
      </c>
      <c r="AI11" s="268">
        <v>4270</v>
      </c>
      <c r="AJ11" s="269" t="s">
        <v>0</v>
      </c>
      <c r="AK11" s="268">
        <v>115521</v>
      </c>
      <c r="AL11" s="269" t="s">
        <v>0</v>
      </c>
      <c r="AM11" s="269" t="s">
        <v>0</v>
      </c>
      <c r="AN11" s="269" t="s">
        <v>0</v>
      </c>
      <c r="AO11" s="269">
        <v>15</v>
      </c>
      <c r="AP11" s="269" t="s">
        <v>0</v>
      </c>
      <c r="AQ11" s="269" t="s">
        <v>0</v>
      </c>
      <c r="AR11" s="268">
        <v>3975</v>
      </c>
      <c r="AS11" s="269" t="s">
        <v>0</v>
      </c>
      <c r="AT11" s="269" t="s">
        <v>0</v>
      </c>
      <c r="AU11" s="269">
        <v>578</v>
      </c>
      <c r="AV11" s="269" t="s">
        <v>0</v>
      </c>
      <c r="AW11" s="269" t="s">
        <v>0</v>
      </c>
      <c r="AX11" s="269" t="s">
        <v>0</v>
      </c>
      <c r="AY11" s="268">
        <v>24595</v>
      </c>
      <c r="AZ11" s="269" t="s">
        <v>0</v>
      </c>
      <c r="BA11" s="269" t="s">
        <v>0</v>
      </c>
      <c r="BB11" s="268">
        <v>176754</v>
      </c>
      <c r="BC11" s="269" t="s">
        <v>0</v>
      </c>
      <c r="BD11" s="269" t="s">
        <v>0</v>
      </c>
      <c r="BE11" s="268">
        <v>4067</v>
      </c>
      <c r="BF11" s="269" t="s">
        <v>0</v>
      </c>
      <c r="BG11" s="268">
        <v>126860</v>
      </c>
      <c r="BH11" s="268">
        <v>1215</v>
      </c>
      <c r="BI11" s="269" t="s">
        <v>0</v>
      </c>
      <c r="BJ11" s="269" t="s">
        <v>0</v>
      </c>
      <c r="BK11" s="268">
        <v>54755</v>
      </c>
      <c r="BL11" s="269" t="s">
        <v>0</v>
      </c>
      <c r="BM11" s="269" t="s">
        <v>0</v>
      </c>
      <c r="BN11" s="269" t="s">
        <v>0</v>
      </c>
      <c r="BO11" s="268">
        <v>1955</v>
      </c>
      <c r="BP11" s="269" t="s">
        <v>0</v>
      </c>
      <c r="BQ11" s="269" t="s">
        <v>0</v>
      </c>
      <c r="BR11" s="269" t="s">
        <v>0</v>
      </c>
      <c r="BS11" s="269" t="s">
        <v>0</v>
      </c>
      <c r="BT11" s="268">
        <v>14853</v>
      </c>
      <c r="BU11" s="268">
        <v>1500</v>
      </c>
      <c r="BV11" s="268">
        <v>53056</v>
      </c>
      <c r="BW11" s="269" t="s">
        <v>0</v>
      </c>
      <c r="BX11" s="269" t="s">
        <v>0</v>
      </c>
      <c r="BY11" s="269" t="s">
        <v>0</v>
      </c>
      <c r="BZ11" s="268">
        <v>4539</v>
      </c>
      <c r="CA11" s="269" t="s">
        <v>0</v>
      </c>
      <c r="CB11" s="268">
        <v>117577</v>
      </c>
      <c r="CC11" s="269" t="s">
        <v>0</v>
      </c>
      <c r="CD11" s="269" t="s">
        <v>0</v>
      </c>
      <c r="CE11" s="269" t="s">
        <v>0</v>
      </c>
      <c r="CF11" s="269">
        <v>8</v>
      </c>
      <c r="CG11" s="269" t="s">
        <v>0</v>
      </c>
      <c r="CH11" s="269" t="s">
        <v>0</v>
      </c>
      <c r="CI11" s="268">
        <v>3976</v>
      </c>
      <c r="CJ11" s="269" t="s">
        <v>0</v>
      </c>
      <c r="CK11" s="269" t="s">
        <v>0</v>
      </c>
      <c r="CL11" s="269">
        <v>578</v>
      </c>
      <c r="CM11" s="269" t="s">
        <v>0</v>
      </c>
      <c r="CN11" s="269" t="s">
        <v>0</v>
      </c>
      <c r="CO11" s="269" t="s">
        <v>0</v>
      </c>
      <c r="CP11" s="268">
        <v>21871</v>
      </c>
      <c r="CQ11" s="269" t="s">
        <v>0</v>
      </c>
      <c r="CR11" s="269" t="s">
        <v>0</v>
      </c>
      <c r="CS11" s="268">
        <v>179010</v>
      </c>
      <c r="CT11" s="269" t="s">
        <v>0</v>
      </c>
      <c r="CU11" s="269" t="s">
        <v>0</v>
      </c>
      <c r="CV11" s="268">
        <v>4689</v>
      </c>
      <c r="CW11" s="275" t="s">
        <v>0</v>
      </c>
    </row>
    <row r="12" spans="1:101" ht="13.5" customHeight="1" x14ac:dyDescent="0.2">
      <c r="B12" s="128">
        <f>SUMIF(C14:C40,"Goiás",B14:B40)</f>
        <v>4</v>
      </c>
      <c r="C12" s="237" t="s">
        <v>14</v>
      </c>
      <c r="D12" s="253" t="str">
        <f>CONCATENATE("Safra ",D4," (",E4,")")</f>
        <v>Safra 2015 (dezembro)</v>
      </c>
      <c r="E12" s="255" t="str">
        <f>CONCATENATE("Safra ",D5," (",E5,")")</f>
        <v>Safra 2016 (dezembro)</v>
      </c>
      <c r="F12" s="5">
        <f>COUNTIF(E14:E40,"&gt;0")</f>
        <v>27</v>
      </c>
      <c r="G12" s="9"/>
      <c r="H12" s="128">
        <f>SUMIF(I14:I40,"Goiás",H14:H40)</f>
        <v>4</v>
      </c>
      <c r="I12" s="237" t="s">
        <v>14</v>
      </c>
      <c r="J12" s="253" t="str">
        <f>D12</f>
        <v>Safra 2015 (dezembro)</v>
      </c>
      <c r="K12" s="255" t="str">
        <f>E12</f>
        <v>Safra 2016 (dezembro)</v>
      </c>
      <c r="L12" s="129">
        <f>COUNTIF(K14:K40,"&gt;0")</f>
        <v>27</v>
      </c>
      <c r="M12" s="2" t="str">
        <f t="shared" si="0"/>
        <v>OK</v>
      </c>
      <c r="N12" s="195">
        <f t="shared" si="1"/>
        <v>1990621</v>
      </c>
      <c r="O12" s="274" t="s">
        <v>19</v>
      </c>
      <c r="P12" s="268">
        <v>1990621</v>
      </c>
      <c r="Q12" s="269" t="s">
        <v>0</v>
      </c>
      <c r="R12" s="269">
        <v>114</v>
      </c>
      <c r="S12" s="269" t="s">
        <v>0</v>
      </c>
      <c r="T12" s="268">
        <v>168368</v>
      </c>
      <c r="U12" s="269" t="s">
        <v>0</v>
      </c>
      <c r="V12" s="269" t="s">
        <v>0</v>
      </c>
      <c r="W12" s="269" t="s">
        <v>0</v>
      </c>
      <c r="X12" s="268">
        <v>9884</v>
      </c>
      <c r="Y12" s="268">
        <v>14916</v>
      </c>
      <c r="Z12" s="269" t="s">
        <v>0</v>
      </c>
      <c r="AA12" s="269" t="s">
        <v>0</v>
      </c>
      <c r="AB12" s="269" t="s">
        <v>0</v>
      </c>
      <c r="AC12" s="268">
        <v>636295</v>
      </c>
      <c r="AD12" s="268">
        <v>123367</v>
      </c>
      <c r="AE12" s="268">
        <v>1022677</v>
      </c>
      <c r="AF12" s="268">
        <v>15000</v>
      </c>
      <c r="AG12" s="269" t="s">
        <v>0</v>
      </c>
      <c r="AH12" s="269" t="s">
        <v>0</v>
      </c>
      <c r="AI12" s="268">
        <v>372686</v>
      </c>
      <c r="AJ12" s="269" t="s">
        <v>0</v>
      </c>
      <c r="AK12" s="268">
        <v>595527</v>
      </c>
      <c r="AL12" s="269" t="s">
        <v>0</v>
      </c>
      <c r="AM12" s="269" t="s">
        <v>0</v>
      </c>
      <c r="AN12" s="269" t="s">
        <v>0</v>
      </c>
      <c r="AO12" s="268">
        <v>105914</v>
      </c>
      <c r="AP12" s="269" t="s">
        <v>0</v>
      </c>
      <c r="AQ12" s="269">
        <v>993</v>
      </c>
      <c r="AR12" s="268">
        <v>918297</v>
      </c>
      <c r="AS12" s="268">
        <v>1651</v>
      </c>
      <c r="AT12" s="269" t="s">
        <v>0</v>
      </c>
      <c r="AU12" s="268">
        <v>205691</v>
      </c>
      <c r="AV12" s="269">
        <v>17</v>
      </c>
      <c r="AW12" s="269">
        <v>13</v>
      </c>
      <c r="AX12" s="269" t="s">
        <v>0</v>
      </c>
      <c r="AY12" s="268">
        <v>201212</v>
      </c>
      <c r="AZ12" s="269" t="s">
        <v>0</v>
      </c>
      <c r="BA12" s="268">
        <v>1105</v>
      </c>
      <c r="BB12" s="268">
        <v>4695735</v>
      </c>
      <c r="BC12" s="268">
        <v>32414</v>
      </c>
      <c r="BD12" s="269" t="s">
        <v>0</v>
      </c>
      <c r="BE12" s="268">
        <v>9315</v>
      </c>
      <c r="BF12" s="269" t="s">
        <v>0</v>
      </c>
      <c r="BG12" s="268">
        <v>2166910</v>
      </c>
      <c r="BH12" s="269" t="s">
        <v>0</v>
      </c>
      <c r="BI12" s="269">
        <v>76</v>
      </c>
      <c r="BJ12" s="269" t="s">
        <v>0</v>
      </c>
      <c r="BK12" s="268">
        <v>180677</v>
      </c>
      <c r="BL12" s="269" t="s">
        <v>0</v>
      </c>
      <c r="BM12" s="269" t="s">
        <v>0</v>
      </c>
      <c r="BN12" s="269" t="s">
        <v>0</v>
      </c>
      <c r="BO12" s="268">
        <v>10075</v>
      </c>
      <c r="BP12" s="268">
        <v>14903</v>
      </c>
      <c r="BQ12" s="269" t="s">
        <v>0</v>
      </c>
      <c r="BR12" s="269" t="s">
        <v>0</v>
      </c>
      <c r="BS12" s="269" t="s">
        <v>0</v>
      </c>
      <c r="BT12" s="268">
        <v>557602</v>
      </c>
      <c r="BU12" s="268">
        <v>84327</v>
      </c>
      <c r="BV12" s="268">
        <v>1303398</v>
      </c>
      <c r="BW12" s="268">
        <v>15852</v>
      </c>
      <c r="BX12" s="269" t="s">
        <v>0</v>
      </c>
      <c r="BY12" s="269" t="s">
        <v>0</v>
      </c>
      <c r="BZ12" s="268">
        <v>399282</v>
      </c>
      <c r="CA12" s="269" t="s">
        <v>0</v>
      </c>
      <c r="CB12" s="268">
        <v>504847</v>
      </c>
      <c r="CC12" s="269" t="s">
        <v>0</v>
      </c>
      <c r="CD12" s="269" t="s">
        <v>0</v>
      </c>
      <c r="CE12" s="269" t="s">
        <v>0</v>
      </c>
      <c r="CF12" s="268">
        <v>85826</v>
      </c>
      <c r="CG12" s="269" t="s">
        <v>0</v>
      </c>
      <c r="CH12" s="269">
        <v>424</v>
      </c>
      <c r="CI12" s="268">
        <v>917802</v>
      </c>
      <c r="CJ12" s="268">
        <v>1456</v>
      </c>
      <c r="CK12" s="269" t="s">
        <v>0</v>
      </c>
      <c r="CL12" s="268">
        <v>178380</v>
      </c>
      <c r="CM12" s="269">
        <v>15</v>
      </c>
      <c r="CN12" s="269">
        <v>12</v>
      </c>
      <c r="CO12" s="269" t="s">
        <v>0</v>
      </c>
      <c r="CP12" s="268">
        <v>191291</v>
      </c>
      <c r="CQ12" s="269" t="s">
        <v>0</v>
      </c>
      <c r="CR12" s="269">
        <v>595</v>
      </c>
      <c r="CS12" s="268">
        <v>6034713</v>
      </c>
      <c r="CT12" s="268">
        <v>35845</v>
      </c>
      <c r="CU12" s="269" t="s">
        <v>0</v>
      </c>
      <c r="CV12" s="268">
        <v>6580</v>
      </c>
      <c r="CW12" s="275" t="s">
        <v>0</v>
      </c>
    </row>
    <row r="13" spans="1:101" ht="13.5" customHeight="1" x14ac:dyDescent="0.2">
      <c r="B13" s="6" t="s">
        <v>67</v>
      </c>
      <c r="C13" s="266"/>
      <c r="D13" s="254"/>
      <c r="E13" s="256"/>
      <c r="F13" s="37" t="s">
        <v>66</v>
      </c>
      <c r="G13" s="9"/>
      <c r="H13" s="37" t="s">
        <v>67</v>
      </c>
      <c r="I13" s="238"/>
      <c r="J13" s="254"/>
      <c r="K13" s="256"/>
      <c r="L13" s="37" t="s">
        <v>66</v>
      </c>
      <c r="M13" s="2" t="str">
        <f t="shared" si="0"/>
        <v>OK</v>
      </c>
      <c r="N13" s="195">
        <f t="shared" si="1"/>
        <v>33600</v>
      </c>
      <c r="O13" s="274" t="s">
        <v>20</v>
      </c>
      <c r="P13" s="268">
        <v>33600</v>
      </c>
      <c r="Q13" s="269" t="s">
        <v>0</v>
      </c>
      <c r="R13" s="269" t="s">
        <v>0</v>
      </c>
      <c r="S13" s="269" t="s">
        <v>0</v>
      </c>
      <c r="T13" s="268">
        <v>1600</v>
      </c>
      <c r="U13" s="269" t="s">
        <v>0</v>
      </c>
      <c r="V13" s="269" t="s">
        <v>0</v>
      </c>
      <c r="W13" s="269" t="s">
        <v>0</v>
      </c>
      <c r="X13" s="269" t="s">
        <v>0</v>
      </c>
      <c r="Y13" s="269">
        <v>980</v>
      </c>
      <c r="Z13" s="269" t="s">
        <v>0</v>
      </c>
      <c r="AA13" s="269" t="s">
        <v>0</v>
      </c>
      <c r="AB13" s="269" t="s">
        <v>0</v>
      </c>
      <c r="AC13" s="268">
        <v>1650</v>
      </c>
      <c r="AD13" s="269" t="s">
        <v>0</v>
      </c>
      <c r="AE13" s="268">
        <v>29370</v>
      </c>
      <c r="AF13" s="269" t="s">
        <v>0</v>
      </c>
      <c r="AG13" s="269" t="s">
        <v>0</v>
      </c>
      <c r="AH13" s="269" t="s">
        <v>0</v>
      </c>
      <c r="AI13" s="268">
        <v>8107</v>
      </c>
      <c r="AJ13" s="269" t="s">
        <v>0</v>
      </c>
      <c r="AK13" s="268">
        <v>18850</v>
      </c>
      <c r="AL13" s="269" t="s">
        <v>0</v>
      </c>
      <c r="AM13" s="269" t="s">
        <v>0</v>
      </c>
      <c r="AN13" s="269" t="s">
        <v>0</v>
      </c>
      <c r="AO13" s="269" t="s">
        <v>0</v>
      </c>
      <c r="AP13" s="269" t="s">
        <v>0</v>
      </c>
      <c r="AQ13" s="269" t="s">
        <v>0</v>
      </c>
      <c r="AR13" s="268">
        <v>4480</v>
      </c>
      <c r="AS13" s="269" t="s">
        <v>0</v>
      </c>
      <c r="AT13" s="269" t="s">
        <v>0</v>
      </c>
      <c r="AU13" s="269" t="s">
        <v>0</v>
      </c>
      <c r="AV13" s="269" t="s">
        <v>0</v>
      </c>
      <c r="AW13" s="269" t="s">
        <v>0</v>
      </c>
      <c r="AX13" s="269" t="s">
        <v>0</v>
      </c>
      <c r="AY13" s="268">
        <v>9250</v>
      </c>
      <c r="AZ13" s="269" t="s">
        <v>0</v>
      </c>
      <c r="BA13" s="269" t="s">
        <v>0</v>
      </c>
      <c r="BB13" s="268">
        <v>156875</v>
      </c>
      <c r="BC13" s="269" t="s">
        <v>0</v>
      </c>
      <c r="BD13" s="269" t="s">
        <v>0</v>
      </c>
      <c r="BE13" s="269" t="s">
        <v>0</v>
      </c>
      <c r="BF13" s="269" t="s">
        <v>0</v>
      </c>
      <c r="BG13" s="268">
        <v>46280</v>
      </c>
      <c r="BH13" s="269" t="s">
        <v>0</v>
      </c>
      <c r="BI13" s="269" t="s">
        <v>0</v>
      </c>
      <c r="BJ13" s="269" t="s">
        <v>0</v>
      </c>
      <c r="BK13" s="268">
        <v>1312</v>
      </c>
      <c r="BL13" s="269" t="s">
        <v>0</v>
      </c>
      <c r="BM13" s="269" t="s">
        <v>0</v>
      </c>
      <c r="BN13" s="269" t="s">
        <v>0</v>
      </c>
      <c r="BO13" s="269" t="s">
        <v>0</v>
      </c>
      <c r="BP13" s="268">
        <v>1100</v>
      </c>
      <c r="BQ13" s="269" t="s">
        <v>0</v>
      </c>
      <c r="BR13" s="269" t="s">
        <v>0</v>
      </c>
      <c r="BS13" s="269" t="s">
        <v>0</v>
      </c>
      <c r="BT13" s="268">
        <v>1517</v>
      </c>
      <c r="BU13" s="269" t="s">
        <v>0</v>
      </c>
      <c r="BV13" s="268">
        <v>42351</v>
      </c>
      <c r="BW13" s="269" t="s">
        <v>0</v>
      </c>
      <c r="BX13" s="269" t="s">
        <v>0</v>
      </c>
      <c r="BY13" s="269" t="s">
        <v>0</v>
      </c>
      <c r="BZ13" s="268">
        <v>9118</v>
      </c>
      <c r="CA13" s="269" t="s">
        <v>0</v>
      </c>
      <c r="CB13" s="268">
        <v>18606</v>
      </c>
      <c r="CC13" s="269" t="s">
        <v>0</v>
      </c>
      <c r="CD13" s="269" t="s">
        <v>0</v>
      </c>
      <c r="CE13" s="269" t="s">
        <v>0</v>
      </c>
      <c r="CF13" s="269" t="s">
        <v>0</v>
      </c>
      <c r="CG13" s="269" t="s">
        <v>0</v>
      </c>
      <c r="CH13" s="269" t="s">
        <v>0</v>
      </c>
      <c r="CI13" s="268">
        <v>4480</v>
      </c>
      <c r="CJ13" s="269" t="s">
        <v>0</v>
      </c>
      <c r="CK13" s="269" t="s">
        <v>0</v>
      </c>
      <c r="CL13" s="269" t="s">
        <v>0</v>
      </c>
      <c r="CM13" s="269" t="s">
        <v>0</v>
      </c>
      <c r="CN13" s="269" t="s">
        <v>0</v>
      </c>
      <c r="CO13" s="269" t="s">
        <v>0</v>
      </c>
      <c r="CP13" s="268">
        <v>7290</v>
      </c>
      <c r="CQ13" s="269" t="s">
        <v>0</v>
      </c>
      <c r="CR13" s="269" t="s">
        <v>0</v>
      </c>
      <c r="CS13" s="268">
        <v>148650</v>
      </c>
      <c r="CT13" s="269" t="s">
        <v>0</v>
      </c>
      <c r="CU13" s="269" t="s">
        <v>0</v>
      </c>
      <c r="CV13" s="269" t="s">
        <v>0</v>
      </c>
      <c r="CW13" s="275" t="s">
        <v>0</v>
      </c>
    </row>
    <row r="14" spans="1:101" ht="13.5" customHeight="1" x14ac:dyDescent="0.2">
      <c r="A14" s="36"/>
      <c r="B14" s="10">
        <v>1</v>
      </c>
      <c r="C14" s="34" t="s">
        <v>39</v>
      </c>
      <c r="D14" s="35">
        <f>SUMIF($O$84:$O$110,C14,$P$84:$P$110)</f>
        <v>52952205</v>
      </c>
      <c r="E14" s="38">
        <f>SUMIF($O$84:$O$110,C14,$Q$84:$Q$110)</f>
        <v>44784260</v>
      </c>
      <c r="F14" s="156">
        <f t="shared" ref="F14:F29" si="2">IF(E14=0,0,TRUNC(((E14/D14)-1)*100,2))</f>
        <v>-15.42</v>
      </c>
      <c r="G14" s="9"/>
      <c r="H14" s="44">
        <v>1</v>
      </c>
      <c r="I14" s="34" t="s">
        <v>39</v>
      </c>
      <c r="J14" s="35">
        <f>SUMIF($O$84:$O$110,I14,$R$84:$R$110)</f>
        <v>13783063</v>
      </c>
      <c r="K14" s="38">
        <f>SUMIF($O$84:$O$110,I14,$S$84:$S$110)</f>
        <v>14190706</v>
      </c>
      <c r="L14" s="156">
        <f t="shared" ref="L14:L29" si="3">IF(K14=0,0,TRUNC(((K14/J14)-1)*100,2))</f>
        <v>2.95</v>
      </c>
      <c r="M14" s="2" t="str">
        <f t="shared" si="0"/>
        <v>Error</v>
      </c>
      <c r="N14" s="195">
        <f t="shared" si="1"/>
        <v>3726475</v>
      </c>
      <c r="O14" s="274" t="s">
        <v>21</v>
      </c>
      <c r="P14" s="268">
        <v>3725538</v>
      </c>
      <c r="Q14" s="268">
        <v>2403</v>
      </c>
      <c r="R14" s="268">
        <v>8932</v>
      </c>
      <c r="S14" s="269" t="s">
        <v>0</v>
      </c>
      <c r="T14" s="268">
        <v>621216</v>
      </c>
      <c r="U14" s="269" t="s">
        <v>0</v>
      </c>
      <c r="V14" s="269" t="s">
        <v>0</v>
      </c>
      <c r="W14" s="269" t="s">
        <v>0</v>
      </c>
      <c r="X14" s="268">
        <v>1780</v>
      </c>
      <c r="Y14" s="268">
        <v>5343</v>
      </c>
      <c r="Z14" s="269">
        <v>528</v>
      </c>
      <c r="AA14" s="269" t="s">
        <v>0</v>
      </c>
      <c r="AB14" s="269" t="s">
        <v>0</v>
      </c>
      <c r="AC14" s="268">
        <v>166474</v>
      </c>
      <c r="AD14" s="268">
        <v>473262</v>
      </c>
      <c r="AE14" s="268">
        <v>2418367</v>
      </c>
      <c r="AF14" s="268">
        <v>28170</v>
      </c>
      <c r="AG14" s="269" t="s">
        <v>0</v>
      </c>
      <c r="AH14" s="269" t="s">
        <v>0</v>
      </c>
      <c r="AI14" s="268">
        <v>56850</v>
      </c>
      <c r="AJ14" s="269" t="s">
        <v>0</v>
      </c>
      <c r="AK14" s="268">
        <v>30680</v>
      </c>
      <c r="AL14" s="269" t="s">
        <v>0</v>
      </c>
      <c r="AM14" s="269" t="s">
        <v>0</v>
      </c>
      <c r="AN14" s="269" t="s">
        <v>0</v>
      </c>
      <c r="AO14" s="269" t="s">
        <v>0</v>
      </c>
      <c r="AP14" s="269" t="s">
        <v>0</v>
      </c>
      <c r="AQ14" s="269" t="s">
        <v>0</v>
      </c>
      <c r="AR14" s="268">
        <v>2855536</v>
      </c>
      <c r="AS14" s="269" t="s">
        <v>0</v>
      </c>
      <c r="AT14" s="269" t="s">
        <v>0</v>
      </c>
      <c r="AU14" s="268">
        <v>4617</v>
      </c>
      <c r="AV14" s="269" t="s">
        <v>0</v>
      </c>
      <c r="AW14" s="269" t="s">
        <v>0</v>
      </c>
      <c r="AX14" s="269" t="s">
        <v>0</v>
      </c>
      <c r="AY14" s="268">
        <v>1803</v>
      </c>
      <c r="AZ14" s="269" t="s">
        <v>0</v>
      </c>
      <c r="BA14" s="269" t="s">
        <v>0</v>
      </c>
      <c r="BB14" s="268">
        <v>260194</v>
      </c>
      <c r="BC14" s="269" t="s">
        <v>0</v>
      </c>
      <c r="BD14" s="269" t="s">
        <v>0</v>
      </c>
      <c r="BE14" s="269" t="s">
        <v>0</v>
      </c>
      <c r="BF14" s="269" t="s">
        <v>0</v>
      </c>
      <c r="BG14" s="268">
        <v>2736155</v>
      </c>
      <c r="BH14" s="268">
        <v>2664</v>
      </c>
      <c r="BI14" s="268">
        <v>1867</v>
      </c>
      <c r="BJ14" s="269" t="s">
        <v>0</v>
      </c>
      <c r="BK14" s="268">
        <v>503766</v>
      </c>
      <c r="BL14" s="269" t="s">
        <v>0</v>
      </c>
      <c r="BM14" s="269" t="s">
        <v>0</v>
      </c>
      <c r="BN14" s="269" t="s">
        <v>0</v>
      </c>
      <c r="BO14" s="268">
        <v>1623</v>
      </c>
      <c r="BP14" s="268">
        <v>5131</v>
      </c>
      <c r="BQ14" s="269">
        <v>594</v>
      </c>
      <c r="BR14" s="269" t="s">
        <v>0</v>
      </c>
      <c r="BS14" s="269" t="s">
        <v>0</v>
      </c>
      <c r="BT14" s="268">
        <v>187662</v>
      </c>
      <c r="BU14" s="268">
        <v>210386</v>
      </c>
      <c r="BV14" s="268">
        <v>1809384</v>
      </c>
      <c r="BW14" s="268">
        <v>14117</v>
      </c>
      <c r="BX14" s="269" t="s">
        <v>0</v>
      </c>
      <c r="BY14" s="269" t="s">
        <v>0</v>
      </c>
      <c r="BZ14" s="268">
        <v>64674</v>
      </c>
      <c r="CA14" s="269" t="s">
        <v>0</v>
      </c>
      <c r="CB14" s="268">
        <v>32314</v>
      </c>
      <c r="CC14" s="269" t="s">
        <v>0</v>
      </c>
      <c r="CD14" s="269" t="s">
        <v>0</v>
      </c>
      <c r="CE14" s="269" t="s">
        <v>0</v>
      </c>
      <c r="CF14" s="269" t="s">
        <v>0</v>
      </c>
      <c r="CG14" s="269" t="s">
        <v>0</v>
      </c>
      <c r="CH14" s="269" t="s">
        <v>0</v>
      </c>
      <c r="CI14" s="268">
        <v>2974039</v>
      </c>
      <c r="CJ14" s="269" t="s">
        <v>0</v>
      </c>
      <c r="CK14" s="269" t="s">
        <v>0</v>
      </c>
      <c r="CL14" s="268">
        <v>8865</v>
      </c>
      <c r="CM14" s="269" t="s">
        <v>0</v>
      </c>
      <c r="CN14" s="269" t="s">
        <v>0</v>
      </c>
      <c r="CO14" s="269" t="s">
        <v>0</v>
      </c>
      <c r="CP14" s="268">
        <v>1791</v>
      </c>
      <c r="CQ14" s="269" t="s">
        <v>0</v>
      </c>
      <c r="CR14" s="269" t="s">
        <v>0</v>
      </c>
      <c r="CS14" s="268">
        <v>261773</v>
      </c>
      <c r="CT14" s="269" t="s">
        <v>0</v>
      </c>
      <c r="CU14" s="269" t="s">
        <v>0</v>
      </c>
      <c r="CV14" s="269" t="s">
        <v>0</v>
      </c>
      <c r="CW14" s="275" t="s">
        <v>0</v>
      </c>
    </row>
    <row r="15" spans="1:101" ht="13.5" customHeight="1" x14ac:dyDescent="0.2">
      <c r="A15" s="36"/>
      <c r="B15" s="10">
        <v>2</v>
      </c>
      <c r="C15" s="34" t="s">
        <v>35</v>
      </c>
      <c r="D15" s="35">
        <f>SUMIF($O$84:$O$110,C15,$P$84:$P$110)</f>
        <v>37524777</v>
      </c>
      <c r="E15" s="38">
        <f>SUMIF($O$84:$O$110,C15,$Q$84:$Q$110)</f>
        <v>35031589</v>
      </c>
      <c r="F15" s="156">
        <f t="shared" si="2"/>
        <v>-6.64</v>
      </c>
      <c r="G15" s="9"/>
      <c r="H15" s="44">
        <v>2</v>
      </c>
      <c r="I15" s="34" t="s">
        <v>35</v>
      </c>
      <c r="J15" s="35">
        <f>SUMIF($O$84:$O$110,I15,$R$84:$R$110)</f>
        <v>9585204</v>
      </c>
      <c r="K15" s="38">
        <f>SUMIF($O$84:$O$110,I15,$S$84:$S$110)</f>
        <v>9679898</v>
      </c>
      <c r="L15" s="156">
        <f t="shared" si="3"/>
        <v>0.98</v>
      </c>
      <c r="M15" s="2" t="str">
        <f t="shared" si="0"/>
        <v>Error</v>
      </c>
      <c r="N15" s="195">
        <f t="shared" si="1"/>
        <v>3967576</v>
      </c>
      <c r="O15" s="274" t="s">
        <v>22</v>
      </c>
      <c r="P15" s="268">
        <v>3932564</v>
      </c>
      <c r="Q15" s="268">
        <v>89774</v>
      </c>
      <c r="R15" s="269">
        <v>114</v>
      </c>
      <c r="S15" s="269" t="s">
        <v>0</v>
      </c>
      <c r="T15" s="268">
        <v>314486</v>
      </c>
      <c r="U15" s="269" t="s">
        <v>0</v>
      </c>
      <c r="V15" s="269" t="s">
        <v>0</v>
      </c>
      <c r="W15" s="269" t="s">
        <v>0</v>
      </c>
      <c r="X15" s="268">
        <v>15623</v>
      </c>
      <c r="Y15" s="268">
        <v>30295</v>
      </c>
      <c r="Z15" s="269" t="s">
        <v>0</v>
      </c>
      <c r="AA15" s="269" t="s">
        <v>0</v>
      </c>
      <c r="AB15" s="269" t="s">
        <v>0</v>
      </c>
      <c r="AC15" s="268">
        <v>878093</v>
      </c>
      <c r="AD15" s="268">
        <v>519738</v>
      </c>
      <c r="AE15" s="268">
        <v>2099507</v>
      </c>
      <c r="AF15" s="268">
        <v>19946</v>
      </c>
      <c r="AG15" s="269" t="s">
        <v>0</v>
      </c>
      <c r="AH15" s="269" t="s">
        <v>0</v>
      </c>
      <c r="AI15" s="268">
        <v>40573</v>
      </c>
      <c r="AJ15" s="269" t="s">
        <v>0</v>
      </c>
      <c r="AK15" s="268">
        <v>91027</v>
      </c>
      <c r="AL15" s="269" t="s">
        <v>0</v>
      </c>
      <c r="AM15" s="269" t="s">
        <v>0</v>
      </c>
      <c r="AN15" s="269" t="s">
        <v>0</v>
      </c>
      <c r="AO15" s="269" t="s">
        <v>0</v>
      </c>
      <c r="AP15" s="269" t="s">
        <v>0</v>
      </c>
      <c r="AQ15" s="269" t="s">
        <v>0</v>
      </c>
      <c r="AR15" s="268">
        <v>3124141</v>
      </c>
      <c r="AS15" s="268">
        <v>4093</v>
      </c>
      <c r="AT15" s="269" t="s">
        <v>0</v>
      </c>
      <c r="AU15" s="268">
        <v>8682</v>
      </c>
      <c r="AV15" s="269" t="s">
        <v>0</v>
      </c>
      <c r="AW15" s="269" t="s">
        <v>0</v>
      </c>
      <c r="AX15" s="269" t="s">
        <v>0</v>
      </c>
      <c r="AY15" s="268">
        <v>5585</v>
      </c>
      <c r="AZ15" s="269" t="s">
        <v>0</v>
      </c>
      <c r="BA15" s="269" t="s">
        <v>0</v>
      </c>
      <c r="BB15" s="268">
        <v>1481907</v>
      </c>
      <c r="BC15" s="269">
        <v>44</v>
      </c>
      <c r="BD15" s="269" t="s">
        <v>0</v>
      </c>
      <c r="BE15" s="268">
        <v>4330</v>
      </c>
      <c r="BF15" s="269" t="s">
        <v>0</v>
      </c>
      <c r="BG15" s="268">
        <v>2182884</v>
      </c>
      <c r="BH15" s="268">
        <v>66690</v>
      </c>
      <c r="BI15" s="269">
        <v>114</v>
      </c>
      <c r="BJ15" s="269" t="s">
        <v>0</v>
      </c>
      <c r="BK15" s="268">
        <v>160454</v>
      </c>
      <c r="BL15" s="269" t="s">
        <v>0</v>
      </c>
      <c r="BM15" s="269" t="s">
        <v>0</v>
      </c>
      <c r="BN15" s="269" t="s">
        <v>0</v>
      </c>
      <c r="BO15" s="268">
        <v>11846</v>
      </c>
      <c r="BP15" s="268">
        <v>23088</v>
      </c>
      <c r="BQ15" s="269" t="s">
        <v>0</v>
      </c>
      <c r="BR15" s="269" t="s">
        <v>0</v>
      </c>
      <c r="BS15" s="269" t="s">
        <v>0</v>
      </c>
      <c r="BT15" s="268">
        <v>568040</v>
      </c>
      <c r="BU15" s="268">
        <v>115943</v>
      </c>
      <c r="BV15" s="268">
        <v>1242772</v>
      </c>
      <c r="BW15" s="268">
        <v>19946</v>
      </c>
      <c r="BX15" s="269" t="s">
        <v>0</v>
      </c>
      <c r="BY15" s="269" t="s">
        <v>0</v>
      </c>
      <c r="BZ15" s="268">
        <v>20704</v>
      </c>
      <c r="CA15" s="269" t="s">
        <v>0</v>
      </c>
      <c r="CB15" s="268">
        <v>72834</v>
      </c>
      <c r="CC15" s="269" t="s">
        <v>0</v>
      </c>
      <c r="CD15" s="269" t="s">
        <v>0</v>
      </c>
      <c r="CE15" s="269" t="s">
        <v>0</v>
      </c>
      <c r="CF15" s="269" t="s">
        <v>0</v>
      </c>
      <c r="CG15" s="269" t="s">
        <v>0</v>
      </c>
      <c r="CH15" s="269" t="s">
        <v>0</v>
      </c>
      <c r="CI15" s="268">
        <v>2520500</v>
      </c>
      <c r="CJ15" s="268">
        <v>3926</v>
      </c>
      <c r="CK15" s="269" t="s">
        <v>0</v>
      </c>
      <c r="CL15" s="268">
        <v>7806</v>
      </c>
      <c r="CM15" s="269" t="s">
        <v>0</v>
      </c>
      <c r="CN15" s="269" t="s">
        <v>0</v>
      </c>
      <c r="CO15" s="269" t="s">
        <v>0</v>
      </c>
      <c r="CP15" s="268">
        <v>4319</v>
      </c>
      <c r="CQ15" s="269" t="s">
        <v>0</v>
      </c>
      <c r="CR15" s="269" t="s">
        <v>0</v>
      </c>
      <c r="CS15" s="268">
        <v>1311814</v>
      </c>
      <c r="CT15" s="269">
        <v>41</v>
      </c>
      <c r="CU15" s="269" t="s">
        <v>0</v>
      </c>
      <c r="CV15" s="268">
        <v>3671</v>
      </c>
      <c r="CW15" s="275" t="s">
        <v>0</v>
      </c>
    </row>
    <row r="16" spans="1:101" ht="13.5" customHeight="1" x14ac:dyDescent="0.2">
      <c r="A16" s="36"/>
      <c r="B16" s="10">
        <v>3</v>
      </c>
      <c r="C16" s="34" t="s">
        <v>37</v>
      </c>
      <c r="D16" s="35">
        <f>SUMIF($O$84:$O$110,C16,$P$84:$P$110)</f>
        <v>31820894</v>
      </c>
      <c r="E16" s="38">
        <f>SUMIF($O$84:$O$110,C16,$Q$84:$Q$110)</f>
        <v>31909823</v>
      </c>
      <c r="F16" s="156">
        <f t="shared" si="2"/>
        <v>0.27</v>
      </c>
      <c r="G16" s="9"/>
      <c r="H16" s="44">
        <v>3</v>
      </c>
      <c r="I16" s="34" t="s">
        <v>37</v>
      </c>
      <c r="J16" s="35">
        <f>SUMIF($O$84:$O$110,I16,$R$84:$R$110)</f>
        <v>8428788</v>
      </c>
      <c r="K16" s="38">
        <f>SUMIF($O$84:$O$110,I16,$S$84:$S$110)</f>
        <v>8422852</v>
      </c>
      <c r="L16" s="156">
        <f t="shared" si="3"/>
        <v>-7.0000000000000007E-2</v>
      </c>
      <c r="M16" s="2" t="str">
        <f t="shared" si="0"/>
        <v>Error</v>
      </c>
      <c r="N16" s="195">
        <f t="shared" si="1"/>
        <v>3096917</v>
      </c>
      <c r="O16" s="274" t="s">
        <v>23</v>
      </c>
      <c r="P16" s="268">
        <v>3077076</v>
      </c>
      <c r="Q16" s="268">
        <v>50875</v>
      </c>
      <c r="R16" s="269">
        <v>54</v>
      </c>
      <c r="S16" s="269" t="s">
        <v>0</v>
      </c>
      <c r="T16" s="268">
        <v>99945</v>
      </c>
      <c r="U16" s="269" t="s">
        <v>0</v>
      </c>
      <c r="V16" s="269" t="s">
        <v>0</v>
      </c>
      <c r="W16" s="269" t="s">
        <v>0</v>
      </c>
      <c r="X16" s="268">
        <v>45878</v>
      </c>
      <c r="Y16" s="268">
        <v>1653</v>
      </c>
      <c r="Z16" s="269" t="s">
        <v>0</v>
      </c>
      <c r="AA16" s="269" t="s">
        <v>0</v>
      </c>
      <c r="AB16" s="269">
        <v>73</v>
      </c>
      <c r="AC16" s="268">
        <v>1099335</v>
      </c>
      <c r="AD16" s="268">
        <v>2104</v>
      </c>
      <c r="AE16" s="268">
        <v>1772722</v>
      </c>
      <c r="AF16" s="268">
        <v>24278</v>
      </c>
      <c r="AG16" s="269" t="s">
        <v>0</v>
      </c>
      <c r="AH16" s="269" t="s">
        <v>0</v>
      </c>
      <c r="AI16" s="269" t="s">
        <v>0</v>
      </c>
      <c r="AJ16" s="269" t="s">
        <v>0</v>
      </c>
      <c r="AK16" s="268">
        <v>40274</v>
      </c>
      <c r="AL16" s="269" t="s">
        <v>0</v>
      </c>
      <c r="AM16" s="269" t="s">
        <v>0</v>
      </c>
      <c r="AN16" s="269" t="s">
        <v>0</v>
      </c>
      <c r="AO16" s="269" t="s">
        <v>0</v>
      </c>
      <c r="AP16" s="269" t="s">
        <v>0</v>
      </c>
      <c r="AQ16" s="269" t="s">
        <v>0</v>
      </c>
      <c r="AR16" s="268">
        <v>861393</v>
      </c>
      <c r="AS16" s="268">
        <v>12751</v>
      </c>
      <c r="AT16" s="269">
        <v>33</v>
      </c>
      <c r="AU16" s="268">
        <v>11749</v>
      </c>
      <c r="AV16" s="269" t="s">
        <v>0</v>
      </c>
      <c r="AW16" s="269" t="s">
        <v>0</v>
      </c>
      <c r="AX16" s="269" t="s">
        <v>0</v>
      </c>
      <c r="AY16" s="268">
        <v>3095</v>
      </c>
      <c r="AZ16" s="269" t="s">
        <v>0</v>
      </c>
      <c r="BA16" s="269" t="s">
        <v>0</v>
      </c>
      <c r="BB16" s="268">
        <v>265687</v>
      </c>
      <c r="BC16" s="269" t="s">
        <v>0</v>
      </c>
      <c r="BD16" s="269" t="s">
        <v>0</v>
      </c>
      <c r="BE16" s="268">
        <v>3120</v>
      </c>
      <c r="BF16" s="269">
        <v>168</v>
      </c>
      <c r="BG16" s="268">
        <v>1339113</v>
      </c>
      <c r="BH16" s="268">
        <v>7147</v>
      </c>
      <c r="BI16" s="269">
        <v>54</v>
      </c>
      <c r="BJ16" s="269" t="s">
        <v>0</v>
      </c>
      <c r="BK16" s="268">
        <v>43488</v>
      </c>
      <c r="BL16" s="269" t="s">
        <v>0</v>
      </c>
      <c r="BM16" s="269" t="s">
        <v>0</v>
      </c>
      <c r="BN16" s="269" t="s">
        <v>0</v>
      </c>
      <c r="BO16" s="268">
        <v>20188</v>
      </c>
      <c r="BP16" s="268">
        <v>1771</v>
      </c>
      <c r="BQ16" s="269" t="s">
        <v>0</v>
      </c>
      <c r="BR16" s="269" t="s">
        <v>0</v>
      </c>
      <c r="BS16" s="269">
        <v>21</v>
      </c>
      <c r="BT16" s="268">
        <v>559502</v>
      </c>
      <c r="BU16" s="268">
        <v>41188</v>
      </c>
      <c r="BV16" s="268">
        <v>644263</v>
      </c>
      <c r="BW16" s="268">
        <v>24278</v>
      </c>
      <c r="BX16" s="269" t="s">
        <v>0</v>
      </c>
      <c r="BY16" s="269" t="s">
        <v>0</v>
      </c>
      <c r="BZ16" s="269" t="s">
        <v>0</v>
      </c>
      <c r="CA16" s="269" t="s">
        <v>0</v>
      </c>
      <c r="CB16" s="268">
        <v>37455</v>
      </c>
      <c r="CC16" s="269" t="s">
        <v>0</v>
      </c>
      <c r="CD16" s="269" t="s">
        <v>0</v>
      </c>
      <c r="CE16" s="269" t="s">
        <v>0</v>
      </c>
      <c r="CF16" s="269" t="s">
        <v>0</v>
      </c>
      <c r="CG16" s="269" t="s">
        <v>0</v>
      </c>
      <c r="CH16" s="269" t="s">
        <v>0</v>
      </c>
      <c r="CI16" s="268">
        <v>726743</v>
      </c>
      <c r="CJ16" s="268">
        <v>11189</v>
      </c>
      <c r="CK16" s="269">
        <v>33</v>
      </c>
      <c r="CL16" s="268">
        <v>10299</v>
      </c>
      <c r="CM16" s="269" t="s">
        <v>0</v>
      </c>
      <c r="CN16" s="269" t="s">
        <v>0</v>
      </c>
      <c r="CO16" s="269" t="s">
        <v>0</v>
      </c>
      <c r="CP16" s="268">
        <v>2546</v>
      </c>
      <c r="CQ16" s="269" t="s">
        <v>0</v>
      </c>
      <c r="CR16" s="269" t="s">
        <v>0</v>
      </c>
      <c r="CS16" s="268">
        <v>202238</v>
      </c>
      <c r="CT16" s="269" t="s">
        <v>0</v>
      </c>
      <c r="CU16" s="269" t="s">
        <v>0</v>
      </c>
      <c r="CV16" s="268">
        <v>2498</v>
      </c>
      <c r="CW16" s="275">
        <v>168</v>
      </c>
    </row>
    <row r="17" spans="1:101" ht="13.5" customHeight="1" x14ac:dyDescent="0.2">
      <c r="A17" s="36"/>
      <c r="B17" s="10">
        <v>4</v>
      </c>
      <c r="C17" s="34" t="s">
        <v>4</v>
      </c>
      <c r="D17" s="35">
        <f>SUMIF($O$84:$O$110,C17,$P$84:$P$110)</f>
        <v>19602602</v>
      </c>
      <c r="E17" s="38">
        <f>SUMIF($O$84:$O$110,C17,$Q$84:$Q$110)</f>
        <v>16950466</v>
      </c>
      <c r="F17" s="156">
        <f t="shared" si="2"/>
        <v>-13.52</v>
      </c>
      <c r="G17" s="9"/>
      <c r="H17" s="44">
        <v>4</v>
      </c>
      <c r="I17" s="34" t="s">
        <v>4</v>
      </c>
      <c r="J17" s="35">
        <f>SUMIF($O$84:$O$110,I17,$R$84:$R$110)</f>
        <v>5113649</v>
      </c>
      <c r="K17" s="38">
        <f>SUMIF($O$84:$O$110,I17,$S$84:$S$110)</f>
        <v>5342004</v>
      </c>
      <c r="L17" s="156">
        <f t="shared" si="3"/>
        <v>4.46</v>
      </c>
      <c r="M17" s="2" t="str">
        <f t="shared" si="0"/>
        <v>Error</v>
      </c>
      <c r="N17" s="195">
        <f t="shared" si="1"/>
        <v>225039</v>
      </c>
      <c r="O17" s="274" t="s">
        <v>24</v>
      </c>
      <c r="P17" s="268">
        <v>224997</v>
      </c>
      <c r="Q17" s="269">
        <v>107</v>
      </c>
      <c r="R17" s="269">
        <v>305</v>
      </c>
      <c r="S17" s="269" t="s">
        <v>0</v>
      </c>
      <c r="T17" s="268">
        <v>24601</v>
      </c>
      <c r="U17" s="269" t="s">
        <v>0</v>
      </c>
      <c r="V17" s="269" t="s">
        <v>0</v>
      </c>
      <c r="W17" s="269" t="s">
        <v>0</v>
      </c>
      <c r="X17" s="268">
        <v>63201</v>
      </c>
      <c r="Y17" s="268">
        <v>4149</v>
      </c>
      <c r="Z17" s="269" t="s">
        <v>0</v>
      </c>
      <c r="AA17" s="269" t="s">
        <v>0</v>
      </c>
      <c r="AB17" s="269">
        <v>889</v>
      </c>
      <c r="AC17" s="268">
        <v>129623</v>
      </c>
      <c r="AD17" s="268">
        <v>1264</v>
      </c>
      <c r="AE17" s="269" t="s">
        <v>0</v>
      </c>
      <c r="AF17" s="269">
        <v>900</v>
      </c>
      <c r="AG17" s="269" t="s">
        <v>0</v>
      </c>
      <c r="AH17" s="269" t="s">
        <v>0</v>
      </c>
      <c r="AI17" s="268">
        <v>2624</v>
      </c>
      <c r="AJ17" s="269" t="s">
        <v>0</v>
      </c>
      <c r="AK17" s="268">
        <v>385028</v>
      </c>
      <c r="AL17" s="269" t="s">
        <v>0</v>
      </c>
      <c r="AM17" s="269" t="s">
        <v>0</v>
      </c>
      <c r="AN17" s="269" t="s">
        <v>0</v>
      </c>
      <c r="AO17" s="269" t="s">
        <v>0</v>
      </c>
      <c r="AP17" s="268">
        <v>1673</v>
      </c>
      <c r="AQ17" s="269">
        <v>40</v>
      </c>
      <c r="AR17" s="268">
        <v>906912</v>
      </c>
      <c r="AS17" s="268">
        <v>52118</v>
      </c>
      <c r="AT17" s="269">
        <v>123</v>
      </c>
      <c r="AU17" s="268">
        <v>189398</v>
      </c>
      <c r="AV17" s="269">
        <v>54</v>
      </c>
      <c r="AW17" s="269" t="s">
        <v>0</v>
      </c>
      <c r="AX17" s="269" t="s">
        <v>0</v>
      </c>
      <c r="AY17" s="268">
        <v>9915</v>
      </c>
      <c r="AZ17" s="269" t="s">
        <v>0</v>
      </c>
      <c r="BA17" s="269" t="s">
        <v>0</v>
      </c>
      <c r="BB17" s="268">
        <v>358857</v>
      </c>
      <c r="BC17" s="269">
        <v>1</v>
      </c>
      <c r="BD17" s="269">
        <v>64</v>
      </c>
      <c r="BE17" s="268">
        <v>95128</v>
      </c>
      <c r="BF17" s="269">
        <v>940</v>
      </c>
      <c r="BG17" s="268">
        <v>187016</v>
      </c>
      <c r="BH17" s="269">
        <v>425</v>
      </c>
      <c r="BI17" s="269">
        <v>156</v>
      </c>
      <c r="BJ17" s="269" t="s">
        <v>0</v>
      </c>
      <c r="BK17" s="268">
        <v>14383</v>
      </c>
      <c r="BL17" s="269" t="s">
        <v>0</v>
      </c>
      <c r="BM17" s="269" t="s">
        <v>0</v>
      </c>
      <c r="BN17" s="269" t="s">
        <v>0</v>
      </c>
      <c r="BO17" s="268">
        <v>52586</v>
      </c>
      <c r="BP17" s="268">
        <v>4094</v>
      </c>
      <c r="BQ17" s="269" t="s">
        <v>0</v>
      </c>
      <c r="BR17" s="269" t="s">
        <v>0</v>
      </c>
      <c r="BS17" s="269">
        <v>869</v>
      </c>
      <c r="BT17" s="268">
        <v>114427</v>
      </c>
      <c r="BU17" s="269">
        <v>241</v>
      </c>
      <c r="BV17" s="269" t="s">
        <v>0</v>
      </c>
      <c r="BW17" s="269">
        <v>1</v>
      </c>
      <c r="BX17" s="269" t="s">
        <v>0</v>
      </c>
      <c r="BY17" s="269" t="s">
        <v>0</v>
      </c>
      <c r="BZ17" s="268">
        <v>2361</v>
      </c>
      <c r="CA17" s="269" t="s">
        <v>0</v>
      </c>
      <c r="CB17" s="268">
        <v>324101</v>
      </c>
      <c r="CC17" s="269" t="s">
        <v>0</v>
      </c>
      <c r="CD17" s="269" t="s">
        <v>0</v>
      </c>
      <c r="CE17" s="269" t="s">
        <v>0</v>
      </c>
      <c r="CF17" s="269" t="s">
        <v>0</v>
      </c>
      <c r="CG17" s="269">
        <v>747</v>
      </c>
      <c r="CH17" s="269">
        <v>28</v>
      </c>
      <c r="CI17" s="268">
        <v>716327</v>
      </c>
      <c r="CJ17" s="268">
        <v>30763</v>
      </c>
      <c r="CK17" s="269">
        <v>123</v>
      </c>
      <c r="CL17" s="268">
        <v>263027</v>
      </c>
      <c r="CM17" s="269">
        <v>49</v>
      </c>
      <c r="CN17" s="269" t="s">
        <v>0</v>
      </c>
      <c r="CO17" s="269" t="s">
        <v>0</v>
      </c>
      <c r="CP17" s="268">
        <v>8477</v>
      </c>
      <c r="CQ17" s="269" t="s">
        <v>0</v>
      </c>
      <c r="CR17" s="269" t="s">
        <v>0</v>
      </c>
      <c r="CS17" s="268">
        <v>400646</v>
      </c>
      <c r="CT17" s="269">
        <v>1</v>
      </c>
      <c r="CU17" s="269">
        <v>44</v>
      </c>
      <c r="CV17" s="268">
        <v>122846</v>
      </c>
      <c r="CW17" s="275">
        <v>760</v>
      </c>
    </row>
    <row r="18" spans="1:101" ht="13.5" customHeight="1" x14ac:dyDescent="0.2">
      <c r="A18" s="36"/>
      <c r="B18" s="10">
        <v>5</v>
      </c>
      <c r="C18" s="34" t="s">
        <v>38</v>
      </c>
      <c r="D18" s="35">
        <f>SUMIF($O$84:$O$110,C18,$P$84:$P$110)</f>
        <v>17404877</v>
      </c>
      <c r="E18" s="38">
        <f>SUMIF($O$84:$O$110,C18,$Q$84:$Q$110)</f>
        <v>13729169</v>
      </c>
      <c r="F18" s="156">
        <f t="shared" si="2"/>
        <v>-21.11</v>
      </c>
      <c r="G18" s="9"/>
      <c r="H18" s="44">
        <v>5</v>
      </c>
      <c r="I18" s="34" t="s">
        <v>38</v>
      </c>
      <c r="J18" s="35">
        <f>SUMIF($O$84:$O$110,I18,$R$84:$R$110)</f>
        <v>4147886</v>
      </c>
      <c r="K18" s="38">
        <f>SUMIF($O$84:$O$110,I18,$S$84:$S$110)</f>
        <v>4249379</v>
      </c>
      <c r="L18" s="156">
        <f t="shared" si="3"/>
        <v>2.44</v>
      </c>
      <c r="M18" s="2" t="str">
        <f t="shared" si="0"/>
        <v>Error</v>
      </c>
      <c r="N18" s="195">
        <f t="shared" si="1"/>
        <v>11253</v>
      </c>
      <c r="O18" s="274" t="s">
        <v>25</v>
      </c>
      <c r="P18" s="268">
        <v>11146</v>
      </c>
      <c r="Q18" s="269">
        <v>275</v>
      </c>
      <c r="R18" s="269" t="s">
        <v>0</v>
      </c>
      <c r="S18" s="269" t="s">
        <v>0</v>
      </c>
      <c r="T18" s="268">
        <v>2432</v>
      </c>
      <c r="U18" s="269" t="s">
        <v>0</v>
      </c>
      <c r="V18" s="269" t="s">
        <v>0</v>
      </c>
      <c r="W18" s="269" t="s">
        <v>0</v>
      </c>
      <c r="X18" s="268">
        <v>4030</v>
      </c>
      <c r="Y18" s="269">
        <v>139</v>
      </c>
      <c r="Z18" s="269" t="s">
        <v>0</v>
      </c>
      <c r="AA18" s="269" t="s">
        <v>0</v>
      </c>
      <c r="AB18" s="269" t="s">
        <v>0</v>
      </c>
      <c r="AC18" s="268">
        <v>4222</v>
      </c>
      <c r="AD18" s="269" t="s">
        <v>0</v>
      </c>
      <c r="AE18" s="269" t="s">
        <v>0</v>
      </c>
      <c r="AF18" s="269">
        <v>155</v>
      </c>
      <c r="AG18" s="269" t="s">
        <v>0</v>
      </c>
      <c r="AH18" s="269" t="s">
        <v>0</v>
      </c>
      <c r="AI18" s="268">
        <v>72453</v>
      </c>
      <c r="AJ18" s="269" t="s">
        <v>0</v>
      </c>
      <c r="AK18" s="268">
        <v>159335</v>
      </c>
      <c r="AL18" s="269" t="s">
        <v>0</v>
      </c>
      <c r="AM18" s="269" t="s">
        <v>0</v>
      </c>
      <c r="AN18" s="269" t="s">
        <v>0</v>
      </c>
      <c r="AO18" s="269" t="s">
        <v>0</v>
      </c>
      <c r="AP18" s="269" t="s">
        <v>0</v>
      </c>
      <c r="AQ18" s="269" t="s">
        <v>0</v>
      </c>
      <c r="AR18" s="268">
        <v>3724046</v>
      </c>
      <c r="AS18" s="268">
        <v>22337</v>
      </c>
      <c r="AT18" s="268">
        <v>4422</v>
      </c>
      <c r="AU18" s="268">
        <v>56261</v>
      </c>
      <c r="AV18" s="269" t="s">
        <v>0</v>
      </c>
      <c r="AW18" s="269" t="s">
        <v>0</v>
      </c>
      <c r="AX18" s="269" t="s">
        <v>0</v>
      </c>
      <c r="AY18" s="268">
        <v>2334</v>
      </c>
      <c r="AZ18" s="269" t="s">
        <v>0</v>
      </c>
      <c r="BA18" s="269" t="s">
        <v>0</v>
      </c>
      <c r="BB18" s="268">
        <v>146091</v>
      </c>
      <c r="BC18" s="269">
        <v>13</v>
      </c>
      <c r="BD18" s="269">
        <v>86</v>
      </c>
      <c r="BE18" s="268">
        <v>3828</v>
      </c>
      <c r="BF18" s="269" t="s">
        <v>0</v>
      </c>
      <c r="BG18" s="268">
        <v>11616</v>
      </c>
      <c r="BH18" s="268">
        <v>1002</v>
      </c>
      <c r="BI18" s="269" t="s">
        <v>0</v>
      </c>
      <c r="BJ18" s="269" t="s">
        <v>0</v>
      </c>
      <c r="BK18" s="268">
        <v>3244</v>
      </c>
      <c r="BL18" s="269" t="s">
        <v>0</v>
      </c>
      <c r="BM18" s="269" t="s">
        <v>0</v>
      </c>
      <c r="BN18" s="269" t="s">
        <v>0</v>
      </c>
      <c r="BO18" s="268">
        <v>3569</v>
      </c>
      <c r="BP18" s="269">
        <v>330</v>
      </c>
      <c r="BQ18" s="269" t="s">
        <v>0</v>
      </c>
      <c r="BR18" s="269" t="s">
        <v>0</v>
      </c>
      <c r="BS18" s="269" t="s">
        <v>0</v>
      </c>
      <c r="BT18" s="268">
        <v>3548</v>
      </c>
      <c r="BU18" s="269" t="s">
        <v>0</v>
      </c>
      <c r="BV18" s="269" t="s">
        <v>0</v>
      </c>
      <c r="BW18" s="269">
        <v>314</v>
      </c>
      <c r="BX18" s="269" t="s">
        <v>0</v>
      </c>
      <c r="BY18" s="269" t="s">
        <v>0</v>
      </c>
      <c r="BZ18" s="268">
        <v>63097</v>
      </c>
      <c r="CA18" s="269" t="s">
        <v>0</v>
      </c>
      <c r="CB18" s="268">
        <v>152706</v>
      </c>
      <c r="CC18" s="269" t="s">
        <v>0</v>
      </c>
      <c r="CD18" s="269" t="s">
        <v>0</v>
      </c>
      <c r="CE18" s="269" t="s">
        <v>0</v>
      </c>
      <c r="CF18" s="269" t="s">
        <v>0</v>
      </c>
      <c r="CG18" s="269" t="s">
        <v>0</v>
      </c>
      <c r="CH18" s="269" t="s">
        <v>0</v>
      </c>
      <c r="CI18" s="268">
        <v>3576341</v>
      </c>
      <c r="CJ18" s="268">
        <v>20651</v>
      </c>
      <c r="CK18" s="268">
        <v>4422</v>
      </c>
      <c r="CL18" s="268">
        <v>57216</v>
      </c>
      <c r="CM18" s="269" t="s">
        <v>0</v>
      </c>
      <c r="CN18" s="269" t="s">
        <v>0</v>
      </c>
      <c r="CO18" s="269" t="s">
        <v>0</v>
      </c>
      <c r="CP18" s="268">
        <v>2328</v>
      </c>
      <c r="CQ18" s="269" t="s">
        <v>0</v>
      </c>
      <c r="CR18" s="269" t="s">
        <v>0</v>
      </c>
      <c r="CS18" s="268">
        <v>94844</v>
      </c>
      <c r="CT18" s="269">
        <v>13</v>
      </c>
      <c r="CU18" s="269">
        <v>78</v>
      </c>
      <c r="CV18" s="268">
        <v>4696</v>
      </c>
      <c r="CW18" s="275" t="s">
        <v>0</v>
      </c>
    </row>
    <row r="19" spans="1:101" ht="13.5" customHeight="1" x14ac:dyDescent="0.2">
      <c r="A19" s="36"/>
      <c r="B19" s="10">
        <v>6</v>
      </c>
      <c r="C19" s="34" t="s">
        <v>31</v>
      </c>
      <c r="D19" s="35">
        <f>SUMIF($O$84:$O$110,C19,$P$84:$P$110)</f>
        <v>11762241</v>
      </c>
      <c r="E19" s="38">
        <f>SUMIF($O$84:$O$110,C19,$Q$84:$Q$110)</f>
        <v>11778119</v>
      </c>
      <c r="F19" s="156">
        <f t="shared" si="2"/>
        <v>0.13</v>
      </c>
      <c r="G19" s="9"/>
      <c r="H19" s="44">
        <v>6</v>
      </c>
      <c r="I19" s="34" t="s">
        <v>31</v>
      </c>
      <c r="J19" s="35">
        <f>SUMIF($O$84:$O$110,I19,$R$84:$R$110)</f>
        <v>3252189</v>
      </c>
      <c r="K19" s="38">
        <f>SUMIF($O$84:$O$110,I19,$S$84:$S$110)</f>
        <v>3325297</v>
      </c>
      <c r="L19" s="156">
        <f t="shared" si="3"/>
        <v>2.2400000000000002</v>
      </c>
      <c r="M19" s="2" t="str">
        <f t="shared" si="0"/>
        <v>Error</v>
      </c>
      <c r="N19" s="195">
        <f t="shared" si="1"/>
        <v>18793</v>
      </c>
      <c r="O19" s="274" t="s">
        <v>26</v>
      </c>
      <c r="P19" s="268">
        <v>18704</v>
      </c>
      <c r="Q19" s="269">
        <v>228</v>
      </c>
      <c r="R19" s="269" t="s">
        <v>0</v>
      </c>
      <c r="S19" s="269">
        <v>252</v>
      </c>
      <c r="T19" s="269">
        <v>360</v>
      </c>
      <c r="U19" s="269" t="s">
        <v>0</v>
      </c>
      <c r="V19" s="269" t="s">
        <v>0</v>
      </c>
      <c r="W19" s="269" t="s">
        <v>0</v>
      </c>
      <c r="X19" s="268">
        <v>3555</v>
      </c>
      <c r="Y19" s="268">
        <v>3464</v>
      </c>
      <c r="Z19" s="269" t="s">
        <v>0</v>
      </c>
      <c r="AA19" s="269" t="s">
        <v>0</v>
      </c>
      <c r="AB19" s="269" t="s">
        <v>0</v>
      </c>
      <c r="AC19" s="268">
        <v>10934</v>
      </c>
      <c r="AD19" s="269" t="s">
        <v>0</v>
      </c>
      <c r="AE19" s="269" t="s">
        <v>0</v>
      </c>
      <c r="AF19" s="269" t="s">
        <v>0</v>
      </c>
      <c r="AG19" s="269" t="s">
        <v>0</v>
      </c>
      <c r="AH19" s="269" t="s">
        <v>0</v>
      </c>
      <c r="AI19" s="268">
        <v>290772</v>
      </c>
      <c r="AJ19" s="269">
        <v>10</v>
      </c>
      <c r="AK19" s="268">
        <v>134606</v>
      </c>
      <c r="AL19" s="269" t="s">
        <v>0</v>
      </c>
      <c r="AM19" s="269">
        <v>473</v>
      </c>
      <c r="AN19" s="269" t="s">
        <v>0</v>
      </c>
      <c r="AO19" s="269" t="s">
        <v>0</v>
      </c>
      <c r="AP19" s="269" t="s">
        <v>0</v>
      </c>
      <c r="AQ19" s="269" t="s">
        <v>0</v>
      </c>
      <c r="AR19" s="268">
        <v>6801981</v>
      </c>
      <c r="AS19" s="269">
        <v>960</v>
      </c>
      <c r="AT19" s="268">
        <v>2256</v>
      </c>
      <c r="AU19" s="268">
        <v>36385</v>
      </c>
      <c r="AV19" s="269">
        <v>1</v>
      </c>
      <c r="AW19" s="269" t="s">
        <v>0</v>
      </c>
      <c r="AX19" s="269" t="s">
        <v>0</v>
      </c>
      <c r="AY19" s="268">
        <v>5424</v>
      </c>
      <c r="AZ19" s="269" t="s">
        <v>0</v>
      </c>
      <c r="BA19" s="269" t="s">
        <v>0</v>
      </c>
      <c r="BB19" s="268">
        <v>131073</v>
      </c>
      <c r="BC19" s="269">
        <v>58</v>
      </c>
      <c r="BD19" s="268">
        <v>5035</v>
      </c>
      <c r="BE19" s="268">
        <v>13045</v>
      </c>
      <c r="BF19" s="268">
        <v>2196</v>
      </c>
      <c r="BG19" s="268">
        <v>22355</v>
      </c>
      <c r="BH19" s="269">
        <v>146</v>
      </c>
      <c r="BI19" s="269" t="s">
        <v>0</v>
      </c>
      <c r="BJ19" s="269">
        <v>188</v>
      </c>
      <c r="BK19" s="269">
        <v>156</v>
      </c>
      <c r="BL19" s="269" t="s">
        <v>0</v>
      </c>
      <c r="BM19" s="269" t="s">
        <v>0</v>
      </c>
      <c r="BN19" s="269" t="s">
        <v>0</v>
      </c>
      <c r="BO19" s="268">
        <v>6193</v>
      </c>
      <c r="BP19" s="268">
        <v>3116</v>
      </c>
      <c r="BQ19" s="269" t="s">
        <v>0</v>
      </c>
      <c r="BR19" s="269" t="s">
        <v>0</v>
      </c>
      <c r="BS19" s="269" t="s">
        <v>0</v>
      </c>
      <c r="BT19" s="268">
        <v>12613</v>
      </c>
      <c r="BU19" s="269" t="s">
        <v>0</v>
      </c>
      <c r="BV19" s="269" t="s">
        <v>0</v>
      </c>
      <c r="BW19" s="269" t="s">
        <v>0</v>
      </c>
      <c r="BX19" s="269" t="s">
        <v>0</v>
      </c>
      <c r="BY19" s="269" t="s">
        <v>0</v>
      </c>
      <c r="BZ19" s="268">
        <v>283362</v>
      </c>
      <c r="CA19" s="269">
        <v>4</v>
      </c>
      <c r="CB19" s="268">
        <v>133171</v>
      </c>
      <c r="CC19" s="269" t="s">
        <v>0</v>
      </c>
      <c r="CD19" s="269">
        <v>406</v>
      </c>
      <c r="CE19" s="269" t="s">
        <v>0</v>
      </c>
      <c r="CF19" s="269" t="s">
        <v>0</v>
      </c>
      <c r="CG19" s="269" t="s">
        <v>0</v>
      </c>
      <c r="CH19" s="269" t="s">
        <v>0</v>
      </c>
      <c r="CI19" s="268">
        <v>6908885</v>
      </c>
      <c r="CJ19" s="269">
        <v>877</v>
      </c>
      <c r="CK19" s="268">
        <v>1308</v>
      </c>
      <c r="CL19" s="268">
        <v>34540</v>
      </c>
      <c r="CM19" s="269">
        <v>97</v>
      </c>
      <c r="CN19" s="269" t="s">
        <v>0</v>
      </c>
      <c r="CO19" s="269" t="s">
        <v>0</v>
      </c>
      <c r="CP19" s="268">
        <v>3578</v>
      </c>
      <c r="CQ19" s="269" t="s">
        <v>0</v>
      </c>
      <c r="CR19" s="269" t="s">
        <v>0</v>
      </c>
      <c r="CS19" s="268">
        <v>146889</v>
      </c>
      <c r="CT19" s="269">
        <v>49</v>
      </c>
      <c r="CU19" s="268">
        <v>5298</v>
      </c>
      <c r="CV19" s="268">
        <v>8955</v>
      </c>
      <c r="CW19" s="276">
        <v>2636</v>
      </c>
    </row>
    <row r="20" spans="1:101" ht="13.5" customHeight="1" x14ac:dyDescent="0.2">
      <c r="A20" s="36"/>
      <c r="B20" s="10">
        <v>7</v>
      </c>
      <c r="C20" s="34" t="s">
        <v>34</v>
      </c>
      <c r="D20" s="35">
        <f>SUMIF($O$84:$O$110,C20,$P$84:$P$110)</f>
        <v>8291923</v>
      </c>
      <c r="E20" s="38">
        <f>SUMIF($O$84:$O$110,C20,$Q$84:$Q$110)</f>
        <v>7845184</v>
      </c>
      <c r="F20" s="156">
        <f t="shared" si="2"/>
        <v>-5.38</v>
      </c>
      <c r="G20" s="9"/>
      <c r="H20" s="44">
        <v>7</v>
      </c>
      <c r="I20" s="34" t="s">
        <v>30</v>
      </c>
      <c r="J20" s="35">
        <f>SUMIF($O$84:$O$110,I20,$R$84:$R$110)</f>
        <v>3362156</v>
      </c>
      <c r="K20" s="38">
        <f>SUMIF($O$84:$O$110,I20,$S$84:$S$110)</f>
        <v>2985903</v>
      </c>
      <c r="L20" s="156">
        <f t="shared" si="3"/>
        <v>-11.19</v>
      </c>
      <c r="M20" s="2" t="str">
        <f t="shared" si="0"/>
        <v>Error</v>
      </c>
      <c r="N20" s="195">
        <f t="shared" si="1"/>
        <v>61589</v>
      </c>
      <c r="O20" s="274" t="s">
        <v>27</v>
      </c>
      <c r="P20" s="268">
        <v>61567</v>
      </c>
      <c r="Q20" s="269">
        <v>56</v>
      </c>
      <c r="R20" s="269">
        <v>18</v>
      </c>
      <c r="S20" s="269">
        <v>20</v>
      </c>
      <c r="T20" s="268">
        <v>1825</v>
      </c>
      <c r="U20" s="269" t="s">
        <v>0</v>
      </c>
      <c r="V20" s="269" t="s">
        <v>0</v>
      </c>
      <c r="W20" s="269" t="s">
        <v>0</v>
      </c>
      <c r="X20" s="268">
        <v>4265</v>
      </c>
      <c r="Y20" s="268">
        <v>29295</v>
      </c>
      <c r="Z20" s="269" t="s">
        <v>0</v>
      </c>
      <c r="AA20" s="269" t="s">
        <v>0</v>
      </c>
      <c r="AB20" s="269">
        <v>63</v>
      </c>
      <c r="AC20" s="268">
        <v>8295</v>
      </c>
      <c r="AD20" s="268">
        <v>17572</v>
      </c>
      <c r="AE20" s="269" t="s">
        <v>0</v>
      </c>
      <c r="AF20" s="269">
        <v>180</v>
      </c>
      <c r="AG20" s="269" t="s">
        <v>0</v>
      </c>
      <c r="AH20" s="269" t="s">
        <v>0</v>
      </c>
      <c r="AI20" s="268">
        <v>16129</v>
      </c>
      <c r="AJ20" s="269" t="s">
        <v>0</v>
      </c>
      <c r="AK20" s="268">
        <v>324125</v>
      </c>
      <c r="AL20" s="269" t="s">
        <v>0</v>
      </c>
      <c r="AM20" s="269" t="s">
        <v>0</v>
      </c>
      <c r="AN20" s="269" t="s">
        <v>0</v>
      </c>
      <c r="AO20" s="269" t="s">
        <v>0</v>
      </c>
      <c r="AP20" s="269">
        <v>893</v>
      </c>
      <c r="AQ20" s="269" t="s">
        <v>0</v>
      </c>
      <c r="AR20" s="268">
        <v>15965218</v>
      </c>
      <c r="AS20" s="268">
        <v>3164</v>
      </c>
      <c r="AT20" s="268">
        <v>29430</v>
      </c>
      <c r="AU20" s="268">
        <v>108940</v>
      </c>
      <c r="AV20" s="269">
        <v>15</v>
      </c>
      <c r="AW20" s="269" t="s">
        <v>0</v>
      </c>
      <c r="AX20" s="269" t="s">
        <v>0</v>
      </c>
      <c r="AY20" s="268">
        <v>3041</v>
      </c>
      <c r="AZ20" s="269" t="s">
        <v>0</v>
      </c>
      <c r="BA20" s="269" t="s">
        <v>0</v>
      </c>
      <c r="BB20" s="268">
        <v>388343</v>
      </c>
      <c r="BC20" s="269" t="s">
        <v>0</v>
      </c>
      <c r="BD20" s="269" t="s">
        <v>0</v>
      </c>
      <c r="BE20" s="268">
        <v>93718</v>
      </c>
      <c r="BF20" s="268">
        <v>237367</v>
      </c>
      <c r="BG20" s="268">
        <v>38499</v>
      </c>
      <c r="BH20" s="269">
        <v>15</v>
      </c>
      <c r="BI20" s="269">
        <v>33</v>
      </c>
      <c r="BJ20" s="269">
        <v>20</v>
      </c>
      <c r="BK20" s="268">
        <v>2207</v>
      </c>
      <c r="BL20" s="269" t="s">
        <v>0</v>
      </c>
      <c r="BM20" s="269" t="s">
        <v>0</v>
      </c>
      <c r="BN20" s="269" t="s">
        <v>0</v>
      </c>
      <c r="BO20" s="268">
        <v>5634</v>
      </c>
      <c r="BP20" s="268">
        <v>19519</v>
      </c>
      <c r="BQ20" s="269" t="s">
        <v>0</v>
      </c>
      <c r="BR20" s="269" t="s">
        <v>0</v>
      </c>
      <c r="BS20" s="269">
        <v>12</v>
      </c>
      <c r="BT20" s="268">
        <v>6745</v>
      </c>
      <c r="BU20" s="268">
        <v>4319</v>
      </c>
      <c r="BV20" s="269" t="s">
        <v>0</v>
      </c>
      <c r="BW20" s="269">
        <v>1</v>
      </c>
      <c r="BX20" s="269" t="s">
        <v>0</v>
      </c>
      <c r="BY20" s="269" t="s">
        <v>0</v>
      </c>
      <c r="BZ20" s="268">
        <v>12844</v>
      </c>
      <c r="CA20" s="269" t="s">
        <v>0</v>
      </c>
      <c r="CB20" s="268">
        <v>366519</v>
      </c>
      <c r="CC20" s="269" t="s">
        <v>0</v>
      </c>
      <c r="CD20" s="269" t="s">
        <v>0</v>
      </c>
      <c r="CE20" s="269" t="s">
        <v>0</v>
      </c>
      <c r="CF20" s="269" t="s">
        <v>0</v>
      </c>
      <c r="CG20" s="269">
        <v>374</v>
      </c>
      <c r="CH20" s="269" t="s">
        <v>0</v>
      </c>
      <c r="CI20" s="268">
        <v>13044509</v>
      </c>
      <c r="CJ20" s="268">
        <v>2903</v>
      </c>
      <c r="CK20" s="268">
        <v>27720</v>
      </c>
      <c r="CL20" s="268">
        <v>129865</v>
      </c>
      <c r="CM20" s="269">
        <v>1</v>
      </c>
      <c r="CN20" s="269" t="s">
        <v>0</v>
      </c>
      <c r="CO20" s="269" t="s">
        <v>0</v>
      </c>
      <c r="CP20" s="268">
        <v>2797</v>
      </c>
      <c r="CQ20" s="269" t="s">
        <v>0</v>
      </c>
      <c r="CR20" s="269" t="s">
        <v>0</v>
      </c>
      <c r="CS20" s="268">
        <v>178820</v>
      </c>
      <c r="CT20" s="269" t="s">
        <v>0</v>
      </c>
      <c r="CU20" s="269" t="s">
        <v>0</v>
      </c>
      <c r="CV20" s="268">
        <v>53331</v>
      </c>
      <c r="CW20" s="276">
        <v>242967</v>
      </c>
    </row>
    <row r="21" spans="1:101" ht="13.5" customHeight="1" x14ac:dyDescent="0.2">
      <c r="A21" s="36"/>
      <c r="B21" s="10">
        <v>8</v>
      </c>
      <c r="C21" s="34" t="s">
        <v>36</v>
      </c>
      <c r="D21" s="35">
        <f>SUMIF($O$84:$O$110,C21,$P$84:$P$110)</f>
        <v>6450352</v>
      </c>
      <c r="E21" s="38">
        <f>SUMIF($O$84:$O$110,C21,$Q$84:$Q$110)</f>
        <v>6090849</v>
      </c>
      <c r="F21" s="156">
        <f t="shared" si="2"/>
        <v>-5.57</v>
      </c>
      <c r="G21" s="9"/>
      <c r="H21" s="44">
        <v>8</v>
      </c>
      <c r="I21" s="34" t="s">
        <v>34</v>
      </c>
      <c r="J21" s="35">
        <f>SUMIF($O$84:$O$110,I21,$R$84:$R$110)</f>
        <v>1979513</v>
      </c>
      <c r="K21" s="38">
        <f>SUMIF($O$84:$O$110,I21,$S$84:$S$110)</f>
        <v>2059213</v>
      </c>
      <c r="L21" s="156">
        <f t="shared" si="3"/>
        <v>4.0199999999999996</v>
      </c>
      <c r="M21" s="2" t="str">
        <f t="shared" si="0"/>
        <v>Error</v>
      </c>
      <c r="N21" s="195">
        <f t="shared" si="1"/>
        <v>46061</v>
      </c>
      <c r="O21" s="274" t="s">
        <v>28</v>
      </c>
      <c r="P21" s="268">
        <v>46046</v>
      </c>
      <c r="Q21" s="269">
        <v>39</v>
      </c>
      <c r="R21" s="269">
        <v>150</v>
      </c>
      <c r="S21" s="268">
        <v>1569</v>
      </c>
      <c r="T21" s="268">
        <v>17301</v>
      </c>
      <c r="U21" s="269" t="s">
        <v>0</v>
      </c>
      <c r="V21" s="269" t="s">
        <v>0</v>
      </c>
      <c r="W21" s="269" t="s">
        <v>0</v>
      </c>
      <c r="X21" s="269">
        <v>120</v>
      </c>
      <c r="Y21" s="268">
        <v>10532</v>
      </c>
      <c r="Z21" s="269" t="s">
        <v>0</v>
      </c>
      <c r="AA21" s="269" t="s">
        <v>0</v>
      </c>
      <c r="AB21" s="269" t="s">
        <v>0</v>
      </c>
      <c r="AC21" s="268">
        <v>15783</v>
      </c>
      <c r="AD21" s="269">
        <v>17</v>
      </c>
      <c r="AE21" s="269">
        <v>550</v>
      </c>
      <c r="AF21" s="269" t="s">
        <v>0</v>
      </c>
      <c r="AG21" s="269" t="s">
        <v>0</v>
      </c>
      <c r="AH21" s="269" t="s">
        <v>0</v>
      </c>
      <c r="AI21" s="268">
        <v>63219</v>
      </c>
      <c r="AJ21" s="269" t="s">
        <v>0</v>
      </c>
      <c r="AK21" s="268">
        <v>50941</v>
      </c>
      <c r="AL21" s="269" t="s">
        <v>0</v>
      </c>
      <c r="AM21" s="269" t="s">
        <v>0</v>
      </c>
      <c r="AN21" s="269" t="s">
        <v>0</v>
      </c>
      <c r="AO21" s="269" t="s">
        <v>0</v>
      </c>
      <c r="AP21" s="269" t="s">
        <v>0</v>
      </c>
      <c r="AQ21" s="269" t="s">
        <v>0</v>
      </c>
      <c r="AR21" s="268">
        <v>20714441</v>
      </c>
      <c r="AS21" s="269">
        <v>612</v>
      </c>
      <c r="AT21" s="269" t="s">
        <v>0</v>
      </c>
      <c r="AU21" s="268">
        <v>67800</v>
      </c>
      <c r="AV21" s="268">
        <v>12397</v>
      </c>
      <c r="AW21" s="269" t="s">
        <v>0</v>
      </c>
      <c r="AX21" s="269" t="s">
        <v>0</v>
      </c>
      <c r="AY21" s="268">
        <v>55300</v>
      </c>
      <c r="AZ21" s="269" t="s">
        <v>0</v>
      </c>
      <c r="BA21" s="269" t="s">
        <v>0</v>
      </c>
      <c r="BB21" s="268">
        <v>293129</v>
      </c>
      <c r="BC21" s="269">
        <v>453</v>
      </c>
      <c r="BD21" s="269" t="s">
        <v>0</v>
      </c>
      <c r="BE21" s="268">
        <v>5380</v>
      </c>
      <c r="BF21" s="269" t="s">
        <v>0</v>
      </c>
      <c r="BG21" s="268">
        <v>38091</v>
      </c>
      <c r="BH21" s="269">
        <v>28</v>
      </c>
      <c r="BI21" s="269">
        <v>408</v>
      </c>
      <c r="BJ21" s="268">
        <v>2193</v>
      </c>
      <c r="BK21" s="268">
        <v>15149</v>
      </c>
      <c r="BL21" s="269" t="s">
        <v>0</v>
      </c>
      <c r="BM21" s="269" t="s">
        <v>0</v>
      </c>
      <c r="BN21" s="269" t="s">
        <v>0</v>
      </c>
      <c r="BO21" s="269">
        <v>337</v>
      </c>
      <c r="BP21" s="268">
        <v>5627</v>
      </c>
      <c r="BQ21" s="269" t="s">
        <v>0</v>
      </c>
      <c r="BR21" s="269" t="s">
        <v>0</v>
      </c>
      <c r="BS21" s="269" t="s">
        <v>0</v>
      </c>
      <c r="BT21" s="268">
        <v>9861</v>
      </c>
      <c r="BU21" s="268">
        <v>3949</v>
      </c>
      <c r="BV21" s="269">
        <v>550</v>
      </c>
      <c r="BW21" s="269" t="s">
        <v>0</v>
      </c>
      <c r="BX21" s="269" t="s">
        <v>0</v>
      </c>
      <c r="BY21" s="269" t="s">
        <v>0</v>
      </c>
      <c r="BZ21" s="268">
        <v>37298</v>
      </c>
      <c r="CA21" s="269" t="s">
        <v>0</v>
      </c>
      <c r="CB21" s="268">
        <v>53907</v>
      </c>
      <c r="CC21" s="269" t="s">
        <v>0</v>
      </c>
      <c r="CD21" s="269" t="s">
        <v>0</v>
      </c>
      <c r="CE21" s="269" t="s">
        <v>0</v>
      </c>
      <c r="CF21" s="269" t="s">
        <v>0</v>
      </c>
      <c r="CG21" s="269" t="s">
        <v>0</v>
      </c>
      <c r="CH21" s="269" t="s">
        <v>0</v>
      </c>
      <c r="CI21" s="268">
        <v>19079722</v>
      </c>
      <c r="CJ21" s="269">
        <v>644</v>
      </c>
      <c r="CK21" s="269" t="s">
        <v>0</v>
      </c>
      <c r="CL21" s="268">
        <v>75346</v>
      </c>
      <c r="CM21" s="268">
        <v>3547</v>
      </c>
      <c r="CN21" s="269" t="s">
        <v>0</v>
      </c>
      <c r="CO21" s="269" t="s">
        <v>0</v>
      </c>
      <c r="CP21" s="268">
        <v>103006</v>
      </c>
      <c r="CQ21" s="269" t="s">
        <v>0</v>
      </c>
      <c r="CR21" s="269" t="s">
        <v>0</v>
      </c>
      <c r="CS21" s="268">
        <v>279120</v>
      </c>
      <c r="CT21" s="269">
        <v>584</v>
      </c>
      <c r="CU21" s="269" t="s">
        <v>0</v>
      </c>
      <c r="CV21" s="268">
        <v>7568</v>
      </c>
      <c r="CW21" s="275" t="s">
        <v>0</v>
      </c>
    </row>
    <row r="22" spans="1:101" ht="13.5" customHeight="1" x14ac:dyDescent="0.2">
      <c r="A22" s="36"/>
      <c r="B22" s="10">
        <v>9</v>
      </c>
      <c r="C22" s="34" t="s">
        <v>30</v>
      </c>
      <c r="D22" s="35">
        <f>SUMIF($O$84:$O$110,C22,$P$84:$P$110)</f>
        <v>9005999</v>
      </c>
      <c r="E22" s="38">
        <f>SUMIF($O$84:$O$110,C22,$Q$84:$Q$110)</f>
        <v>5850147</v>
      </c>
      <c r="F22" s="156">
        <f t="shared" si="2"/>
        <v>-35.04</v>
      </c>
      <c r="G22" s="9"/>
      <c r="H22" s="44">
        <v>9</v>
      </c>
      <c r="I22" s="34" t="s">
        <v>22</v>
      </c>
      <c r="J22" s="35">
        <f>SUMIF($O$84:$O$110,I22,$R$84:$R$110)</f>
        <v>1576348</v>
      </c>
      <c r="K22" s="38">
        <f>SUMIF($O$84:$O$110,I22,$S$84:$S$110)</f>
        <v>1399512</v>
      </c>
      <c r="L22" s="156">
        <f t="shared" si="3"/>
        <v>-11.21</v>
      </c>
      <c r="M22" s="2" t="str">
        <f t="shared" si="0"/>
        <v>OK</v>
      </c>
      <c r="N22" s="195">
        <f t="shared" si="1"/>
        <v>530797</v>
      </c>
      <c r="O22" s="274" t="s">
        <v>29</v>
      </c>
      <c r="P22" s="268">
        <v>530797</v>
      </c>
      <c r="Q22" s="269" t="s">
        <v>0</v>
      </c>
      <c r="R22" s="269">
        <v>34</v>
      </c>
      <c r="S22" s="268">
        <v>1878</v>
      </c>
      <c r="T22" s="268">
        <v>25164</v>
      </c>
      <c r="U22" s="269" t="s">
        <v>0</v>
      </c>
      <c r="V22" s="269" t="s">
        <v>0</v>
      </c>
      <c r="W22" s="269" t="s">
        <v>0</v>
      </c>
      <c r="X22" s="269">
        <v>510</v>
      </c>
      <c r="Y22" s="268">
        <v>7482</v>
      </c>
      <c r="Z22" s="269" t="s">
        <v>0</v>
      </c>
      <c r="AA22" s="269" t="s">
        <v>0</v>
      </c>
      <c r="AB22" s="269" t="s">
        <v>0</v>
      </c>
      <c r="AC22" s="269" t="s">
        <v>0</v>
      </c>
      <c r="AD22" s="268">
        <v>495729</v>
      </c>
      <c r="AE22" s="269" t="s">
        <v>0</v>
      </c>
      <c r="AF22" s="269" t="s">
        <v>0</v>
      </c>
      <c r="AG22" s="269" t="s">
        <v>0</v>
      </c>
      <c r="AH22" s="269" t="s">
        <v>0</v>
      </c>
      <c r="AI22" s="268">
        <v>18531</v>
      </c>
      <c r="AJ22" s="269" t="s">
        <v>0</v>
      </c>
      <c r="AK22" s="268">
        <v>29337</v>
      </c>
      <c r="AL22" s="269" t="s">
        <v>0</v>
      </c>
      <c r="AM22" s="269" t="s">
        <v>0</v>
      </c>
      <c r="AN22" s="269" t="s">
        <v>0</v>
      </c>
      <c r="AO22" s="269" t="s">
        <v>0</v>
      </c>
      <c r="AP22" s="269" t="s">
        <v>0</v>
      </c>
      <c r="AQ22" s="269" t="s">
        <v>0</v>
      </c>
      <c r="AR22" s="268">
        <v>3220415</v>
      </c>
      <c r="AS22" s="269" t="s">
        <v>0</v>
      </c>
      <c r="AT22" s="269" t="s">
        <v>0</v>
      </c>
      <c r="AU22" s="268">
        <v>240203</v>
      </c>
      <c r="AV22" s="269">
        <v>467</v>
      </c>
      <c r="AW22" s="269" t="s">
        <v>0</v>
      </c>
      <c r="AX22" s="269" t="s">
        <v>0</v>
      </c>
      <c r="AY22" s="268">
        <v>552817</v>
      </c>
      <c r="AZ22" s="269" t="s">
        <v>0</v>
      </c>
      <c r="BA22" s="269" t="s">
        <v>0</v>
      </c>
      <c r="BB22" s="268">
        <v>380182</v>
      </c>
      <c r="BC22" s="269" t="s">
        <v>0</v>
      </c>
      <c r="BD22" s="269" t="s">
        <v>0</v>
      </c>
      <c r="BE22" s="268">
        <v>1274</v>
      </c>
      <c r="BF22" s="269" t="s">
        <v>0</v>
      </c>
      <c r="BG22" s="268">
        <v>176331</v>
      </c>
      <c r="BH22" s="269" t="s">
        <v>0</v>
      </c>
      <c r="BI22" s="269">
        <v>34</v>
      </c>
      <c r="BJ22" s="269">
        <v>991</v>
      </c>
      <c r="BK22" s="268">
        <v>32682</v>
      </c>
      <c r="BL22" s="269" t="s">
        <v>0</v>
      </c>
      <c r="BM22" s="269" t="s">
        <v>0</v>
      </c>
      <c r="BN22" s="269" t="s">
        <v>0</v>
      </c>
      <c r="BO22" s="269">
        <v>360</v>
      </c>
      <c r="BP22" s="268">
        <v>2331</v>
      </c>
      <c r="BQ22" s="269" t="s">
        <v>0</v>
      </c>
      <c r="BR22" s="269" t="s">
        <v>0</v>
      </c>
      <c r="BS22" s="269" t="s">
        <v>0</v>
      </c>
      <c r="BT22" s="269" t="s">
        <v>0</v>
      </c>
      <c r="BU22" s="268">
        <v>139933</v>
      </c>
      <c r="BV22" s="269" t="s">
        <v>0</v>
      </c>
      <c r="BW22" s="269" t="s">
        <v>0</v>
      </c>
      <c r="BX22" s="269" t="s">
        <v>0</v>
      </c>
      <c r="BY22" s="269" t="s">
        <v>0</v>
      </c>
      <c r="BZ22" s="268">
        <v>16974</v>
      </c>
      <c r="CA22" s="269" t="s">
        <v>0</v>
      </c>
      <c r="CB22" s="268">
        <v>24043</v>
      </c>
      <c r="CC22" s="269" t="s">
        <v>0</v>
      </c>
      <c r="CD22" s="269" t="s">
        <v>0</v>
      </c>
      <c r="CE22" s="269" t="s">
        <v>0</v>
      </c>
      <c r="CF22" s="269" t="s">
        <v>0</v>
      </c>
      <c r="CG22" s="269" t="s">
        <v>0</v>
      </c>
      <c r="CH22" s="269" t="s">
        <v>0</v>
      </c>
      <c r="CI22" s="268">
        <v>3163751</v>
      </c>
      <c r="CJ22" s="269" t="s">
        <v>0</v>
      </c>
      <c r="CK22" s="269" t="s">
        <v>0</v>
      </c>
      <c r="CL22" s="268">
        <v>230646</v>
      </c>
      <c r="CM22" s="269">
        <v>192</v>
      </c>
      <c r="CN22" s="269" t="s">
        <v>0</v>
      </c>
      <c r="CO22" s="269" t="s">
        <v>0</v>
      </c>
      <c r="CP22" s="268">
        <v>489156</v>
      </c>
      <c r="CQ22" s="269" t="s">
        <v>0</v>
      </c>
      <c r="CR22" s="269" t="s">
        <v>0</v>
      </c>
      <c r="CS22" s="268">
        <v>279005</v>
      </c>
      <c r="CT22" s="269" t="s">
        <v>0</v>
      </c>
      <c r="CU22" s="269" t="s">
        <v>0</v>
      </c>
      <c r="CV22" s="269">
        <v>110</v>
      </c>
      <c r="CW22" s="275" t="s">
        <v>0</v>
      </c>
    </row>
    <row r="23" spans="1:101" ht="13.5" customHeight="1" x14ac:dyDescent="0.2">
      <c r="A23" s="36"/>
      <c r="B23" s="10">
        <v>10</v>
      </c>
      <c r="C23" s="34" t="s">
        <v>21</v>
      </c>
      <c r="D23" s="35">
        <f>SUMIF($O$84:$O$110,C23,$P$84:$P$110)</f>
        <v>3726475</v>
      </c>
      <c r="E23" s="38">
        <f>SUMIF($O$84:$O$110,C23,$Q$84:$Q$110)</f>
        <v>2737194</v>
      </c>
      <c r="F23" s="156">
        <f t="shared" si="2"/>
        <v>-26.54</v>
      </c>
      <c r="G23" s="9"/>
      <c r="H23" s="44">
        <v>10</v>
      </c>
      <c r="I23" s="34" t="s">
        <v>23</v>
      </c>
      <c r="J23" s="35">
        <f>SUMIF($O$84:$O$110,I23,$R$84:$R$110)</f>
        <v>1408868</v>
      </c>
      <c r="K23" s="38">
        <f>SUMIF($O$84:$O$110,I23,$S$84:$S$110)</f>
        <v>1361412</v>
      </c>
      <c r="L23" s="156">
        <f t="shared" si="3"/>
        <v>-3.36</v>
      </c>
      <c r="M23" s="2" t="str">
        <f t="shared" si="0"/>
        <v>Error</v>
      </c>
      <c r="N23" s="195">
        <f t="shared" si="1"/>
        <v>9005999</v>
      </c>
      <c r="O23" s="274" t="s">
        <v>30</v>
      </c>
      <c r="P23" s="268">
        <v>8539300</v>
      </c>
      <c r="Q23" s="268">
        <v>1196663</v>
      </c>
      <c r="R23" s="268">
        <v>2436</v>
      </c>
      <c r="S23" s="268">
        <v>3687</v>
      </c>
      <c r="T23" s="268">
        <v>8357</v>
      </c>
      <c r="U23" s="269" t="s">
        <v>0</v>
      </c>
      <c r="V23" s="269" t="s">
        <v>0</v>
      </c>
      <c r="W23" s="269" t="s">
        <v>0</v>
      </c>
      <c r="X23" s="268">
        <v>224865</v>
      </c>
      <c r="Y23" s="268">
        <v>189614</v>
      </c>
      <c r="Z23" s="269">
        <v>186</v>
      </c>
      <c r="AA23" s="269" t="s">
        <v>0</v>
      </c>
      <c r="AB23" s="268">
        <v>45155</v>
      </c>
      <c r="AC23" s="268">
        <v>2028029</v>
      </c>
      <c r="AD23" s="268">
        <v>655082</v>
      </c>
      <c r="AE23" s="268">
        <v>4513633</v>
      </c>
      <c r="AF23" s="268">
        <v>135292</v>
      </c>
      <c r="AG23" s="268">
        <v>3000</v>
      </c>
      <c r="AH23" s="269" t="s">
        <v>0</v>
      </c>
      <c r="AI23" s="268">
        <v>144827</v>
      </c>
      <c r="AJ23" s="268">
        <v>7609</v>
      </c>
      <c r="AK23" s="268">
        <v>1068341</v>
      </c>
      <c r="AL23" s="268">
        <v>181770</v>
      </c>
      <c r="AM23" s="268">
        <v>60679</v>
      </c>
      <c r="AN23" s="268">
        <v>59520</v>
      </c>
      <c r="AO23" s="268">
        <v>153257</v>
      </c>
      <c r="AP23" s="268">
        <v>125010</v>
      </c>
      <c r="AQ23" s="268">
        <v>84098</v>
      </c>
      <c r="AR23" s="268">
        <v>6227728</v>
      </c>
      <c r="AS23" s="268">
        <v>4543</v>
      </c>
      <c r="AT23" s="268">
        <v>282904</v>
      </c>
      <c r="AU23" s="268">
        <v>748904</v>
      </c>
      <c r="AV23" s="268">
        <v>3716</v>
      </c>
      <c r="AW23" s="268">
        <v>2694</v>
      </c>
      <c r="AX23" s="269" t="s">
        <v>0</v>
      </c>
      <c r="AY23" s="268">
        <v>962978</v>
      </c>
      <c r="AZ23" s="269">
        <v>870</v>
      </c>
      <c r="BA23" s="269" t="s">
        <v>0</v>
      </c>
      <c r="BB23" s="268">
        <v>2098575</v>
      </c>
      <c r="BC23" s="268">
        <v>4696</v>
      </c>
      <c r="BD23" s="268">
        <v>178375</v>
      </c>
      <c r="BE23" s="268">
        <v>323660</v>
      </c>
      <c r="BF23" s="268">
        <v>77408</v>
      </c>
      <c r="BG23" s="268">
        <v>5540033</v>
      </c>
      <c r="BH23" s="268">
        <v>795164</v>
      </c>
      <c r="BI23" s="268">
        <v>1980</v>
      </c>
      <c r="BJ23" s="268">
        <v>3392</v>
      </c>
      <c r="BK23" s="268">
        <v>5160</v>
      </c>
      <c r="BL23" s="269" t="s">
        <v>0</v>
      </c>
      <c r="BM23" s="269" t="s">
        <v>0</v>
      </c>
      <c r="BN23" s="269" t="s">
        <v>0</v>
      </c>
      <c r="BO23" s="268">
        <v>85245</v>
      </c>
      <c r="BP23" s="268">
        <v>85690</v>
      </c>
      <c r="BQ23" s="269">
        <v>186</v>
      </c>
      <c r="BR23" s="269" t="s">
        <v>0</v>
      </c>
      <c r="BS23" s="268">
        <v>20400</v>
      </c>
      <c r="BT23" s="268">
        <v>1273690</v>
      </c>
      <c r="BU23" s="268">
        <v>272000</v>
      </c>
      <c r="BV23" s="268">
        <v>3212600</v>
      </c>
      <c r="BW23" s="268">
        <v>91640</v>
      </c>
      <c r="BX23" s="268">
        <v>3000</v>
      </c>
      <c r="BY23" s="269" t="s">
        <v>0</v>
      </c>
      <c r="BZ23" s="268">
        <v>129600</v>
      </c>
      <c r="CA23" s="268">
        <v>6170</v>
      </c>
      <c r="CB23" s="268">
        <v>1125000</v>
      </c>
      <c r="CC23" s="268">
        <v>104174</v>
      </c>
      <c r="CD23" s="268">
        <v>124151</v>
      </c>
      <c r="CE23" s="268">
        <v>86326</v>
      </c>
      <c r="CF23" s="268">
        <v>116122</v>
      </c>
      <c r="CG23" s="268">
        <v>88720</v>
      </c>
      <c r="CH23" s="268">
        <v>45877</v>
      </c>
      <c r="CI23" s="268">
        <v>5475000</v>
      </c>
      <c r="CJ23" s="268">
        <v>7260</v>
      </c>
      <c r="CK23" s="268">
        <v>255200</v>
      </c>
      <c r="CL23" s="268">
        <v>522500</v>
      </c>
      <c r="CM23" s="268">
        <v>2700</v>
      </c>
      <c r="CN23" s="268">
        <v>2600</v>
      </c>
      <c r="CO23" s="269" t="s">
        <v>0</v>
      </c>
      <c r="CP23" s="268">
        <v>985650</v>
      </c>
      <c r="CQ23" s="269">
        <v>30</v>
      </c>
      <c r="CR23" s="269" t="s">
        <v>0</v>
      </c>
      <c r="CS23" s="268">
        <v>1870000</v>
      </c>
      <c r="CT23" s="268">
        <v>4500</v>
      </c>
      <c r="CU23" s="268">
        <v>127500</v>
      </c>
      <c r="CV23" s="268">
        <v>175170</v>
      </c>
      <c r="CW23" s="276">
        <v>62740</v>
      </c>
    </row>
    <row r="24" spans="1:101" ht="13.5" customHeight="1" x14ac:dyDescent="0.2">
      <c r="A24" s="36"/>
      <c r="B24" s="10">
        <v>11</v>
      </c>
      <c r="C24" s="34" t="s">
        <v>22</v>
      </c>
      <c r="D24" s="35">
        <f>SUMIF($O$84:$O$110,C24,$P$84:$P$110)</f>
        <v>3967576</v>
      </c>
      <c r="E24" s="38">
        <f>SUMIF($O$84:$O$110,C24,$Q$84:$Q$110)</f>
        <v>2208893</v>
      </c>
      <c r="F24" s="156">
        <f t="shared" si="2"/>
        <v>-44.32</v>
      </c>
      <c r="G24" s="51"/>
      <c r="H24" s="44">
        <v>11</v>
      </c>
      <c r="I24" s="34" t="s">
        <v>36</v>
      </c>
      <c r="J24" s="35">
        <f>SUMIF($O$84:$O$110,I24,$R$84:$R$110)</f>
        <v>1334480</v>
      </c>
      <c r="K24" s="38">
        <f>SUMIF($O$84:$O$110,I24,$S$84:$S$110)</f>
        <v>1325430</v>
      </c>
      <c r="L24" s="156">
        <f t="shared" si="3"/>
        <v>-0.67</v>
      </c>
      <c r="M24" s="2" t="str">
        <f t="shared" si="0"/>
        <v>Error</v>
      </c>
      <c r="N24" s="195">
        <f t="shared" si="1"/>
        <v>11762241</v>
      </c>
      <c r="O24" s="274" t="s">
        <v>31</v>
      </c>
      <c r="P24" s="268">
        <v>11735882</v>
      </c>
      <c r="Q24" s="268">
        <v>67588</v>
      </c>
      <c r="R24" s="268">
        <v>8994</v>
      </c>
      <c r="S24" s="269" t="s">
        <v>0</v>
      </c>
      <c r="T24" s="268">
        <v>24568</v>
      </c>
      <c r="U24" s="269">
        <v>900</v>
      </c>
      <c r="V24" s="269" t="s">
        <v>0</v>
      </c>
      <c r="W24" s="269" t="s">
        <v>0</v>
      </c>
      <c r="X24" s="268">
        <v>161713</v>
      </c>
      <c r="Y24" s="268">
        <v>157402</v>
      </c>
      <c r="Z24" s="268">
        <v>190049</v>
      </c>
      <c r="AA24" s="268">
        <v>21257</v>
      </c>
      <c r="AB24" s="269">
        <v>170</v>
      </c>
      <c r="AC24" s="268">
        <v>5430911</v>
      </c>
      <c r="AD24" s="268">
        <v>1408386</v>
      </c>
      <c r="AE24" s="268">
        <v>3524055</v>
      </c>
      <c r="AF24" s="268">
        <v>521034</v>
      </c>
      <c r="AG24" s="268">
        <v>245214</v>
      </c>
      <c r="AH24" s="269" t="s">
        <v>0</v>
      </c>
      <c r="AI24" s="268">
        <v>263133</v>
      </c>
      <c r="AJ24" s="268">
        <v>36025</v>
      </c>
      <c r="AK24" s="268">
        <v>795900</v>
      </c>
      <c r="AL24" s="268">
        <v>553645</v>
      </c>
      <c r="AM24" s="268">
        <v>358357</v>
      </c>
      <c r="AN24" s="268">
        <v>300920</v>
      </c>
      <c r="AO24" s="269">
        <v>129</v>
      </c>
      <c r="AP24" s="268">
        <v>1325471</v>
      </c>
      <c r="AQ24" s="268">
        <v>20363</v>
      </c>
      <c r="AR24" s="268">
        <v>69017764</v>
      </c>
      <c r="AS24" s="269" t="s">
        <v>0</v>
      </c>
      <c r="AT24" s="268">
        <v>195528</v>
      </c>
      <c r="AU24" s="268">
        <v>36328</v>
      </c>
      <c r="AV24" s="269" t="s">
        <v>0</v>
      </c>
      <c r="AW24" s="269" t="s">
        <v>0</v>
      </c>
      <c r="AX24" s="269" t="s">
        <v>0</v>
      </c>
      <c r="AY24" s="268">
        <v>987363</v>
      </c>
      <c r="AZ24" s="268">
        <v>5046</v>
      </c>
      <c r="BA24" s="269" t="s">
        <v>0</v>
      </c>
      <c r="BB24" s="268">
        <v>851546</v>
      </c>
      <c r="BC24" s="269">
        <v>37</v>
      </c>
      <c r="BD24" s="269" t="s">
        <v>0</v>
      </c>
      <c r="BE24" s="268">
        <v>715890</v>
      </c>
      <c r="BF24" s="268">
        <v>12615</v>
      </c>
      <c r="BG24" s="268">
        <v>11752223</v>
      </c>
      <c r="BH24" s="268">
        <v>66401</v>
      </c>
      <c r="BI24" s="268">
        <v>7817</v>
      </c>
      <c r="BJ24" s="269" t="s">
        <v>0</v>
      </c>
      <c r="BK24" s="268">
        <v>15283</v>
      </c>
      <c r="BL24" s="269">
        <v>900</v>
      </c>
      <c r="BM24" s="269" t="s">
        <v>0</v>
      </c>
      <c r="BN24" s="269" t="s">
        <v>0</v>
      </c>
      <c r="BO24" s="268">
        <v>187812</v>
      </c>
      <c r="BP24" s="268">
        <v>151260</v>
      </c>
      <c r="BQ24" s="268">
        <v>183316</v>
      </c>
      <c r="BR24" s="268">
        <v>6712</v>
      </c>
      <c r="BS24" s="269">
        <v>240</v>
      </c>
      <c r="BT24" s="268">
        <v>5046158</v>
      </c>
      <c r="BU24" s="268">
        <v>797421</v>
      </c>
      <c r="BV24" s="268">
        <v>4747494</v>
      </c>
      <c r="BW24" s="268">
        <v>347869</v>
      </c>
      <c r="BX24" s="268">
        <v>219436</v>
      </c>
      <c r="BY24" s="269" t="s">
        <v>0</v>
      </c>
      <c r="BZ24" s="268">
        <v>251429</v>
      </c>
      <c r="CA24" s="268">
        <v>48139</v>
      </c>
      <c r="CB24" s="268">
        <v>772845</v>
      </c>
      <c r="CC24" s="268">
        <v>566324</v>
      </c>
      <c r="CD24" s="268">
        <v>393967</v>
      </c>
      <c r="CE24" s="268">
        <v>299591</v>
      </c>
      <c r="CF24" s="269">
        <v>162</v>
      </c>
      <c r="CG24" s="268">
        <v>1817883</v>
      </c>
      <c r="CH24" s="268">
        <v>18056</v>
      </c>
      <c r="CI24" s="268">
        <v>69934887</v>
      </c>
      <c r="CJ24" s="269" t="s">
        <v>0</v>
      </c>
      <c r="CK24" s="268">
        <v>185524</v>
      </c>
      <c r="CL24" s="268">
        <v>34146</v>
      </c>
      <c r="CM24" s="269" t="s">
        <v>0</v>
      </c>
      <c r="CN24" s="269" t="s">
        <v>0</v>
      </c>
      <c r="CO24" s="269" t="s">
        <v>0</v>
      </c>
      <c r="CP24" s="268">
        <v>962113</v>
      </c>
      <c r="CQ24" s="268">
        <v>5112</v>
      </c>
      <c r="CR24" s="269" t="s">
        <v>0</v>
      </c>
      <c r="CS24" s="268">
        <v>844308</v>
      </c>
      <c r="CT24" s="269">
        <v>37</v>
      </c>
      <c r="CU24" s="269" t="s">
        <v>0</v>
      </c>
      <c r="CV24" s="268">
        <v>702510</v>
      </c>
      <c r="CW24" s="276">
        <v>11224</v>
      </c>
    </row>
    <row r="25" spans="1:101" ht="13.5" customHeight="1" x14ac:dyDescent="0.2">
      <c r="A25" s="36"/>
      <c r="B25" s="10">
        <v>12</v>
      </c>
      <c r="C25" s="34" t="s">
        <v>19</v>
      </c>
      <c r="D25" s="35">
        <f>SUMIF($O$84:$O$110,C25,$P$84:$P$110)</f>
        <v>1990621</v>
      </c>
      <c r="E25" s="38">
        <f>SUMIF($O$84:$O$110,C25,$Q$84:$Q$110)</f>
        <v>2166910</v>
      </c>
      <c r="F25" s="156">
        <f t="shared" si="2"/>
        <v>8.85</v>
      </c>
      <c r="G25" s="9"/>
      <c r="H25" s="44">
        <v>12</v>
      </c>
      <c r="I25" s="34" t="s">
        <v>21</v>
      </c>
      <c r="J25" s="35">
        <f>SUMIF($O$84:$O$110,I25,$R$84:$R$110)</f>
        <v>1134508</v>
      </c>
      <c r="K25" s="38">
        <f>SUMIF($O$84:$O$110,I25,$S$84:$S$110)</f>
        <v>1036245</v>
      </c>
      <c r="L25" s="156">
        <f t="shared" si="3"/>
        <v>-8.66</v>
      </c>
      <c r="M25" s="2" t="str">
        <f t="shared" si="0"/>
        <v>OK</v>
      </c>
      <c r="N25" s="195">
        <f t="shared" si="1"/>
        <v>44412</v>
      </c>
      <c r="O25" s="274" t="s">
        <v>32</v>
      </c>
      <c r="P25" s="268">
        <v>44412</v>
      </c>
      <c r="Q25" s="269" t="s">
        <v>0</v>
      </c>
      <c r="R25" s="269" t="s">
        <v>0</v>
      </c>
      <c r="S25" s="269" t="s">
        <v>0</v>
      </c>
      <c r="T25" s="269">
        <v>782</v>
      </c>
      <c r="U25" s="269" t="s">
        <v>0</v>
      </c>
      <c r="V25" s="269" t="s">
        <v>0</v>
      </c>
      <c r="W25" s="269" t="s">
        <v>0</v>
      </c>
      <c r="X25" s="268">
        <v>3941</v>
      </c>
      <c r="Y25" s="268">
        <v>9026</v>
      </c>
      <c r="Z25" s="269">
        <v>516</v>
      </c>
      <c r="AA25" s="269" t="s">
        <v>0</v>
      </c>
      <c r="AB25" s="269" t="s">
        <v>0</v>
      </c>
      <c r="AC25" s="268">
        <v>22798</v>
      </c>
      <c r="AD25" s="268">
        <v>7349</v>
      </c>
      <c r="AE25" s="269" t="s">
        <v>0</v>
      </c>
      <c r="AF25" s="269" t="s">
        <v>0</v>
      </c>
      <c r="AG25" s="269" t="s">
        <v>0</v>
      </c>
      <c r="AH25" s="269" t="s">
        <v>0</v>
      </c>
      <c r="AI25" s="268">
        <v>41261</v>
      </c>
      <c r="AJ25" s="269">
        <v>877</v>
      </c>
      <c r="AK25" s="268">
        <v>277512</v>
      </c>
      <c r="AL25" s="268">
        <v>6808</v>
      </c>
      <c r="AM25" s="268">
        <v>1895</v>
      </c>
      <c r="AN25" s="269" t="s">
        <v>0</v>
      </c>
      <c r="AO25" s="268">
        <v>5467</v>
      </c>
      <c r="AP25" s="268">
        <v>168088</v>
      </c>
      <c r="AQ25" s="268">
        <v>450174</v>
      </c>
      <c r="AR25" s="268">
        <v>3320809</v>
      </c>
      <c r="AS25" s="269" t="s">
        <v>0</v>
      </c>
      <c r="AT25" s="268">
        <v>4228</v>
      </c>
      <c r="AU25" s="268">
        <v>134162</v>
      </c>
      <c r="AV25" s="269" t="s">
        <v>0</v>
      </c>
      <c r="AW25" s="269" t="s">
        <v>0</v>
      </c>
      <c r="AX25" s="269" t="s">
        <v>0</v>
      </c>
      <c r="AY25" s="268">
        <v>15369</v>
      </c>
      <c r="AZ25" s="269" t="s">
        <v>0</v>
      </c>
      <c r="BA25" s="269" t="s">
        <v>0</v>
      </c>
      <c r="BB25" s="268">
        <v>140952</v>
      </c>
      <c r="BC25" s="268">
        <v>13863</v>
      </c>
      <c r="BD25" s="269" t="s">
        <v>0</v>
      </c>
      <c r="BE25" s="268">
        <v>144834</v>
      </c>
      <c r="BF25" s="268">
        <v>2327</v>
      </c>
      <c r="BG25" s="268">
        <v>49279</v>
      </c>
      <c r="BH25" s="269" t="s">
        <v>0</v>
      </c>
      <c r="BI25" s="269" t="s">
        <v>0</v>
      </c>
      <c r="BJ25" s="269" t="s">
        <v>0</v>
      </c>
      <c r="BK25" s="269">
        <v>491</v>
      </c>
      <c r="BL25" s="269" t="s">
        <v>0</v>
      </c>
      <c r="BM25" s="269" t="s">
        <v>0</v>
      </c>
      <c r="BN25" s="269" t="s">
        <v>0</v>
      </c>
      <c r="BO25" s="268">
        <v>6115</v>
      </c>
      <c r="BP25" s="268">
        <v>4208</v>
      </c>
      <c r="BQ25" s="269">
        <v>526</v>
      </c>
      <c r="BR25" s="269" t="s">
        <v>0</v>
      </c>
      <c r="BS25" s="269" t="s">
        <v>0</v>
      </c>
      <c r="BT25" s="268">
        <v>35264</v>
      </c>
      <c r="BU25" s="268">
        <v>2675</v>
      </c>
      <c r="BV25" s="269" t="s">
        <v>0</v>
      </c>
      <c r="BW25" s="269" t="s">
        <v>0</v>
      </c>
      <c r="BX25" s="269" t="s">
        <v>0</v>
      </c>
      <c r="BY25" s="269" t="s">
        <v>0</v>
      </c>
      <c r="BZ25" s="268">
        <v>46326</v>
      </c>
      <c r="CA25" s="269">
        <v>850</v>
      </c>
      <c r="CB25" s="268">
        <v>262566</v>
      </c>
      <c r="CC25" s="268">
        <v>5702</v>
      </c>
      <c r="CD25" s="269">
        <v>698</v>
      </c>
      <c r="CE25" s="269" t="s">
        <v>0</v>
      </c>
      <c r="CF25" s="268">
        <v>5507</v>
      </c>
      <c r="CG25" s="268">
        <v>211359</v>
      </c>
      <c r="CH25" s="268">
        <v>304008</v>
      </c>
      <c r="CI25" s="268">
        <v>2845580</v>
      </c>
      <c r="CJ25" s="269" t="s">
        <v>0</v>
      </c>
      <c r="CK25" s="268">
        <v>8180</v>
      </c>
      <c r="CL25" s="268">
        <v>92073</v>
      </c>
      <c r="CM25" s="269" t="s">
        <v>0</v>
      </c>
      <c r="CN25" s="269" t="s">
        <v>0</v>
      </c>
      <c r="CO25" s="269" t="s">
        <v>0</v>
      </c>
      <c r="CP25" s="268">
        <v>15552</v>
      </c>
      <c r="CQ25" s="269" t="s">
        <v>0</v>
      </c>
      <c r="CR25" s="269" t="s">
        <v>0</v>
      </c>
      <c r="CS25" s="268">
        <v>122926</v>
      </c>
      <c r="CT25" s="268">
        <v>12754</v>
      </c>
      <c r="CU25" s="269" t="s">
        <v>0</v>
      </c>
      <c r="CV25" s="268">
        <v>154074</v>
      </c>
      <c r="CW25" s="276">
        <v>2469</v>
      </c>
    </row>
    <row r="26" spans="1:101" ht="13.5" customHeight="1" x14ac:dyDescent="0.2">
      <c r="A26" s="36"/>
      <c r="B26" s="10">
        <v>13</v>
      </c>
      <c r="C26" s="34" t="s">
        <v>15</v>
      </c>
      <c r="D26" s="35">
        <f>SUMIF($O$84:$O$110,C26,$P$84:$P$110)</f>
        <v>1677360</v>
      </c>
      <c r="E26" s="38">
        <f>SUMIF($O$84:$O$110,C26,$Q$84:$Q$110)</f>
        <v>1515379</v>
      </c>
      <c r="F26" s="156">
        <f t="shared" si="2"/>
        <v>-9.65</v>
      </c>
      <c r="G26" s="9"/>
      <c r="H26" s="44">
        <v>13</v>
      </c>
      <c r="I26" s="34" t="s">
        <v>24</v>
      </c>
      <c r="J26" s="35">
        <f>SUMIF($O$84:$O$110,I26,$R$84:$R$110)</f>
        <v>918391</v>
      </c>
      <c r="K26" s="38">
        <f>SUMIF($O$84:$O$110,I26,$S$84:$S$110)</f>
        <v>871184</v>
      </c>
      <c r="L26" s="156">
        <f t="shared" si="3"/>
        <v>-5.14</v>
      </c>
      <c r="M26" s="2" t="str">
        <f t="shared" si="0"/>
        <v>OK</v>
      </c>
      <c r="N26" s="195">
        <f t="shared" si="1"/>
        <v>8671</v>
      </c>
      <c r="O26" s="274" t="s">
        <v>33</v>
      </c>
      <c r="P26" s="268">
        <v>8671</v>
      </c>
      <c r="Q26" s="269" t="s">
        <v>0</v>
      </c>
      <c r="R26" s="269" t="s">
        <v>0</v>
      </c>
      <c r="S26" s="269" t="s">
        <v>0</v>
      </c>
      <c r="T26" s="269">
        <v>690</v>
      </c>
      <c r="U26" s="269" t="s">
        <v>0</v>
      </c>
      <c r="V26" s="269" t="s">
        <v>0</v>
      </c>
      <c r="W26" s="269" t="s">
        <v>0</v>
      </c>
      <c r="X26" s="269">
        <v>664</v>
      </c>
      <c r="Y26" s="268">
        <v>1083</v>
      </c>
      <c r="Z26" s="269" t="s">
        <v>0</v>
      </c>
      <c r="AA26" s="269" t="s">
        <v>0</v>
      </c>
      <c r="AB26" s="269" t="s">
        <v>0</v>
      </c>
      <c r="AC26" s="268">
        <v>4931</v>
      </c>
      <c r="AD26" s="268">
        <v>1303</v>
      </c>
      <c r="AE26" s="269" t="s">
        <v>0</v>
      </c>
      <c r="AF26" s="269" t="s">
        <v>0</v>
      </c>
      <c r="AG26" s="269" t="s">
        <v>0</v>
      </c>
      <c r="AH26" s="269" t="s">
        <v>0</v>
      </c>
      <c r="AI26" s="268">
        <v>93240</v>
      </c>
      <c r="AJ26" s="269" t="s">
        <v>0</v>
      </c>
      <c r="AK26" s="268">
        <v>140876</v>
      </c>
      <c r="AL26" s="269">
        <v>388</v>
      </c>
      <c r="AM26" s="269">
        <v>240</v>
      </c>
      <c r="AN26" s="269" t="s">
        <v>0</v>
      </c>
      <c r="AO26" s="269" t="s">
        <v>0</v>
      </c>
      <c r="AP26" s="268">
        <v>17097</v>
      </c>
      <c r="AQ26" s="269" t="s">
        <v>0</v>
      </c>
      <c r="AR26" s="268">
        <v>3919509</v>
      </c>
      <c r="AS26" s="269" t="s">
        <v>0</v>
      </c>
      <c r="AT26" s="269" t="s">
        <v>0</v>
      </c>
      <c r="AU26" s="268">
        <v>44787</v>
      </c>
      <c r="AV26" s="269" t="s">
        <v>0</v>
      </c>
      <c r="AW26" s="269" t="s">
        <v>0</v>
      </c>
      <c r="AX26" s="269" t="s">
        <v>0</v>
      </c>
      <c r="AY26" s="268">
        <v>75113</v>
      </c>
      <c r="AZ26" s="269" t="s">
        <v>0</v>
      </c>
      <c r="BA26" s="269" t="s">
        <v>0</v>
      </c>
      <c r="BB26" s="268">
        <v>154045</v>
      </c>
      <c r="BC26" s="269" t="s">
        <v>0</v>
      </c>
      <c r="BD26" s="269" t="s">
        <v>0</v>
      </c>
      <c r="BE26" s="268">
        <v>185889</v>
      </c>
      <c r="BF26" s="269">
        <v>101</v>
      </c>
      <c r="BG26" s="268">
        <v>8606</v>
      </c>
      <c r="BH26" s="269" t="s">
        <v>0</v>
      </c>
      <c r="BI26" s="269" t="s">
        <v>0</v>
      </c>
      <c r="BJ26" s="269" t="s">
        <v>0</v>
      </c>
      <c r="BK26" s="269">
        <v>862</v>
      </c>
      <c r="BL26" s="269" t="s">
        <v>0</v>
      </c>
      <c r="BM26" s="269" t="s">
        <v>0</v>
      </c>
      <c r="BN26" s="269" t="s">
        <v>0</v>
      </c>
      <c r="BO26" s="269">
        <v>806</v>
      </c>
      <c r="BP26" s="269">
        <v>858</v>
      </c>
      <c r="BQ26" s="269" t="s">
        <v>0</v>
      </c>
      <c r="BR26" s="269" t="s">
        <v>0</v>
      </c>
      <c r="BS26" s="269" t="s">
        <v>0</v>
      </c>
      <c r="BT26" s="268">
        <v>3887</v>
      </c>
      <c r="BU26" s="268">
        <v>2193</v>
      </c>
      <c r="BV26" s="269" t="s">
        <v>0</v>
      </c>
      <c r="BW26" s="269" t="s">
        <v>0</v>
      </c>
      <c r="BX26" s="269" t="s">
        <v>0</v>
      </c>
      <c r="BY26" s="269" t="s">
        <v>0</v>
      </c>
      <c r="BZ26" s="268">
        <v>92765</v>
      </c>
      <c r="CA26" s="269" t="s">
        <v>0</v>
      </c>
      <c r="CB26" s="268">
        <v>145019</v>
      </c>
      <c r="CC26" s="269">
        <v>374</v>
      </c>
      <c r="CD26" s="269">
        <v>205</v>
      </c>
      <c r="CE26" s="269" t="s">
        <v>0</v>
      </c>
      <c r="CF26" s="269" t="s">
        <v>0</v>
      </c>
      <c r="CG26" s="268">
        <v>19121</v>
      </c>
      <c r="CH26" s="269" t="s">
        <v>0</v>
      </c>
      <c r="CI26" s="268">
        <v>2443219</v>
      </c>
      <c r="CJ26" s="269" t="s">
        <v>0</v>
      </c>
      <c r="CK26" s="269" t="s">
        <v>0</v>
      </c>
      <c r="CL26" s="268">
        <v>50345</v>
      </c>
      <c r="CM26" s="269" t="s">
        <v>0</v>
      </c>
      <c r="CN26" s="269" t="s">
        <v>0</v>
      </c>
      <c r="CO26" s="269" t="s">
        <v>0</v>
      </c>
      <c r="CP26" s="268">
        <v>46302</v>
      </c>
      <c r="CQ26" s="269" t="s">
        <v>0</v>
      </c>
      <c r="CR26" s="269" t="s">
        <v>0</v>
      </c>
      <c r="CS26" s="268">
        <v>152469</v>
      </c>
      <c r="CT26" s="269" t="s">
        <v>0</v>
      </c>
      <c r="CU26" s="269" t="s">
        <v>0</v>
      </c>
      <c r="CV26" s="268">
        <v>189611</v>
      </c>
      <c r="CW26" s="275">
        <v>101</v>
      </c>
    </row>
    <row r="27" spans="1:101" ht="13.5" customHeight="1" x14ac:dyDescent="0.2">
      <c r="A27" s="36"/>
      <c r="B27" s="10">
        <v>14</v>
      </c>
      <c r="C27" s="34" t="s">
        <v>23</v>
      </c>
      <c r="D27" s="35">
        <f>SUMIF($O$84:$O$110,C27,$P$84:$P$110)</f>
        <v>3096917</v>
      </c>
      <c r="E27" s="38">
        <f>SUMIF($O$84:$O$110,C27,$Q$84:$Q$110)</f>
        <v>1341900</v>
      </c>
      <c r="F27" s="156">
        <f t="shared" si="2"/>
        <v>-56.66</v>
      </c>
      <c r="G27" s="9"/>
      <c r="H27" s="44">
        <v>14</v>
      </c>
      <c r="I27" s="34" t="s">
        <v>19</v>
      </c>
      <c r="J27" s="35">
        <f>SUMIF($O$84:$O$110,I27,$R$84:$R$110)</f>
        <v>673634</v>
      </c>
      <c r="K27" s="38">
        <f>SUMIF($O$84:$O$110,I27,$S$84:$S$110)</f>
        <v>742239</v>
      </c>
      <c r="L27" s="156">
        <f t="shared" si="3"/>
        <v>10.18</v>
      </c>
      <c r="M27" s="2" t="str">
        <f t="shared" si="0"/>
        <v>Error</v>
      </c>
      <c r="N27" s="195">
        <f t="shared" si="1"/>
        <v>8291923</v>
      </c>
      <c r="O27" s="274" t="s">
        <v>34</v>
      </c>
      <c r="P27" s="268">
        <v>8286358</v>
      </c>
      <c r="Q27" s="268">
        <v>14268</v>
      </c>
      <c r="R27" s="268">
        <v>436711</v>
      </c>
      <c r="S27" s="268">
        <v>21192</v>
      </c>
      <c r="T27" s="268">
        <v>62022</v>
      </c>
      <c r="U27" s="268">
        <v>17128</v>
      </c>
      <c r="V27" s="269" t="s">
        <v>0</v>
      </c>
      <c r="W27" s="268">
        <v>6000</v>
      </c>
      <c r="X27" s="268">
        <v>110673</v>
      </c>
      <c r="Y27" s="268">
        <v>55283</v>
      </c>
      <c r="Z27" s="268">
        <v>70043</v>
      </c>
      <c r="AA27" s="268">
        <v>1897</v>
      </c>
      <c r="AB27" s="269">
        <v>3</v>
      </c>
      <c r="AC27" s="268">
        <v>2653495</v>
      </c>
      <c r="AD27" s="268">
        <v>2035456</v>
      </c>
      <c r="AE27" s="268">
        <v>2406262</v>
      </c>
      <c r="AF27" s="268">
        <v>71360</v>
      </c>
      <c r="AG27" s="268">
        <v>320755</v>
      </c>
      <c r="AH27" s="268">
        <v>9375</v>
      </c>
      <c r="AI27" s="268">
        <v>96719</v>
      </c>
      <c r="AJ27" s="269">
        <v>82</v>
      </c>
      <c r="AK27" s="268">
        <v>998038</v>
      </c>
      <c r="AL27" s="268">
        <v>220534</v>
      </c>
      <c r="AM27" s="268">
        <v>258383</v>
      </c>
      <c r="AN27" s="268">
        <v>251040</v>
      </c>
      <c r="AO27" s="269" t="s">
        <v>0</v>
      </c>
      <c r="AP27" s="268">
        <v>254348</v>
      </c>
      <c r="AQ27" s="269">
        <v>28</v>
      </c>
      <c r="AR27" s="268">
        <v>423419511</v>
      </c>
      <c r="AS27" s="269" t="s">
        <v>0</v>
      </c>
      <c r="AT27" s="268">
        <v>197070</v>
      </c>
      <c r="AU27" s="268">
        <v>25039</v>
      </c>
      <c r="AV27" s="269">
        <v>16</v>
      </c>
      <c r="AW27" s="269" t="s">
        <v>0</v>
      </c>
      <c r="AX27" s="269" t="s">
        <v>0</v>
      </c>
      <c r="AY27" s="268">
        <v>12279253</v>
      </c>
      <c r="AZ27" s="268">
        <v>5446</v>
      </c>
      <c r="BA27" s="269" t="s">
        <v>0</v>
      </c>
      <c r="BB27" s="268">
        <v>1171901</v>
      </c>
      <c r="BC27" s="269" t="s">
        <v>0</v>
      </c>
      <c r="BD27" s="269" t="s">
        <v>0</v>
      </c>
      <c r="BE27" s="268">
        <v>1097937</v>
      </c>
      <c r="BF27" s="268">
        <v>142631</v>
      </c>
      <c r="BG27" s="268">
        <v>7839616</v>
      </c>
      <c r="BH27" s="268">
        <v>14277</v>
      </c>
      <c r="BI27" s="268">
        <v>397850</v>
      </c>
      <c r="BJ27" s="268">
        <v>12700</v>
      </c>
      <c r="BK27" s="268">
        <v>52279</v>
      </c>
      <c r="BL27" s="268">
        <v>18135</v>
      </c>
      <c r="BM27" s="269" t="s">
        <v>0</v>
      </c>
      <c r="BN27" s="268">
        <v>6000</v>
      </c>
      <c r="BO27" s="268">
        <v>117400</v>
      </c>
      <c r="BP27" s="268">
        <v>29200</v>
      </c>
      <c r="BQ27" s="268">
        <v>66277</v>
      </c>
      <c r="BR27" s="268">
        <v>1777</v>
      </c>
      <c r="BS27" s="269">
        <v>4</v>
      </c>
      <c r="BT27" s="268">
        <v>2718300</v>
      </c>
      <c r="BU27" s="268">
        <v>1461600</v>
      </c>
      <c r="BV27" s="268">
        <v>2627839</v>
      </c>
      <c r="BW27" s="268">
        <v>67901</v>
      </c>
      <c r="BX27" s="268">
        <v>240300</v>
      </c>
      <c r="BY27" s="268">
        <v>13345</v>
      </c>
      <c r="BZ27" s="268">
        <v>96129</v>
      </c>
      <c r="CA27" s="269">
        <v>79</v>
      </c>
      <c r="CB27" s="268">
        <v>1124560</v>
      </c>
      <c r="CC27" s="268">
        <v>213200</v>
      </c>
      <c r="CD27" s="268">
        <v>217353</v>
      </c>
      <c r="CE27" s="268">
        <v>321560</v>
      </c>
      <c r="CF27" s="269" t="s">
        <v>0</v>
      </c>
      <c r="CG27" s="268">
        <v>364260</v>
      </c>
      <c r="CH27" s="269">
        <v>53</v>
      </c>
      <c r="CI27" s="268">
        <v>400790775</v>
      </c>
      <c r="CJ27" s="269" t="s">
        <v>0</v>
      </c>
      <c r="CK27" s="268">
        <v>179721</v>
      </c>
      <c r="CL27" s="268">
        <v>23439</v>
      </c>
      <c r="CM27" s="269">
        <v>16</v>
      </c>
      <c r="CN27" s="269" t="s">
        <v>0</v>
      </c>
      <c r="CO27" s="269" t="s">
        <v>0</v>
      </c>
      <c r="CP27" s="268">
        <v>11628150</v>
      </c>
      <c r="CQ27" s="268">
        <v>3447</v>
      </c>
      <c r="CR27" s="269" t="s">
        <v>0</v>
      </c>
      <c r="CS27" s="268">
        <v>1219610</v>
      </c>
      <c r="CT27" s="269" t="s">
        <v>0</v>
      </c>
      <c r="CU27" s="269" t="s">
        <v>0</v>
      </c>
      <c r="CV27" s="268">
        <v>753283</v>
      </c>
      <c r="CW27" s="276">
        <v>144110</v>
      </c>
    </row>
    <row r="28" spans="1:101" ht="13.5" customHeight="1" x14ac:dyDescent="0.2">
      <c r="A28" s="36"/>
      <c r="B28" s="10">
        <v>15</v>
      </c>
      <c r="C28" s="34" t="s">
        <v>40</v>
      </c>
      <c r="D28" s="35">
        <f>SUMIF($O$84:$O$110,C28,$P$84:$P$110)</f>
        <v>778248</v>
      </c>
      <c r="E28" s="38">
        <f>SUMIF($O$84:$O$110,C28,$Q$84:$Q$110)</f>
        <v>575985</v>
      </c>
      <c r="F28" s="156">
        <f t="shared" si="2"/>
        <v>-25.98</v>
      </c>
      <c r="G28" s="9"/>
      <c r="H28" s="44">
        <v>15</v>
      </c>
      <c r="I28" s="34" t="s">
        <v>15</v>
      </c>
      <c r="J28" s="35">
        <f>SUMIF($O$84:$O$110,I28,$R$84:$R$110)</f>
        <v>475478</v>
      </c>
      <c r="K28" s="38">
        <f>SUMIF($O$84:$O$110,I28,$S$84:$S$110)</f>
        <v>476321</v>
      </c>
      <c r="L28" s="156">
        <f t="shared" si="3"/>
        <v>0.17</v>
      </c>
      <c r="M28" s="2" t="str">
        <f t="shared" si="0"/>
        <v>OK</v>
      </c>
      <c r="N28" s="195">
        <f t="shared" si="1"/>
        <v>37524777</v>
      </c>
      <c r="O28" s="274" t="s">
        <v>35</v>
      </c>
      <c r="P28" s="268">
        <v>37524777</v>
      </c>
      <c r="Q28" s="269" t="s">
        <v>0</v>
      </c>
      <c r="R28" s="268">
        <v>5477</v>
      </c>
      <c r="S28" s="269">
        <v>6</v>
      </c>
      <c r="T28" s="268">
        <v>163907</v>
      </c>
      <c r="U28" s="268">
        <v>137443</v>
      </c>
      <c r="V28" s="268">
        <v>2322</v>
      </c>
      <c r="W28" s="268">
        <v>128849</v>
      </c>
      <c r="X28" s="268">
        <v>341105</v>
      </c>
      <c r="Y28" s="268">
        <v>380490</v>
      </c>
      <c r="Z28" s="268">
        <v>4618</v>
      </c>
      <c r="AA28" s="269">
        <v>120</v>
      </c>
      <c r="AB28" s="269" t="s">
        <v>0</v>
      </c>
      <c r="AC28" s="268">
        <v>4601525</v>
      </c>
      <c r="AD28" s="268">
        <v>11175884</v>
      </c>
      <c r="AE28" s="268">
        <v>17229378</v>
      </c>
      <c r="AF28" s="268">
        <v>1530</v>
      </c>
      <c r="AG28" s="268">
        <v>3330589</v>
      </c>
      <c r="AH28" s="268">
        <v>21534</v>
      </c>
      <c r="AI28" s="268">
        <v>11344</v>
      </c>
      <c r="AJ28" s="268">
        <v>1863</v>
      </c>
      <c r="AK28" s="268">
        <v>203551</v>
      </c>
      <c r="AL28" s="268">
        <v>510779</v>
      </c>
      <c r="AM28" s="268">
        <v>332947</v>
      </c>
      <c r="AN28" s="269" t="s">
        <v>0</v>
      </c>
      <c r="AO28" s="269" t="s">
        <v>0</v>
      </c>
      <c r="AP28" s="268">
        <v>80304</v>
      </c>
      <c r="AQ28" s="269" t="s">
        <v>0</v>
      </c>
      <c r="AR28" s="268">
        <v>47368045</v>
      </c>
      <c r="AS28" s="269" t="s">
        <v>0</v>
      </c>
      <c r="AT28" s="268">
        <v>129674</v>
      </c>
      <c r="AU28" s="268">
        <v>2921</v>
      </c>
      <c r="AV28" s="268">
        <v>179547</v>
      </c>
      <c r="AW28" s="269" t="s">
        <v>0</v>
      </c>
      <c r="AX28" s="269" t="s">
        <v>0</v>
      </c>
      <c r="AY28" s="268">
        <v>903195</v>
      </c>
      <c r="AZ28" s="268">
        <v>40949</v>
      </c>
      <c r="BA28" s="269" t="s">
        <v>0</v>
      </c>
      <c r="BB28" s="268">
        <v>4312946</v>
      </c>
      <c r="BC28" s="269">
        <v>9</v>
      </c>
      <c r="BD28" s="269" t="s">
        <v>0</v>
      </c>
      <c r="BE28" s="268">
        <v>230319</v>
      </c>
      <c r="BF28" s="268">
        <v>69035</v>
      </c>
      <c r="BG28" s="268">
        <v>35031589</v>
      </c>
      <c r="BH28" s="269" t="s">
        <v>0</v>
      </c>
      <c r="BI28" s="268">
        <v>5270</v>
      </c>
      <c r="BJ28" s="269">
        <v>6</v>
      </c>
      <c r="BK28" s="268">
        <v>117472</v>
      </c>
      <c r="BL28" s="268">
        <v>148879</v>
      </c>
      <c r="BM28" s="268">
        <v>2426</v>
      </c>
      <c r="BN28" s="268">
        <v>194291</v>
      </c>
      <c r="BO28" s="268">
        <v>294005</v>
      </c>
      <c r="BP28" s="268">
        <v>303909</v>
      </c>
      <c r="BQ28" s="268">
        <v>2194</v>
      </c>
      <c r="BR28" s="269">
        <v>120</v>
      </c>
      <c r="BS28" s="269" t="s">
        <v>0</v>
      </c>
      <c r="BT28" s="268">
        <v>3303508</v>
      </c>
      <c r="BU28" s="268">
        <v>10420666</v>
      </c>
      <c r="BV28" s="268">
        <v>16824385</v>
      </c>
      <c r="BW28" s="268">
        <v>1530</v>
      </c>
      <c r="BX28" s="268">
        <v>3383850</v>
      </c>
      <c r="BY28" s="268">
        <v>29078</v>
      </c>
      <c r="BZ28" s="268">
        <v>11344</v>
      </c>
      <c r="CA28" s="268">
        <v>1726</v>
      </c>
      <c r="CB28" s="268">
        <v>269500</v>
      </c>
      <c r="CC28" s="268">
        <v>459335</v>
      </c>
      <c r="CD28" s="268">
        <v>317166</v>
      </c>
      <c r="CE28" s="269" t="s">
        <v>0</v>
      </c>
      <c r="CF28" s="269" t="s">
        <v>0</v>
      </c>
      <c r="CG28" s="268">
        <v>62791</v>
      </c>
      <c r="CH28" s="269" t="s">
        <v>0</v>
      </c>
      <c r="CI28" s="268">
        <v>49740741</v>
      </c>
      <c r="CJ28" s="269" t="s">
        <v>0</v>
      </c>
      <c r="CK28" s="268">
        <v>101204</v>
      </c>
      <c r="CL28" s="268">
        <v>2921</v>
      </c>
      <c r="CM28" s="268">
        <v>147991</v>
      </c>
      <c r="CN28" s="269" t="s">
        <v>0</v>
      </c>
      <c r="CO28" s="269" t="s">
        <v>0</v>
      </c>
      <c r="CP28" s="268">
        <v>810900</v>
      </c>
      <c r="CQ28" s="268">
        <v>44700</v>
      </c>
      <c r="CR28" s="269" t="s">
        <v>0</v>
      </c>
      <c r="CS28" s="268">
        <v>3744351</v>
      </c>
      <c r="CT28" s="269">
        <v>9</v>
      </c>
      <c r="CU28" s="269" t="s">
        <v>0</v>
      </c>
      <c r="CV28" s="268">
        <v>249760</v>
      </c>
      <c r="CW28" s="276">
        <v>66000</v>
      </c>
    </row>
    <row r="29" spans="1:101" ht="13.5" customHeight="1" x14ac:dyDescent="0.2">
      <c r="A29" s="36"/>
      <c r="B29" s="10">
        <v>16</v>
      </c>
      <c r="C29" s="34" t="s">
        <v>24</v>
      </c>
      <c r="D29" s="35">
        <f>SUMIF($O$84:$O$110,C29,$P$84:$P$110)</f>
        <v>225039</v>
      </c>
      <c r="E29" s="38">
        <f>SUMIF($O$84:$O$110,C29,$Q$84:$Q$110)</f>
        <v>187182</v>
      </c>
      <c r="F29" s="156">
        <f t="shared" si="2"/>
        <v>-16.82</v>
      </c>
      <c r="G29" s="9"/>
      <c r="H29" s="44">
        <v>16</v>
      </c>
      <c r="I29" s="34" t="s">
        <v>27</v>
      </c>
      <c r="J29" s="35">
        <f>SUMIF($O$84:$O$110,I29,$R$84:$R$110)</f>
        <v>386409</v>
      </c>
      <c r="K29" s="38">
        <f>SUMIF($O$84:$O$110,I29,$S$84:$S$110)</f>
        <v>398554</v>
      </c>
      <c r="L29" s="156">
        <f t="shared" si="3"/>
        <v>3.14</v>
      </c>
      <c r="M29" s="2" t="str">
        <f t="shared" si="0"/>
        <v>OK</v>
      </c>
      <c r="N29" s="195">
        <f t="shared" si="1"/>
        <v>6450352</v>
      </c>
      <c r="O29" s="274" t="s">
        <v>36</v>
      </c>
      <c r="P29" s="268">
        <v>6450352</v>
      </c>
      <c r="Q29" s="269" t="s">
        <v>0</v>
      </c>
      <c r="R29" s="269">
        <v>292</v>
      </c>
      <c r="S29" s="269" t="s">
        <v>0</v>
      </c>
      <c r="T29" s="268">
        <v>1081537</v>
      </c>
      <c r="U29" s="268">
        <v>12559</v>
      </c>
      <c r="V29" s="269">
        <v>104</v>
      </c>
      <c r="W29" s="268">
        <v>6241</v>
      </c>
      <c r="X29" s="268">
        <v>97057</v>
      </c>
      <c r="Y29" s="268">
        <v>41719</v>
      </c>
      <c r="Z29" s="269" t="s">
        <v>0</v>
      </c>
      <c r="AA29" s="269">
        <v>4</v>
      </c>
      <c r="AB29" s="269" t="s">
        <v>0</v>
      </c>
      <c r="AC29" s="268">
        <v>3076480</v>
      </c>
      <c r="AD29" s="269" t="s">
        <v>0</v>
      </c>
      <c r="AE29" s="268">
        <v>2000323</v>
      </c>
      <c r="AF29" s="269" t="s">
        <v>0</v>
      </c>
      <c r="AG29" s="268">
        <v>131518</v>
      </c>
      <c r="AH29" s="268">
        <v>2518</v>
      </c>
      <c r="AI29" s="269">
        <v>199</v>
      </c>
      <c r="AJ29" s="268">
        <v>17452</v>
      </c>
      <c r="AK29" s="268">
        <v>710183</v>
      </c>
      <c r="AL29" s="268">
        <v>109016</v>
      </c>
      <c r="AM29" s="268">
        <v>16955</v>
      </c>
      <c r="AN29" s="269" t="s">
        <v>0</v>
      </c>
      <c r="AO29" s="269" t="s">
        <v>0</v>
      </c>
      <c r="AP29" s="269" t="s">
        <v>0</v>
      </c>
      <c r="AQ29" s="269" t="s">
        <v>0</v>
      </c>
      <c r="AR29" s="268">
        <v>384625</v>
      </c>
      <c r="AS29" s="269" t="s">
        <v>0</v>
      </c>
      <c r="AT29" s="268">
        <v>339451</v>
      </c>
      <c r="AU29" s="269" t="s">
        <v>0</v>
      </c>
      <c r="AV29" s="268">
        <v>255952</v>
      </c>
      <c r="AW29" s="269" t="s">
        <v>0</v>
      </c>
      <c r="AX29" s="269" t="s">
        <v>0</v>
      </c>
      <c r="AY29" s="268">
        <v>47880</v>
      </c>
      <c r="AZ29" s="268">
        <v>613828</v>
      </c>
      <c r="BA29" s="269" t="s">
        <v>0</v>
      </c>
      <c r="BB29" s="268">
        <v>423706</v>
      </c>
      <c r="BC29" s="269" t="s">
        <v>0</v>
      </c>
      <c r="BD29" s="269" t="s">
        <v>0</v>
      </c>
      <c r="BE29" s="268">
        <v>180486</v>
      </c>
      <c r="BF29" s="268">
        <v>69118</v>
      </c>
      <c r="BG29" s="268">
        <v>6090849</v>
      </c>
      <c r="BH29" s="269" t="s">
        <v>0</v>
      </c>
      <c r="BI29" s="269">
        <v>292</v>
      </c>
      <c r="BJ29" s="269" t="s">
        <v>0</v>
      </c>
      <c r="BK29" s="268">
        <v>1050859</v>
      </c>
      <c r="BL29" s="268">
        <v>21417</v>
      </c>
      <c r="BM29" s="269">
        <v>149</v>
      </c>
      <c r="BN29" s="268">
        <v>6022</v>
      </c>
      <c r="BO29" s="268">
        <v>81227</v>
      </c>
      <c r="BP29" s="268">
        <v>42396</v>
      </c>
      <c r="BQ29" s="269" t="s">
        <v>0</v>
      </c>
      <c r="BR29" s="269">
        <v>5</v>
      </c>
      <c r="BS29" s="269" t="s">
        <v>0</v>
      </c>
      <c r="BT29" s="268">
        <v>2530363</v>
      </c>
      <c r="BU29" s="269" t="s">
        <v>0</v>
      </c>
      <c r="BV29" s="268">
        <v>2139611</v>
      </c>
      <c r="BW29" s="269" t="s">
        <v>0</v>
      </c>
      <c r="BX29" s="268">
        <v>216977</v>
      </c>
      <c r="BY29" s="268">
        <v>1531</v>
      </c>
      <c r="BZ29" s="269">
        <v>249</v>
      </c>
      <c r="CA29" s="268">
        <v>26016</v>
      </c>
      <c r="CB29" s="268">
        <v>721599</v>
      </c>
      <c r="CC29" s="268">
        <v>129287</v>
      </c>
      <c r="CD29" s="268">
        <v>32649</v>
      </c>
      <c r="CE29" s="269" t="s">
        <v>0</v>
      </c>
      <c r="CF29" s="269" t="s">
        <v>0</v>
      </c>
      <c r="CG29" s="269" t="s">
        <v>0</v>
      </c>
      <c r="CH29" s="269" t="s">
        <v>0</v>
      </c>
      <c r="CI29" s="268">
        <v>375565</v>
      </c>
      <c r="CJ29" s="269" t="s">
        <v>0</v>
      </c>
      <c r="CK29" s="268">
        <v>536604</v>
      </c>
      <c r="CL29" s="269" t="s">
        <v>0</v>
      </c>
      <c r="CM29" s="268">
        <v>195151</v>
      </c>
      <c r="CN29" s="269" t="s">
        <v>0</v>
      </c>
      <c r="CO29" s="269" t="s">
        <v>0</v>
      </c>
      <c r="CP29" s="268">
        <v>49097</v>
      </c>
      <c r="CQ29" s="268">
        <v>525953</v>
      </c>
      <c r="CR29" s="269" t="s">
        <v>0</v>
      </c>
      <c r="CS29" s="268">
        <v>385875</v>
      </c>
      <c r="CT29" s="269" t="s">
        <v>0</v>
      </c>
      <c r="CU29" s="269" t="s">
        <v>0</v>
      </c>
      <c r="CV29" s="268">
        <v>171699</v>
      </c>
      <c r="CW29" s="276">
        <v>33849</v>
      </c>
    </row>
    <row r="30" spans="1:101" ht="13.5" customHeight="1" x14ac:dyDescent="0.2">
      <c r="A30" s="36"/>
      <c r="B30" s="10">
        <v>17</v>
      </c>
      <c r="C30" s="34" t="s">
        <v>29</v>
      </c>
      <c r="D30" s="35">
        <f>SUMIF($O$84:$O$110,C30,$P$84:$P$110)</f>
        <v>530797</v>
      </c>
      <c r="E30" s="38">
        <f>SUMIF($O$84:$O$110,C30,$Q$84:$Q$110)</f>
        <v>176331</v>
      </c>
      <c r="F30" s="156">
        <f>IF(E30=0,0,TRUNC(((E30/D30)-1)*100,2))</f>
        <v>-66.77</v>
      </c>
      <c r="G30" s="9"/>
      <c r="H30" s="44">
        <v>17</v>
      </c>
      <c r="I30" s="34" t="s">
        <v>29</v>
      </c>
      <c r="J30" s="35">
        <f>SUMIF($O$84:$O$110,I30,$R$84:$R$110)</f>
        <v>195830</v>
      </c>
      <c r="K30" s="38">
        <f>SUMIF($O$84:$O$110,I30,$S$84:$S$110)</f>
        <v>190715</v>
      </c>
      <c r="L30" s="156">
        <f>IF(K30=0,0,TRUNC(((K30/J30)-1)*100,2))</f>
        <v>-2.61</v>
      </c>
      <c r="M30" s="2" t="str">
        <f t="shared" si="0"/>
        <v>OK</v>
      </c>
      <c r="N30" s="195">
        <f t="shared" si="1"/>
        <v>31820894</v>
      </c>
      <c r="O30" s="274" t="s">
        <v>37</v>
      </c>
      <c r="P30" s="268">
        <v>31820894</v>
      </c>
      <c r="Q30" s="269" t="s">
        <v>0</v>
      </c>
      <c r="R30" s="268">
        <v>5063</v>
      </c>
      <c r="S30" s="269" t="s">
        <v>0</v>
      </c>
      <c r="T30" s="268">
        <v>8679489</v>
      </c>
      <c r="U30" s="268">
        <v>310696</v>
      </c>
      <c r="V30" s="268">
        <v>2370</v>
      </c>
      <c r="W30" s="268">
        <v>45195</v>
      </c>
      <c r="X30" s="268">
        <v>60767</v>
      </c>
      <c r="Y30" s="268">
        <v>34582</v>
      </c>
      <c r="Z30" s="269" t="s">
        <v>0</v>
      </c>
      <c r="AA30" s="268">
        <v>4305</v>
      </c>
      <c r="AB30" s="269" t="s">
        <v>0</v>
      </c>
      <c r="AC30" s="268">
        <v>5563555</v>
      </c>
      <c r="AD30" s="269" t="s">
        <v>0</v>
      </c>
      <c r="AE30" s="268">
        <v>15700264</v>
      </c>
      <c r="AF30" s="268">
        <v>16247</v>
      </c>
      <c r="AG30" s="268">
        <v>1391829</v>
      </c>
      <c r="AH30" s="268">
        <v>6532</v>
      </c>
      <c r="AI30" s="268">
        <v>5154</v>
      </c>
      <c r="AJ30" s="268">
        <v>15979</v>
      </c>
      <c r="AK30" s="268">
        <v>134242</v>
      </c>
      <c r="AL30" s="268">
        <v>320167</v>
      </c>
      <c r="AM30" s="268">
        <v>79305</v>
      </c>
      <c r="AN30" s="269" t="s">
        <v>0</v>
      </c>
      <c r="AO30" s="269" t="s">
        <v>0</v>
      </c>
      <c r="AP30" s="269" t="s">
        <v>0</v>
      </c>
      <c r="AQ30" s="269" t="s">
        <v>0</v>
      </c>
      <c r="AR30" s="268">
        <v>834500</v>
      </c>
      <c r="AS30" s="269" t="s">
        <v>0</v>
      </c>
      <c r="AT30" s="268">
        <v>147439</v>
      </c>
      <c r="AU30" s="269" t="s">
        <v>0</v>
      </c>
      <c r="AV30" s="268">
        <v>414932</v>
      </c>
      <c r="AW30" s="269" t="s">
        <v>0</v>
      </c>
      <c r="AX30" s="269" t="s">
        <v>0</v>
      </c>
      <c r="AY30" s="268">
        <v>356395</v>
      </c>
      <c r="AZ30" s="268">
        <v>598512</v>
      </c>
      <c r="BA30" s="269" t="s">
        <v>0</v>
      </c>
      <c r="BB30" s="268">
        <v>1155247</v>
      </c>
      <c r="BC30" s="269" t="s">
        <v>0</v>
      </c>
      <c r="BD30" s="269" t="s">
        <v>0</v>
      </c>
      <c r="BE30" s="268">
        <v>111363</v>
      </c>
      <c r="BF30" s="268">
        <v>876215</v>
      </c>
      <c r="BG30" s="268">
        <v>31909823</v>
      </c>
      <c r="BH30" s="269" t="s">
        <v>0</v>
      </c>
      <c r="BI30" s="268">
        <v>4753</v>
      </c>
      <c r="BJ30" s="269" t="s">
        <v>0</v>
      </c>
      <c r="BK30" s="268">
        <v>7493431</v>
      </c>
      <c r="BL30" s="268">
        <v>650066</v>
      </c>
      <c r="BM30" s="268">
        <v>3714</v>
      </c>
      <c r="BN30" s="268">
        <v>159797</v>
      </c>
      <c r="BO30" s="268">
        <v>59557</v>
      </c>
      <c r="BP30" s="268">
        <v>28174</v>
      </c>
      <c r="BQ30" s="269" t="s">
        <v>0</v>
      </c>
      <c r="BR30" s="268">
        <v>7779</v>
      </c>
      <c r="BS30" s="269" t="s">
        <v>0</v>
      </c>
      <c r="BT30" s="268">
        <v>4729948</v>
      </c>
      <c r="BU30" s="269" t="s">
        <v>0</v>
      </c>
      <c r="BV30" s="268">
        <v>16206334</v>
      </c>
      <c r="BW30" s="268">
        <v>17718</v>
      </c>
      <c r="BX30" s="268">
        <v>2540381</v>
      </c>
      <c r="BY30" s="268">
        <v>8171</v>
      </c>
      <c r="BZ30" s="268">
        <v>4980</v>
      </c>
      <c r="CA30" s="268">
        <v>15542</v>
      </c>
      <c r="CB30" s="268">
        <v>129599</v>
      </c>
      <c r="CC30" s="268">
        <v>369690</v>
      </c>
      <c r="CD30" s="268">
        <v>56709</v>
      </c>
      <c r="CE30" s="269" t="s">
        <v>0</v>
      </c>
      <c r="CF30" s="269" t="s">
        <v>0</v>
      </c>
      <c r="CG30" s="269" t="s">
        <v>0</v>
      </c>
      <c r="CH30" s="269" t="s">
        <v>0</v>
      </c>
      <c r="CI30" s="268">
        <v>761076</v>
      </c>
      <c r="CJ30" s="269" t="s">
        <v>0</v>
      </c>
      <c r="CK30" s="268">
        <v>144341</v>
      </c>
      <c r="CL30" s="269" t="s">
        <v>0</v>
      </c>
      <c r="CM30" s="268">
        <v>325150</v>
      </c>
      <c r="CN30" s="269" t="s">
        <v>0</v>
      </c>
      <c r="CO30" s="269" t="s">
        <v>0</v>
      </c>
      <c r="CP30" s="268">
        <v>399296</v>
      </c>
      <c r="CQ30" s="268">
        <v>485466</v>
      </c>
      <c r="CR30" s="269" t="s">
        <v>0</v>
      </c>
      <c r="CS30" s="268">
        <v>1108135</v>
      </c>
      <c r="CT30" s="269" t="s">
        <v>0</v>
      </c>
      <c r="CU30" s="269" t="s">
        <v>0</v>
      </c>
      <c r="CV30" s="268">
        <v>112563</v>
      </c>
      <c r="CW30" s="276">
        <v>413640</v>
      </c>
    </row>
    <row r="31" spans="1:101" ht="13.5" customHeight="1" x14ac:dyDescent="0.2">
      <c r="A31" s="36"/>
      <c r="B31" s="10">
        <v>18</v>
      </c>
      <c r="C31" s="34" t="s">
        <v>18</v>
      </c>
      <c r="D31" s="35">
        <f>SUMIF($O$84:$O$110,C31,$P$84:$P$110)</f>
        <v>127505</v>
      </c>
      <c r="E31" s="38">
        <f>SUMIF($O$84:$O$110,C31,$Q$84:$Q$110)</f>
        <v>127334</v>
      </c>
      <c r="F31" s="156">
        <f t="shared" ref="F31:F40" si="4">IF(E31=0,0,TRUNC(((E31/D31)-1)*100,2))</f>
        <v>-0.13</v>
      </c>
      <c r="G31" s="9"/>
      <c r="H31" s="44">
        <v>18</v>
      </c>
      <c r="I31" s="34" t="s">
        <v>26</v>
      </c>
      <c r="J31" s="35">
        <f>SUMIF($O$84:$O$110,I31,$R$84:$R$110)</f>
        <v>131479</v>
      </c>
      <c r="K31" s="38">
        <f>SUMIF($O$84:$O$110,I31,$S$84:$S$110)</f>
        <v>166861</v>
      </c>
      <c r="L31" s="156">
        <f t="shared" ref="L31:L40" si="5">IF(K31=0,0,TRUNC(((K31/J31)-1)*100,2))</f>
        <v>26.91</v>
      </c>
      <c r="M31" s="2" t="str">
        <f t="shared" si="0"/>
        <v>Error</v>
      </c>
      <c r="N31" s="195">
        <f t="shared" si="1"/>
        <v>17404877</v>
      </c>
      <c r="O31" s="274" t="s">
        <v>38</v>
      </c>
      <c r="P31" s="268">
        <v>17351165</v>
      </c>
      <c r="Q31" s="268">
        <v>137724</v>
      </c>
      <c r="R31" s="268">
        <v>1446</v>
      </c>
      <c r="S31" s="269">
        <v>120</v>
      </c>
      <c r="T31" s="268">
        <v>99287</v>
      </c>
      <c r="U31" s="268">
        <v>26031</v>
      </c>
      <c r="V31" s="269">
        <v>120</v>
      </c>
      <c r="W31" s="269" t="s">
        <v>0</v>
      </c>
      <c r="X31" s="268">
        <v>1055</v>
      </c>
      <c r="Y31" s="268">
        <v>25822</v>
      </c>
      <c r="Z31" s="269">
        <v>180</v>
      </c>
      <c r="AA31" s="269">
        <v>366</v>
      </c>
      <c r="AB31" s="269" t="s">
        <v>0</v>
      </c>
      <c r="AC31" s="268">
        <v>175309</v>
      </c>
      <c r="AD31" s="268">
        <v>9552500</v>
      </c>
      <c r="AE31" s="268">
        <v>7305608</v>
      </c>
      <c r="AF31" s="268">
        <v>47540</v>
      </c>
      <c r="AG31" s="268">
        <v>31769</v>
      </c>
      <c r="AH31" s="269" t="s">
        <v>0</v>
      </c>
      <c r="AI31" s="268">
        <v>5483</v>
      </c>
      <c r="AJ31" s="269" t="s">
        <v>0</v>
      </c>
      <c r="AK31" s="268">
        <v>15577</v>
      </c>
      <c r="AL31" s="269" t="s">
        <v>0</v>
      </c>
      <c r="AM31" s="269" t="s">
        <v>0</v>
      </c>
      <c r="AN31" s="269" t="s">
        <v>0</v>
      </c>
      <c r="AO31" s="269" t="s">
        <v>0</v>
      </c>
      <c r="AP31" s="268">
        <v>1333</v>
      </c>
      <c r="AQ31" s="269" t="s">
        <v>0</v>
      </c>
      <c r="AR31" s="268">
        <v>43924003</v>
      </c>
      <c r="AS31" s="269" t="s">
        <v>0</v>
      </c>
      <c r="AT31" s="269" t="s">
        <v>0</v>
      </c>
      <c r="AU31" s="268">
        <v>1479</v>
      </c>
      <c r="AV31" s="269" t="s">
        <v>0</v>
      </c>
      <c r="AW31" s="269" t="s">
        <v>0</v>
      </c>
      <c r="AX31" s="269" t="s">
        <v>0</v>
      </c>
      <c r="AY31" s="268">
        <v>14224</v>
      </c>
      <c r="AZ31" s="269" t="s">
        <v>0</v>
      </c>
      <c r="BA31" s="269" t="s">
        <v>0</v>
      </c>
      <c r="BB31" s="268">
        <v>1004216</v>
      </c>
      <c r="BC31" s="269" t="s">
        <v>0</v>
      </c>
      <c r="BD31" s="269" t="s">
        <v>0</v>
      </c>
      <c r="BE31" s="268">
        <v>2420</v>
      </c>
      <c r="BF31" s="269">
        <v>105</v>
      </c>
      <c r="BG31" s="268">
        <v>13685719</v>
      </c>
      <c r="BH31" s="268">
        <v>111410</v>
      </c>
      <c r="BI31" s="268">
        <v>1446</v>
      </c>
      <c r="BJ31" s="269">
        <v>120</v>
      </c>
      <c r="BK31" s="268">
        <v>75871</v>
      </c>
      <c r="BL31" s="268">
        <v>26031</v>
      </c>
      <c r="BM31" s="269">
        <v>120</v>
      </c>
      <c r="BN31" s="269" t="s">
        <v>0</v>
      </c>
      <c r="BO31" s="269">
        <v>779</v>
      </c>
      <c r="BP31" s="268">
        <v>14159</v>
      </c>
      <c r="BQ31" s="268">
        <v>1508</v>
      </c>
      <c r="BR31" s="268">
        <v>3289</v>
      </c>
      <c r="BS31" s="269" t="s">
        <v>0</v>
      </c>
      <c r="BT31" s="268">
        <v>118143</v>
      </c>
      <c r="BU31" s="268">
        <v>5911613</v>
      </c>
      <c r="BV31" s="268">
        <v>7388360</v>
      </c>
      <c r="BW31" s="268">
        <v>28600</v>
      </c>
      <c r="BX31" s="268">
        <v>47720</v>
      </c>
      <c r="BY31" s="269" t="s">
        <v>0</v>
      </c>
      <c r="BZ31" s="268">
        <v>5239</v>
      </c>
      <c r="CA31" s="269" t="s">
        <v>0</v>
      </c>
      <c r="CB31" s="268">
        <v>14336</v>
      </c>
      <c r="CC31" s="269" t="s">
        <v>0</v>
      </c>
      <c r="CD31" s="269" t="s">
        <v>0</v>
      </c>
      <c r="CE31" s="269" t="s">
        <v>0</v>
      </c>
      <c r="CF31" s="269" t="s">
        <v>0</v>
      </c>
      <c r="CG31" s="269">
        <v>448</v>
      </c>
      <c r="CH31" s="269" t="s">
        <v>0</v>
      </c>
      <c r="CI31" s="268">
        <v>52220075</v>
      </c>
      <c r="CJ31" s="269" t="s">
        <v>0</v>
      </c>
      <c r="CK31" s="269" t="s">
        <v>0</v>
      </c>
      <c r="CL31" s="268">
        <v>1479</v>
      </c>
      <c r="CM31" s="269" t="s">
        <v>0</v>
      </c>
      <c r="CN31" s="269" t="s">
        <v>0</v>
      </c>
      <c r="CO31" s="269" t="s">
        <v>0</v>
      </c>
      <c r="CP31" s="268">
        <v>11999</v>
      </c>
      <c r="CQ31" s="269" t="s">
        <v>0</v>
      </c>
      <c r="CR31" s="269" t="s">
        <v>0</v>
      </c>
      <c r="CS31" s="268">
        <v>742673</v>
      </c>
      <c r="CT31" s="269" t="s">
        <v>0</v>
      </c>
      <c r="CU31" s="269" t="s">
        <v>0</v>
      </c>
      <c r="CV31" s="268">
        <v>2465</v>
      </c>
      <c r="CW31" s="275">
        <v>981</v>
      </c>
    </row>
    <row r="32" spans="1:101" ht="13.5" customHeight="1" x14ac:dyDescent="0.2">
      <c r="A32" s="36"/>
      <c r="B32" s="10">
        <v>19</v>
      </c>
      <c r="C32" s="34" t="s">
        <v>16</v>
      </c>
      <c r="D32" s="35">
        <f>SUMIF($O$84:$O$110,C32,$P$84:$P$110)</f>
        <v>106297</v>
      </c>
      <c r="E32" s="38">
        <f>SUMIF($O$84:$O$110,C32,$Q$84:$Q$110)</f>
        <v>93259</v>
      </c>
      <c r="F32" s="156">
        <f t="shared" si="4"/>
        <v>-12.26</v>
      </c>
      <c r="G32" s="9"/>
      <c r="H32" s="44">
        <v>19</v>
      </c>
      <c r="I32" s="34" t="s">
        <v>40</v>
      </c>
      <c r="J32" s="35">
        <f>SUMIF($O$84:$O$110,I32,$R$84:$R$110)</f>
        <v>155874</v>
      </c>
      <c r="K32" s="38">
        <f>SUMIF($O$84:$O$110,I32,$S$84:$S$110)</f>
        <v>161637</v>
      </c>
      <c r="L32" s="156">
        <f t="shared" si="5"/>
        <v>3.69</v>
      </c>
      <c r="M32" s="2" t="str">
        <f t="shared" si="0"/>
        <v>Error</v>
      </c>
      <c r="N32" s="195">
        <f t="shared" si="1"/>
        <v>52952205</v>
      </c>
      <c r="O32" s="274" t="s">
        <v>39</v>
      </c>
      <c r="P32" s="268">
        <v>52026508</v>
      </c>
      <c r="Q32" s="268">
        <v>2373581</v>
      </c>
      <c r="R32" s="269">
        <v>12</v>
      </c>
      <c r="S32" s="269">
        <v>502</v>
      </c>
      <c r="T32" s="268">
        <v>607759</v>
      </c>
      <c r="U32" s="269" t="s">
        <v>0</v>
      </c>
      <c r="V32" s="269" t="s">
        <v>0</v>
      </c>
      <c r="W32" s="269" t="s">
        <v>0</v>
      </c>
      <c r="X32" s="268">
        <v>18490</v>
      </c>
      <c r="Y32" s="268">
        <v>240024</v>
      </c>
      <c r="Z32" s="268">
        <v>60367</v>
      </c>
      <c r="AA32" s="268">
        <v>115936</v>
      </c>
      <c r="AB32" s="269">
        <v>385</v>
      </c>
      <c r="AC32" s="268">
        <v>340090</v>
      </c>
      <c r="AD32" s="268">
        <v>21013205</v>
      </c>
      <c r="AE32" s="268">
        <v>27850954</v>
      </c>
      <c r="AF32" s="268">
        <v>330900</v>
      </c>
      <c r="AG32" s="269" t="s">
        <v>0</v>
      </c>
      <c r="AH32" s="269" t="s">
        <v>0</v>
      </c>
      <c r="AI32" s="268">
        <v>36643</v>
      </c>
      <c r="AJ32" s="269" t="s">
        <v>0</v>
      </c>
      <c r="AK32" s="268">
        <v>70046</v>
      </c>
      <c r="AL32" s="269" t="s">
        <v>0</v>
      </c>
      <c r="AM32" s="269" t="s">
        <v>0</v>
      </c>
      <c r="AN32" s="269" t="s">
        <v>0</v>
      </c>
      <c r="AO32" s="269">
        <v>527</v>
      </c>
      <c r="AP32" s="269">
        <v>101</v>
      </c>
      <c r="AQ32" s="268">
        <v>7074</v>
      </c>
      <c r="AR32" s="268">
        <v>20077293</v>
      </c>
      <c r="AS32" s="269">
        <v>256</v>
      </c>
      <c r="AT32" s="269" t="s">
        <v>0</v>
      </c>
      <c r="AU32" s="268">
        <v>13246</v>
      </c>
      <c r="AV32" s="269" t="s">
        <v>0</v>
      </c>
      <c r="AW32" s="269">
        <v>188</v>
      </c>
      <c r="AX32" s="269" t="s">
        <v>0</v>
      </c>
      <c r="AY32" s="268">
        <v>5840</v>
      </c>
      <c r="AZ32" s="269" t="s">
        <v>0</v>
      </c>
      <c r="BA32" s="269" t="s">
        <v>0</v>
      </c>
      <c r="BB32" s="268">
        <v>292059</v>
      </c>
      <c r="BC32" s="269">
        <v>14</v>
      </c>
      <c r="BD32" s="269" t="s">
        <v>0</v>
      </c>
      <c r="BE32" s="268">
        <v>9268</v>
      </c>
      <c r="BF32" s="269">
        <v>981</v>
      </c>
      <c r="BG32" s="268">
        <v>43918244</v>
      </c>
      <c r="BH32" s="268">
        <v>2220555</v>
      </c>
      <c r="BI32" s="269">
        <v>12</v>
      </c>
      <c r="BJ32" s="269">
        <v>181</v>
      </c>
      <c r="BK32" s="268">
        <v>501045</v>
      </c>
      <c r="BL32" s="269" t="s">
        <v>0</v>
      </c>
      <c r="BM32" s="269" t="s">
        <v>0</v>
      </c>
      <c r="BN32" s="269" t="s">
        <v>0</v>
      </c>
      <c r="BO32" s="268">
        <v>11397</v>
      </c>
      <c r="BP32" s="268">
        <v>160970</v>
      </c>
      <c r="BQ32" s="268">
        <v>58530</v>
      </c>
      <c r="BR32" s="268">
        <v>43486</v>
      </c>
      <c r="BS32" s="269">
        <v>550</v>
      </c>
      <c r="BT32" s="268">
        <v>258994</v>
      </c>
      <c r="BU32" s="268">
        <v>15080791</v>
      </c>
      <c r="BV32" s="268">
        <v>26277753</v>
      </c>
      <c r="BW32" s="268">
        <v>169996</v>
      </c>
      <c r="BX32" s="269" t="s">
        <v>0</v>
      </c>
      <c r="BY32" s="269" t="s">
        <v>0</v>
      </c>
      <c r="BZ32" s="268">
        <v>31257</v>
      </c>
      <c r="CA32" s="269" t="s">
        <v>0</v>
      </c>
      <c r="CB32" s="268">
        <v>72009</v>
      </c>
      <c r="CC32" s="269" t="s">
        <v>0</v>
      </c>
      <c r="CD32" s="269" t="s">
        <v>0</v>
      </c>
      <c r="CE32" s="269" t="s">
        <v>0</v>
      </c>
      <c r="CF32" s="269">
        <v>540</v>
      </c>
      <c r="CG32" s="269">
        <v>83</v>
      </c>
      <c r="CH32" s="268">
        <v>5702</v>
      </c>
      <c r="CI32" s="268">
        <v>19203464</v>
      </c>
      <c r="CJ32" s="269">
        <v>96</v>
      </c>
      <c r="CK32" s="269" t="s">
        <v>0</v>
      </c>
      <c r="CL32" s="268">
        <v>11935</v>
      </c>
      <c r="CM32" s="269" t="s">
        <v>0</v>
      </c>
      <c r="CN32" s="269">
        <v>180</v>
      </c>
      <c r="CO32" s="269" t="s">
        <v>0</v>
      </c>
      <c r="CP32" s="268">
        <v>5938</v>
      </c>
      <c r="CQ32" s="269" t="s">
        <v>0</v>
      </c>
      <c r="CR32" s="269" t="s">
        <v>0</v>
      </c>
      <c r="CS32" s="268">
        <v>285619</v>
      </c>
      <c r="CT32" s="269">
        <v>9</v>
      </c>
      <c r="CU32" s="269" t="s">
        <v>0</v>
      </c>
      <c r="CV32" s="268">
        <v>6037</v>
      </c>
      <c r="CW32" s="276">
        <v>1351</v>
      </c>
    </row>
    <row r="33" spans="1:101" ht="13.5" customHeight="1" x14ac:dyDescent="0.2">
      <c r="A33" s="36"/>
      <c r="B33" s="10">
        <v>20</v>
      </c>
      <c r="C33" s="34" t="s">
        <v>32</v>
      </c>
      <c r="D33" s="35">
        <f>SUMIF($O$84:$O$110,C33,$P$84:$P$110)</f>
        <v>44412</v>
      </c>
      <c r="E33" s="38">
        <f>SUMIF($O$84:$O$110,C33,$Q$84:$Q$110)</f>
        <v>49279</v>
      </c>
      <c r="F33" s="156">
        <f t="shared" si="4"/>
        <v>10.95</v>
      </c>
      <c r="G33" s="9"/>
      <c r="H33" s="44">
        <v>20</v>
      </c>
      <c r="I33" s="34" t="s">
        <v>25</v>
      </c>
      <c r="J33" s="35">
        <f>SUMIF($O$84:$O$110,I33,$R$84:$R$110)</f>
        <v>88201</v>
      </c>
      <c r="K33" s="38">
        <f>SUMIF($O$84:$O$110,I33,$S$84:$S$110)</f>
        <v>75498</v>
      </c>
      <c r="L33" s="156">
        <f t="shared" si="5"/>
        <v>-14.4</v>
      </c>
      <c r="M33" s="2" t="str">
        <f t="shared" si="0"/>
        <v>Error</v>
      </c>
      <c r="N33" s="195">
        <f t="shared" si="1"/>
        <v>19602602</v>
      </c>
      <c r="O33" s="274" t="s">
        <v>4</v>
      </c>
      <c r="P33" s="268">
        <v>19551124</v>
      </c>
      <c r="Q33" s="268">
        <v>131995</v>
      </c>
      <c r="R33" s="269">
        <v>180</v>
      </c>
      <c r="S33" s="269" t="s">
        <v>0</v>
      </c>
      <c r="T33" s="268">
        <v>108938</v>
      </c>
      <c r="U33" s="269">
        <v>200</v>
      </c>
      <c r="V33" s="269" t="s">
        <v>0</v>
      </c>
      <c r="W33" s="269" t="s">
        <v>0</v>
      </c>
      <c r="X33" s="268">
        <v>131142</v>
      </c>
      <c r="Y33" s="268">
        <v>44231</v>
      </c>
      <c r="Z33" s="268">
        <v>114090</v>
      </c>
      <c r="AA33" s="268">
        <v>11133</v>
      </c>
      <c r="AB33" s="269" t="s">
        <v>0</v>
      </c>
      <c r="AC33" s="268">
        <v>1735340</v>
      </c>
      <c r="AD33" s="268">
        <v>7777163</v>
      </c>
      <c r="AE33" s="268">
        <v>8606210</v>
      </c>
      <c r="AF33" s="268">
        <v>898123</v>
      </c>
      <c r="AG33" s="268">
        <v>43857</v>
      </c>
      <c r="AH33" s="269" t="s">
        <v>0</v>
      </c>
      <c r="AI33" s="268">
        <v>62914</v>
      </c>
      <c r="AJ33" s="268">
        <v>34741</v>
      </c>
      <c r="AK33" s="268">
        <v>194311</v>
      </c>
      <c r="AL33" s="269" t="s">
        <v>0</v>
      </c>
      <c r="AM33" s="269" t="s">
        <v>0</v>
      </c>
      <c r="AN33" s="268">
        <v>243470</v>
      </c>
      <c r="AO33" s="269" t="s">
        <v>0</v>
      </c>
      <c r="AP33" s="268">
        <v>18123</v>
      </c>
      <c r="AQ33" s="269" t="s">
        <v>0</v>
      </c>
      <c r="AR33" s="268">
        <v>70412725</v>
      </c>
      <c r="AS33" s="269" t="s">
        <v>0</v>
      </c>
      <c r="AT33" s="268">
        <v>105225</v>
      </c>
      <c r="AU33" s="268">
        <v>13181</v>
      </c>
      <c r="AV33" s="269" t="s">
        <v>0</v>
      </c>
      <c r="AW33" s="269" t="s">
        <v>0</v>
      </c>
      <c r="AX33" s="269" t="s">
        <v>0</v>
      </c>
      <c r="AY33" s="268">
        <v>149202</v>
      </c>
      <c r="AZ33" s="269" t="s">
        <v>0</v>
      </c>
      <c r="BA33" s="269" t="s">
        <v>0</v>
      </c>
      <c r="BB33" s="268">
        <v>207751</v>
      </c>
      <c r="BC33" s="269" t="s">
        <v>0</v>
      </c>
      <c r="BD33" s="269" t="s">
        <v>0</v>
      </c>
      <c r="BE33" s="268">
        <v>912976</v>
      </c>
      <c r="BF33" s="268">
        <v>4008</v>
      </c>
      <c r="BG33" s="268">
        <v>16916752</v>
      </c>
      <c r="BH33" s="268">
        <v>86446</v>
      </c>
      <c r="BI33" s="269">
        <v>315</v>
      </c>
      <c r="BJ33" s="269" t="s">
        <v>0</v>
      </c>
      <c r="BK33" s="268">
        <v>109506</v>
      </c>
      <c r="BL33" s="269">
        <v>200</v>
      </c>
      <c r="BM33" s="269" t="s">
        <v>0</v>
      </c>
      <c r="BN33" s="269" t="s">
        <v>0</v>
      </c>
      <c r="BO33" s="268">
        <v>134545</v>
      </c>
      <c r="BP33" s="268">
        <v>56924</v>
      </c>
      <c r="BQ33" s="268">
        <v>153989</v>
      </c>
      <c r="BR33" s="268">
        <v>14712</v>
      </c>
      <c r="BS33" s="269" t="s">
        <v>0</v>
      </c>
      <c r="BT33" s="268">
        <v>1867503</v>
      </c>
      <c r="BU33" s="268">
        <v>3875505</v>
      </c>
      <c r="BV33" s="268">
        <v>10233537</v>
      </c>
      <c r="BW33" s="268">
        <v>351823</v>
      </c>
      <c r="BX33" s="268">
        <v>65461</v>
      </c>
      <c r="BY33" s="269" t="s">
        <v>0</v>
      </c>
      <c r="BZ33" s="268">
        <v>62850</v>
      </c>
      <c r="CA33" s="268">
        <v>28881</v>
      </c>
      <c r="CB33" s="268">
        <v>199468</v>
      </c>
      <c r="CC33" s="269" t="s">
        <v>0</v>
      </c>
      <c r="CD33" s="269" t="s">
        <v>0</v>
      </c>
      <c r="CE33" s="268">
        <v>236192</v>
      </c>
      <c r="CF33" s="269" t="s">
        <v>0</v>
      </c>
      <c r="CG33" s="268">
        <v>17301</v>
      </c>
      <c r="CH33" s="269" t="s">
        <v>0</v>
      </c>
      <c r="CI33" s="268">
        <v>70493478</v>
      </c>
      <c r="CJ33" s="269" t="s">
        <v>0</v>
      </c>
      <c r="CK33" s="268">
        <v>117410</v>
      </c>
      <c r="CL33" s="268">
        <v>8943</v>
      </c>
      <c r="CM33" s="269" t="s">
        <v>0</v>
      </c>
      <c r="CN33" s="269" t="s">
        <v>0</v>
      </c>
      <c r="CO33" s="269" t="s">
        <v>0</v>
      </c>
      <c r="CP33" s="268">
        <v>154571</v>
      </c>
      <c r="CQ33" s="269" t="s">
        <v>0</v>
      </c>
      <c r="CR33" s="269" t="s">
        <v>0</v>
      </c>
      <c r="CS33" s="268">
        <v>213367</v>
      </c>
      <c r="CT33" s="269" t="s">
        <v>0</v>
      </c>
      <c r="CU33" s="269" t="s">
        <v>0</v>
      </c>
      <c r="CV33" s="268">
        <v>978258</v>
      </c>
      <c r="CW33" s="276">
        <v>2566</v>
      </c>
    </row>
    <row r="34" spans="1:101" ht="13.5" customHeight="1" thickBot="1" x14ac:dyDescent="0.25">
      <c r="A34" s="36"/>
      <c r="B34" s="10">
        <v>21</v>
      </c>
      <c r="C34" s="34" t="s">
        <v>20</v>
      </c>
      <c r="D34" s="35">
        <f>SUMIF($O$84:$O$110,C34,$P$84:$P$110)</f>
        <v>33600</v>
      </c>
      <c r="E34" s="38">
        <f>SUMIF($O$84:$O$110,C34,$Q$84:$Q$110)</f>
        <v>46280</v>
      </c>
      <c r="F34" s="156">
        <f t="shared" si="4"/>
        <v>37.729999999999997</v>
      </c>
      <c r="G34" s="9"/>
      <c r="H34" s="44">
        <v>21</v>
      </c>
      <c r="I34" s="34" t="s">
        <v>28</v>
      </c>
      <c r="J34" s="35">
        <f>SUMIF($O$84:$O$110,I34,$R$84:$R$110)</f>
        <v>88251</v>
      </c>
      <c r="K34" s="38">
        <f>SUMIF($O$84:$O$110,I34,$S$84:$S$110)</f>
        <v>71565</v>
      </c>
      <c r="L34" s="156">
        <f t="shared" si="5"/>
        <v>-18.899999999999999</v>
      </c>
      <c r="M34" s="2" t="str">
        <f t="shared" si="0"/>
        <v>OK</v>
      </c>
      <c r="N34" s="195">
        <f t="shared" si="1"/>
        <v>778248</v>
      </c>
      <c r="O34" s="277" t="s">
        <v>40</v>
      </c>
      <c r="P34" s="278">
        <v>778248</v>
      </c>
      <c r="Q34" s="279" t="s">
        <v>0</v>
      </c>
      <c r="R34" s="279">
        <v>17</v>
      </c>
      <c r="S34" s="279" t="s">
        <v>0</v>
      </c>
      <c r="T34" s="279" t="s">
        <v>0</v>
      </c>
      <c r="U34" s="279" t="s">
        <v>0</v>
      </c>
      <c r="V34" s="279" t="s">
        <v>0</v>
      </c>
      <c r="W34" s="279" t="s">
        <v>0</v>
      </c>
      <c r="X34" s="278">
        <v>26237</v>
      </c>
      <c r="Y34" s="278">
        <v>3087</v>
      </c>
      <c r="Z34" s="278">
        <v>4172</v>
      </c>
      <c r="AA34" s="279" t="s">
        <v>0</v>
      </c>
      <c r="AB34" s="279" t="s">
        <v>0</v>
      </c>
      <c r="AC34" s="278">
        <v>196337</v>
      </c>
      <c r="AD34" s="278">
        <v>331851</v>
      </c>
      <c r="AE34" s="278">
        <v>180832</v>
      </c>
      <c r="AF34" s="278">
        <v>25795</v>
      </c>
      <c r="AG34" s="278">
        <v>9920</v>
      </c>
      <c r="AH34" s="279" t="s">
        <v>0</v>
      </c>
      <c r="AI34" s="279">
        <v>116</v>
      </c>
      <c r="AJ34" s="278">
        <v>2634</v>
      </c>
      <c r="AK34" s="278">
        <v>3658</v>
      </c>
      <c r="AL34" s="279" t="s">
        <v>0</v>
      </c>
      <c r="AM34" s="279">
        <v>390</v>
      </c>
      <c r="AN34" s="279" t="s">
        <v>0</v>
      </c>
      <c r="AO34" s="279" t="s">
        <v>0</v>
      </c>
      <c r="AP34" s="278">
        <v>1309</v>
      </c>
      <c r="AQ34" s="279" t="s">
        <v>0</v>
      </c>
      <c r="AR34" s="278">
        <v>39672</v>
      </c>
      <c r="AS34" s="279" t="s">
        <v>0</v>
      </c>
      <c r="AT34" s="278">
        <v>8206</v>
      </c>
      <c r="AU34" s="279" t="s">
        <v>0</v>
      </c>
      <c r="AV34" s="279" t="s">
        <v>0</v>
      </c>
      <c r="AW34" s="279" t="s">
        <v>0</v>
      </c>
      <c r="AX34" s="279" t="s">
        <v>0</v>
      </c>
      <c r="AY34" s="278">
        <v>4014</v>
      </c>
      <c r="AZ34" s="279" t="s">
        <v>0</v>
      </c>
      <c r="BA34" s="279" t="s">
        <v>0</v>
      </c>
      <c r="BB34" s="278">
        <v>14096</v>
      </c>
      <c r="BC34" s="279" t="s">
        <v>0</v>
      </c>
      <c r="BD34" s="279" t="s">
        <v>0</v>
      </c>
      <c r="BE34" s="278">
        <v>36691</v>
      </c>
      <c r="BF34" s="278">
        <v>1890</v>
      </c>
      <c r="BG34" s="278">
        <v>575985</v>
      </c>
      <c r="BH34" s="279" t="s">
        <v>0</v>
      </c>
      <c r="BI34" s="279">
        <v>17</v>
      </c>
      <c r="BJ34" s="279" t="s">
        <v>0</v>
      </c>
      <c r="BK34" s="279" t="s">
        <v>0</v>
      </c>
      <c r="BL34" s="279" t="s">
        <v>0</v>
      </c>
      <c r="BM34" s="279" t="s">
        <v>0</v>
      </c>
      <c r="BN34" s="279" t="s">
        <v>0</v>
      </c>
      <c r="BO34" s="278">
        <v>18150</v>
      </c>
      <c r="BP34" s="278">
        <v>1755</v>
      </c>
      <c r="BQ34" s="278">
        <v>5890</v>
      </c>
      <c r="BR34" s="279" t="s">
        <v>0</v>
      </c>
      <c r="BS34" s="279" t="s">
        <v>0</v>
      </c>
      <c r="BT34" s="278">
        <v>192764</v>
      </c>
      <c r="BU34" s="278">
        <v>99697</v>
      </c>
      <c r="BV34" s="278">
        <v>238000</v>
      </c>
      <c r="BW34" s="278">
        <v>17318</v>
      </c>
      <c r="BX34" s="278">
        <v>2394</v>
      </c>
      <c r="BY34" s="279" t="s">
        <v>0</v>
      </c>
      <c r="BZ34" s="279">
        <v>47</v>
      </c>
      <c r="CA34" s="278">
        <v>3000</v>
      </c>
      <c r="CB34" s="278">
        <v>3652</v>
      </c>
      <c r="CC34" s="279" t="s">
        <v>0</v>
      </c>
      <c r="CD34" s="279">
        <v>379</v>
      </c>
      <c r="CE34" s="279" t="s">
        <v>0</v>
      </c>
      <c r="CF34" s="279" t="s">
        <v>0</v>
      </c>
      <c r="CG34" s="278">
        <v>1266</v>
      </c>
      <c r="CH34" s="279" t="s">
        <v>0</v>
      </c>
      <c r="CI34" s="278">
        <v>27760</v>
      </c>
      <c r="CJ34" s="279" t="s">
        <v>0</v>
      </c>
      <c r="CK34" s="278">
        <v>2196</v>
      </c>
      <c r="CL34" s="279" t="s">
        <v>0</v>
      </c>
      <c r="CM34" s="279" t="s">
        <v>0</v>
      </c>
      <c r="CN34" s="279" t="s">
        <v>0</v>
      </c>
      <c r="CO34" s="279" t="s">
        <v>0</v>
      </c>
      <c r="CP34" s="278">
        <v>2616</v>
      </c>
      <c r="CQ34" s="279" t="s">
        <v>0</v>
      </c>
      <c r="CR34" s="279" t="s">
        <v>0</v>
      </c>
      <c r="CS34" s="278">
        <v>20800</v>
      </c>
      <c r="CT34" s="279" t="s">
        <v>0</v>
      </c>
      <c r="CU34" s="279" t="s">
        <v>0</v>
      </c>
      <c r="CV34" s="278">
        <v>24760</v>
      </c>
      <c r="CW34" s="280">
        <v>1300</v>
      </c>
    </row>
    <row r="35" spans="1:101" ht="13.5" customHeight="1" thickTop="1" x14ac:dyDescent="0.2">
      <c r="A35" s="36"/>
      <c r="B35" s="10">
        <v>22</v>
      </c>
      <c r="C35" s="34" t="s">
        <v>17</v>
      </c>
      <c r="D35" s="35">
        <f>SUMIF($O$84:$O$110,C35,$P$84:$P$110)</f>
        <v>23349</v>
      </c>
      <c r="E35" s="38">
        <f>SUMIF($O$84:$O$110,C35,$Q$84:$Q$110)</f>
        <v>38819</v>
      </c>
      <c r="F35" s="156">
        <f t="shared" si="4"/>
        <v>66.25</v>
      </c>
      <c r="G35" s="9"/>
      <c r="H35" s="44">
        <v>22</v>
      </c>
      <c r="I35" s="34" t="s">
        <v>16</v>
      </c>
      <c r="J35" s="35">
        <f>SUMIF($O$84:$O$110,I35,$R$84:$R$110)</f>
        <v>55786</v>
      </c>
      <c r="K35" s="38">
        <f>SUMIF($O$84:$O$110,I35,$S$84:$S$110)</f>
        <v>48409</v>
      </c>
      <c r="L35" s="156">
        <f t="shared" si="5"/>
        <v>-13.22</v>
      </c>
      <c r="M35" s="2"/>
      <c r="O35" s="281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</row>
    <row r="36" spans="1:101" ht="13.5" customHeight="1" x14ac:dyDescent="0.2">
      <c r="A36" s="36"/>
      <c r="B36" s="10">
        <v>23</v>
      </c>
      <c r="C36" s="34" t="s">
        <v>27</v>
      </c>
      <c r="D36" s="35">
        <f>SUMIF($O$84:$O$110,C36,$P$84:$P$110)</f>
        <v>61589</v>
      </c>
      <c r="E36" s="38">
        <f>SUMIF($O$84:$O$110,C36,$Q$84:$Q$110)</f>
        <v>38505</v>
      </c>
      <c r="F36" s="156">
        <f t="shared" si="4"/>
        <v>-37.479999999999997</v>
      </c>
      <c r="G36" s="9"/>
      <c r="H36" s="44">
        <v>23</v>
      </c>
      <c r="I36" s="34" t="s">
        <v>18</v>
      </c>
      <c r="J36" s="35">
        <f>SUMIF($O$84:$O$110,I36,$R$84:$R$110)</f>
        <v>40593</v>
      </c>
      <c r="K36" s="38">
        <f>SUMIF($O$84:$O$110,I36,$S$84:$S$110)</f>
        <v>42357</v>
      </c>
      <c r="L36" s="156">
        <f t="shared" si="5"/>
        <v>4.34</v>
      </c>
      <c r="M36" s="2"/>
      <c r="N36" s="161"/>
      <c r="O36" s="281"/>
      <c r="P36" s="36">
        <f>SUM(Q33:AH33)</f>
        <v>19602602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</row>
    <row r="37" spans="1:101" ht="13.5" customHeight="1" thickBot="1" x14ac:dyDescent="0.25">
      <c r="A37" s="36"/>
      <c r="B37" s="10">
        <v>24</v>
      </c>
      <c r="C37" s="34" t="s">
        <v>28</v>
      </c>
      <c r="D37" s="35">
        <f>SUMIF($O$84:$O$110,C37,$P$84:$P$110)</f>
        <v>46061</v>
      </c>
      <c r="E37" s="38">
        <f>SUMIF($O$84:$O$110,C37,$Q$84:$Q$110)</f>
        <v>38102</v>
      </c>
      <c r="F37" s="156">
        <f t="shared" si="4"/>
        <v>-17.27</v>
      </c>
      <c r="G37" s="9"/>
      <c r="H37" s="44">
        <v>24</v>
      </c>
      <c r="I37" s="34" t="s">
        <v>32</v>
      </c>
      <c r="J37" s="35">
        <f>SUMIF($O$84:$O$110,I37,$R$84:$R$110)</f>
        <v>33374</v>
      </c>
      <c r="K37" s="38">
        <f>SUMIF($O$84:$O$110,I37,$S$84:$S$110)</f>
        <v>24006</v>
      </c>
      <c r="L37" s="156">
        <f t="shared" si="5"/>
        <v>-28.06</v>
      </c>
      <c r="M37" s="2"/>
      <c r="N37" s="161"/>
      <c r="O37" s="281" t="s">
        <v>209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</row>
    <row r="38" spans="1:101" ht="13.5" customHeight="1" thickTop="1" x14ac:dyDescent="0.2">
      <c r="A38" s="36"/>
      <c r="B38" s="10">
        <v>25</v>
      </c>
      <c r="C38" s="34" t="s">
        <v>26</v>
      </c>
      <c r="D38" s="35">
        <f>SUMIF($O$84:$O$110,C38,$P$84:$P$110)</f>
        <v>18793</v>
      </c>
      <c r="E38" s="38">
        <f>SUMIF($O$84:$O$110,C38,$Q$84:$Q$110)</f>
        <v>22412</v>
      </c>
      <c r="F38" s="156">
        <f t="shared" si="4"/>
        <v>19.25</v>
      </c>
      <c r="G38" s="9"/>
      <c r="H38" s="44">
        <v>25</v>
      </c>
      <c r="I38" s="34" t="s">
        <v>17</v>
      </c>
      <c r="J38" s="35">
        <f>SUMIF($O$84:$O$110,I38,$R$84:$R$110)</f>
        <v>11054</v>
      </c>
      <c r="K38" s="38">
        <f>SUMIF($O$84:$O$110,I38,$S$84:$S$110)</f>
        <v>22529</v>
      </c>
      <c r="L38" s="156">
        <f t="shared" si="5"/>
        <v>103.8</v>
      </c>
      <c r="M38" s="2"/>
      <c r="O38" s="162"/>
      <c r="P38" s="9"/>
      <c r="Q38" s="9"/>
      <c r="R38" s="9"/>
      <c r="S38" s="9"/>
      <c r="BB38"/>
      <c r="BC38"/>
      <c r="BD38"/>
      <c r="BE38"/>
    </row>
    <row r="39" spans="1:101" ht="13.5" customHeight="1" x14ac:dyDescent="0.2">
      <c r="A39" s="36"/>
      <c r="B39" s="10">
        <v>26</v>
      </c>
      <c r="C39" s="34" t="s">
        <v>25</v>
      </c>
      <c r="D39" s="35">
        <f>SUMIF($O$84:$O$110,C39,$P$84:$P$110)</f>
        <v>11253</v>
      </c>
      <c r="E39" s="38">
        <f>SUMIF($O$84:$O$110,C39,$Q$84:$Q$110)</f>
        <v>12007</v>
      </c>
      <c r="F39" s="156">
        <f t="shared" si="4"/>
        <v>6.7</v>
      </c>
      <c r="G39" s="9"/>
      <c r="H39" s="44">
        <v>26</v>
      </c>
      <c r="I39" s="34" t="s">
        <v>20</v>
      </c>
      <c r="J39" s="35">
        <f>SUMIF($O$84:$O$110,I39,$R$84:$R$110)</f>
        <v>15907</v>
      </c>
      <c r="K39" s="38">
        <f>SUMIF($O$84:$O$110,I39,$S$84:$S$110)</f>
        <v>19884</v>
      </c>
      <c r="L39" s="156">
        <f t="shared" si="5"/>
        <v>25</v>
      </c>
      <c r="M39" s="2"/>
      <c r="P39" s="9"/>
      <c r="Q39" s="9"/>
      <c r="R39" s="9"/>
      <c r="S39" s="9"/>
      <c r="BB39"/>
      <c r="BC39"/>
      <c r="BD39"/>
      <c r="BE39"/>
    </row>
    <row r="40" spans="1:101" ht="13.5" customHeight="1" x14ac:dyDescent="0.2">
      <c r="A40" s="36"/>
      <c r="B40" s="10">
        <v>27</v>
      </c>
      <c r="C40" s="34" t="s">
        <v>33</v>
      </c>
      <c r="D40" s="35">
        <f>SUMIF($O$84:$O$110,C40,$P$84:$P$110)</f>
        <v>8671</v>
      </c>
      <c r="E40" s="38">
        <f>SUMIF($O$84:$O$110,C40,$Q$84:$Q$110)</f>
        <v>8606</v>
      </c>
      <c r="F40" s="156">
        <f t="shared" si="4"/>
        <v>-0.74</v>
      </c>
      <c r="G40" s="9"/>
      <c r="H40" s="44">
        <v>27</v>
      </c>
      <c r="I40" s="34" t="s">
        <v>33</v>
      </c>
      <c r="J40" s="35">
        <f>SUMIF($O$84:$O$110,I40,$R$84:$R$110)</f>
        <v>4501</v>
      </c>
      <c r="K40" s="38">
        <f>SUMIF($O$84:$O$110,I40,$S$84:$S$110)</f>
        <v>4822</v>
      </c>
      <c r="L40" s="156">
        <f t="shared" si="5"/>
        <v>7.13</v>
      </c>
      <c r="M40" s="2"/>
      <c r="P40" s="9"/>
      <c r="Q40" s="9"/>
      <c r="R40" s="9"/>
      <c r="S40" s="9"/>
      <c r="BB40"/>
      <c r="BC40"/>
      <c r="BD40"/>
      <c r="BE40"/>
      <c r="BF40" s="7"/>
    </row>
    <row r="41" spans="1:101" ht="13.5" customHeight="1" x14ac:dyDescent="0.2">
      <c r="B41" s="10"/>
      <c r="C41" s="34" t="s">
        <v>9</v>
      </c>
      <c r="D41" s="39">
        <f>SUM(D14:D40)</f>
        <v>211290433</v>
      </c>
      <c r="E41" s="39">
        <f>SUM(E14:E40)</f>
        <v>185353983</v>
      </c>
      <c r="F41" s="40">
        <f t="shared" ref="F41:F42" si="6">TRUNC(((E41/D41)-1)*100,2)</f>
        <v>-12.27</v>
      </c>
      <c r="G41" s="9"/>
      <c r="H41" s="44"/>
      <c r="I41" s="34" t="s">
        <v>9</v>
      </c>
      <c r="J41" s="39">
        <f>SUM(J14:J40)</f>
        <v>58381414</v>
      </c>
      <c r="K41" s="39">
        <f>SUM(K14:K40)</f>
        <v>58694432</v>
      </c>
      <c r="L41" s="40">
        <f t="shared" ref="L41:L42" si="7">TRUNC(((K41/J41)-1)*100,2)</f>
        <v>0.53</v>
      </c>
      <c r="M41" s="2"/>
      <c r="O41" s="66" t="s">
        <v>13</v>
      </c>
      <c r="P41" s="67"/>
      <c r="Q41" s="67"/>
      <c r="R41" s="67"/>
      <c r="S41" s="67"/>
      <c r="T41" s="67"/>
      <c r="U41" s="67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66" t="s">
        <v>13</v>
      </c>
      <c r="BH41" s="67"/>
      <c r="BI41" s="67"/>
      <c r="BJ41" s="67"/>
      <c r="BK41" s="67"/>
      <c r="BL41" s="67"/>
      <c r="BM41" s="67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6"/>
    </row>
    <row r="42" spans="1:101" ht="13.5" customHeight="1" x14ac:dyDescent="0.2">
      <c r="B42" s="53"/>
      <c r="C42" s="55" t="s">
        <v>83</v>
      </c>
      <c r="D42" s="52">
        <f>SUM(P84:P110)</f>
        <v>211290433</v>
      </c>
      <c r="E42" s="52">
        <f>SUM(Q84:Q110)</f>
        <v>185353983</v>
      </c>
      <c r="F42" s="56">
        <f t="shared" si="6"/>
        <v>-12.27</v>
      </c>
      <c r="G42" s="9"/>
      <c r="H42" s="53"/>
      <c r="I42" s="55" t="s">
        <v>83</v>
      </c>
      <c r="J42" s="52">
        <f>SUM(R84:R110)</f>
        <v>58381414</v>
      </c>
      <c r="K42" s="52">
        <f>SUM(S84:S110)</f>
        <v>58694432</v>
      </c>
      <c r="L42" s="56">
        <f t="shared" si="7"/>
        <v>0.53</v>
      </c>
      <c r="M42" s="9"/>
      <c r="O42" s="64" t="s">
        <v>5</v>
      </c>
      <c r="P42" s="65"/>
      <c r="Q42" s="65"/>
      <c r="R42" s="65"/>
      <c r="S42" s="65"/>
      <c r="T42" s="65"/>
      <c r="U42" s="6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64" t="s">
        <v>5</v>
      </c>
      <c r="BH42" s="65"/>
      <c r="BI42" s="65"/>
      <c r="BJ42" s="65"/>
      <c r="BK42" s="65"/>
      <c r="BL42" s="65"/>
      <c r="BM42" s="6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6"/>
    </row>
    <row r="43" spans="1:101" ht="13.5" customHeight="1" x14ac:dyDescent="0.2">
      <c r="D43" s="9"/>
      <c r="E43" s="9"/>
      <c r="F43" s="9"/>
      <c r="G43" s="9"/>
      <c r="H43" s="9"/>
      <c r="I43" s="9"/>
      <c r="J43" s="9"/>
      <c r="K43" s="9"/>
      <c r="L43" s="9"/>
      <c r="M43" s="9"/>
      <c r="O43" s="70" t="str">
        <f>O4</f>
        <v>Mês/ano de referência: dezembro de 2016</v>
      </c>
      <c r="P43" s="69"/>
      <c r="Q43" s="69"/>
      <c r="R43" s="69"/>
      <c r="S43" s="69"/>
      <c r="T43" s="69"/>
      <c r="U43" s="69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70" t="str">
        <f>BG4</f>
        <v>Mês/ano de referência: dezembro de 2016</v>
      </c>
      <c r="BH43" s="69"/>
      <c r="BI43" s="69"/>
      <c r="BJ43" s="69"/>
      <c r="BK43" s="69"/>
      <c r="BL43" s="69"/>
      <c r="BM43" s="69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6"/>
    </row>
    <row r="44" spans="1:101" ht="13.5" customHeight="1" x14ac:dyDescent="0.2">
      <c r="D44" s="9"/>
      <c r="E44" s="9"/>
      <c r="F44" s="9"/>
      <c r="G44" s="9"/>
      <c r="H44" s="9"/>
      <c r="I44" s="9"/>
      <c r="J44" s="9"/>
      <c r="K44" s="9"/>
      <c r="L44" s="9"/>
      <c r="M44" s="9"/>
      <c r="O44" s="154"/>
      <c r="P44" s="68" t="s">
        <v>155</v>
      </c>
      <c r="Q44" s="69"/>
      <c r="R44" s="69"/>
      <c r="S44" s="69"/>
      <c r="T44" s="69"/>
      <c r="U44" s="69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54"/>
      <c r="BH44" s="68" t="s">
        <v>155</v>
      </c>
      <c r="BI44" s="69"/>
      <c r="BJ44" s="69"/>
      <c r="BK44" s="69"/>
      <c r="BL44" s="69"/>
      <c r="BM44" s="69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6"/>
    </row>
    <row r="45" spans="1:101" ht="13.5" customHeight="1" x14ac:dyDescent="0.2">
      <c r="D45" s="9"/>
      <c r="E45" s="9"/>
      <c r="F45" s="9"/>
      <c r="G45" s="9"/>
      <c r="H45" s="9"/>
      <c r="I45" s="9"/>
      <c r="J45" s="9"/>
      <c r="K45" s="9"/>
      <c r="L45" s="9"/>
      <c r="M45" s="9"/>
      <c r="O45" s="155"/>
      <c r="P45" s="70" t="str">
        <f>P6</f>
        <v>Safra 2015 - Mês de dezembro</v>
      </c>
      <c r="Q45" s="69"/>
      <c r="R45" s="69"/>
      <c r="S45" s="69"/>
      <c r="T45" s="69"/>
      <c r="U45" s="69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6"/>
      <c r="BG45" s="155"/>
      <c r="BH45" s="70" t="str">
        <f>BH6</f>
        <v>Safra 2016 - Mês de dezembro</v>
      </c>
      <c r="BI45" s="69"/>
      <c r="BJ45" s="69"/>
      <c r="BK45" s="69"/>
      <c r="BL45" s="69"/>
      <c r="BM45" s="69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6"/>
    </row>
    <row r="46" spans="1:101" ht="35.25" customHeight="1" thickBot="1" x14ac:dyDescent="0.25">
      <c r="B46" s="6" t="s">
        <v>88</v>
      </c>
      <c r="C46" s="242" t="s">
        <v>41</v>
      </c>
      <c r="D46" s="243"/>
      <c r="E46" s="244"/>
      <c r="F46" s="9"/>
      <c r="G46" s="9"/>
      <c r="H46" s="6" t="s">
        <v>88</v>
      </c>
      <c r="I46" s="239" t="s">
        <v>5</v>
      </c>
      <c r="J46" s="240"/>
      <c r="K46" s="241"/>
      <c r="L46" s="6" t="s">
        <v>89</v>
      </c>
      <c r="M46" s="9"/>
      <c r="O46" s="154" t="s">
        <v>14</v>
      </c>
      <c r="P46" s="6" t="s">
        <v>112</v>
      </c>
      <c r="Q46" s="6" t="s">
        <v>113</v>
      </c>
      <c r="R46" s="6" t="s">
        <v>114</v>
      </c>
      <c r="S46" s="6" t="s">
        <v>115</v>
      </c>
      <c r="T46" s="6" t="s">
        <v>116</v>
      </c>
      <c r="U46" s="6" t="s">
        <v>117</v>
      </c>
      <c r="V46" s="6" t="s">
        <v>118</v>
      </c>
      <c r="W46" s="6" t="s">
        <v>119</v>
      </c>
      <c r="X46" s="6" t="s">
        <v>120</v>
      </c>
      <c r="Y46" s="6" t="s">
        <v>121</v>
      </c>
      <c r="Z46" s="6" t="s">
        <v>122</v>
      </c>
      <c r="AA46" s="6" t="s">
        <v>123</v>
      </c>
      <c r="AB46" s="6" t="s">
        <v>124</v>
      </c>
      <c r="AC46" s="6" t="s">
        <v>125</v>
      </c>
      <c r="AD46" s="6" t="s">
        <v>126</v>
      </c>
      <c r="AE46" s="6" t="s">
        <v>127</v>
      </c>
      <c r="AF46" s="6" t="s">
        <v>128</v>
      </c>
      <c r="AG46" s="6" t="s">
        <v>129</v>
      </c>
      <c r="AH46" s="6" t="s">
        <v>130</v>
      </c>
      <c r="AI46" s="6" t="s">
        <v>131</v>
      </c>
      <c r="AJ46" s="6" t="s">
        <v>132</v>
      </c>
      <c r="AK46" s="6" t="s">
        <v>133</v>
      </c>
      <c r="AL46" s="6" t="s">
        <v>134</v>
      </c>
      <c r="AM46" s="6" t="s">
        <v>135</v>
      </c>
      <c r="AN46" s="6" t="s">
        <v>136</v>
      </c>
      <c r="AO46" s="6" t="s">
        <v>137</v>
      </c>
      <c r="AP46" s="6" t="s">
        <v>138</v>
      </c>
      <c r="AQ46" s="6" t="s">
        <v>139</v>
      </c>
      <c r="AR46" s="6" t="s">
        <v>140</v>
      </c>
      <c r="AS46" s="6" t="s">
        <v>141</v>
      </c>
      <c r="AT46" s="6" t="s">
        <v>142</v>
      </c>
      <c r="AU46" s="6" t="s">
        <v>143</v>
      </c>
      <c r="AV46" s="6" t="s">
        <v>144</v>
      </c>
      <c r="AW46" s="6" t="s">
        <v>145</v>
      </c>
      <c r="AX46" s="6" t="s">
        <v>146</v>
      </c>
      <c r="AY46" s="6" t="s">
        <v>147</v>
      </c>
      <c r="AZ46" s="6" t="s">
        <v>148</v>
      </c>
      <c r="BA46" s="6" t="s">
        <v>149</v>
      </c>
      <c r="BB46" s="6" t="s">
        <v>150</v>
      </c>
      <c r="BC46" s="6" t="s">
        <v>151</v>
      </c>
      <c r="BD46" s="6" t="s">
        <v>152</v>
      </c>
      <c r="BE46" s="6" t="s">
        <v>153</v>
      </c>
      <c r="BF46" s="6" t="s">
        <v>154</v>
      </c>
      <c r="BG46" s="6" t="s">
        <v>112</v>
      </c>
      <c r="BH46" s="6" t="s">
        <v>113</v>
      </c>
      <c r="BI46" s="6" t="s">
        <v>114</v>
      </c>
      <c r="BJ46" s="6" t="s">
        <v>115</v>
      </c>
      <c r="BK46" s="6" t="s">
        <v>116</v>
      </c>
      <c r="BL46" s="6" t="s">
        <v>117</v>
      </c>
      <c r="BM46" s="6" t="s">
        <v>118</v>
      </c>
      <c r="BN46" s="6" t="s">
        <v>119</v>
      </c>
      <c r="BO46" s="6" t="s">
        <v>120</v>
      </c>
      <c r="BP46" s="6" t="s">
        <v>121</v>
      </c>
      <c r="BQ46" s="6" t="s">
        <v>122</v>
      </c>
      <c r="BR46" s="6" t="s">
        <v>123</v>
      </c>
      <c r="BS46" s="6" t="s">
        <v>124</v>
      </c>
      <c r="BT46" s="6" t="s">
        <v>125</v>
      </c>
      <c r="BU46" s="6" t="s">
        <v>126</v>
      </c>
      <c r="BV46" s="6" t="s">
        <v>127</v>
      </c>
      <c r="BW46" s="6" t="s">
        <v>128</v>
      </c>
      <c r="BX46" s="6" t="s">
        <v>129</v>
      </c>
      <c r="BY46" s="6" t="s">
        <v>130</v>
      </c>
      <c r="BZ46" s="6" t="s">
        <v>131</v>
      </c>
      <c r="CA46" s="6" t="s">
        <v>132</v>
      </c>
      <c r="CB46" s="6" t="s">
        <v>133</v>
      </c>
      <c r="CC46" s="6" t="s">
        <v>134</v>
      </c>
      <c r="CD46" s="6" t="s">
        <v>135</v>
      </c>
      <c r="CE46" s="6" t="s">
        <v>136</v>
      </c>
      <c r="CF46" s="6" t="s">
        <v>137</v>
      </c>
      <c r="CG46" s="6" t="s">
        <v>138</v>
      </c>
      <c r="CH46" s="6" t="s">
        <v>139</v>
      </c>
      <c r="CI46" s="6" t="s">
        <v>140</v>
      </c>
      <c r="CJ46" s="6" t="s">
        <v>141</v>
      </c>
      <c r="CK46" s="6" t="s">
        <v>142</v>
      </c>
      <c r="CL46" s="6" t="s">
        <v>143</v>
      </c>
      <c r="CM46" s="6" t="s">
        <v>144</v>
      </c>
      <c r="CN46" s="6" t="s">
        <v>145</v>
      </c>
      <c r="CO46" s="6" t="s">
        <v>146</v>
      </c>
      <c r="CP46" s="6" t="s">
        <v>147</v>
      </c>
      <c r="CQ46" s="6" t="s">
        <v>148</v>
      </c>
      <c r="CR46" s="6" t="s">
        <v>149</v>
      </c>
      <c r="CS46" s="6" t="s">
        <v>150</v>
      </c>
      <c r="CT46" s="6" t="s">
        <v>151</v>
      </c>
      <c r="CU46" s="6" t="s">
        <v>152</v>
      </c>
      <c r="CV46" s="6" t="s">
        <v>153</v>
      </c>
      <c r="CW46" s="6" t="s">
        <v>154</v>
      </c>
    </row>
    <row r="47" spans="1:101" ht="13.5" customHeight="1" thickTop="1" x14ac:dyDescent="0.2">
      <c r="B47" s="6" t="s">
        <v>4</v>
      </c>
      <c r="C47" s="260" t="s">
        <v>200</v>
      </c>
      <c r="D47" s="261"/>
      <c r="E47" s="262"/>
      <c r="F47" s="9"/>
      <c r="G47" s="9"/>
      <c r="H47" s="6" t="s">
        <v>4</v>
      </c>
      <c r="I47" s="263" t="str">
        <f>C47</f>
        <v>Produto: Algodão herbáceo (caroço)</v>
      </c>
      <c r="J47" s="264"/>
      <c r="K47" s="265"/>
      <c r="L47" s="6" t="s">
        <v>90</v>
      </c>
      <c r="M47" s="9"/>
      <c r="O47" s="270" t="s">
        <v>15</v>
      </c>
      <c r="P47" s="271">
        <v>475478</v>
      </c>
      <c r="Q47" s="272" t="s">
        <v>0</v>
      </c>
      <c r="R47" s="272">
        <v>62</v>
      </c>
      <c r="S47" s="272" t="s">
        <v>0</v>
      </c>
      <c r="T47" s="271">
        <v>43574</v>
      </c>
      <c r="U47" s="272" t="s">
        <v>0</v>
      </c>
      <c r="V47" s="272" t="s">
        <v>0</v>
      </c>
      <c r="W47" s="272" t="s">
        <v>0</v>
      </c>
      <c r="X47" s="271">
        <v>22285</v>
      </c>
      <c r="Y47" s="272" t="s">
        <v>0</v>
      </c>
      <c r="Z47" s="272" t="s">
        <v>0</v>
      </c>
      <c r="AA47" s="272" t="s">
        <v>0</v>
      </c>
      <c r="AB47" s="272" t="s">
        <v>0</v>
      </c>
      <c r="AC47" s="271">
        <v>41366</v>
      </c>
      <c r="AD47" s="271">
        <v>134586</v>
      </c>
      <c r="AE47" s="271">
        <v>233605</v>
      </c>
      <c r="AF47" s="272" t="s">
        <v>0</v>
      </c>
      <c r="AG47" s="272" t="s">
        <v>0</v>
      </c>
      <c r="AH47" s="272" t="s">
        <v>0</v>
      </c>
      <c r="AI47" s="272">
        <v>883</v>
      </c>
      <c r="AJ47" s="272" t="s">
        <v>0</v>
      </c>
      <c r="AK47" s="271">
        <v>7699</v>
      </c>
      <c r="AL47" s="272" t="s">
        <v>0</v>
      </c>
      <c r="AM47" s="272" t="s">
        <v>0</v>
      </c>
      <c r="AN47" s="272" t="s">
        <v>0</v>
      </c>
      <c r="AO47" s="271">
        <v>14156</v>
      </c>
      <c r="AP47" s="272" t="s">
        <v>0</v>
      </c>
      <c r="AQ47" s="271">
        <v>79975</v>
      </c>
      <c r="AR47" s="271">
        <v>2393</v>
      </c>
      <c r="AS47" s="272" t="s">
        <v>0</v>
      </c>
      <c r="AT47" s="272" t="s">
        <v>0</v>
      </c>
      <c r="AU47" s="272">
        <v>181</v>
      </c>
      <c r="AV47" s="272" t="s">
        <v>0</v>
      </c>
      <c r="AW47" s="272">
        <v>92</v>
      </c>
      <c r="AX47" s="272" t="s">
        <v>0</v>
      </c>
      <c r="AY47" s="272">
        <v>696</v>
      </c>
      <c r="AZ47" s="272" t="s">
        <v>0</v>
      </c>
      <c r="BA47" s="272" t="s">
        <v>0</v>
      </c>
      <c r="BB47" s="271">
        <v>26024</v>
      </c>
      <c r="BC47" s="272">
        <v>42</v>
      </c>
      <c r="BD47" s="272" t="s">
        <v>0</v>
      </c>
      <c r="BE47" s="272">
        <v>155</v>
      </c>
      <c r="BF47" s="272">
        <v>27</v>
      </c>
      <c r="BG47" s="271">
        <v>476321</v>
      </c>
      <c r="BH47" s="272" t="s">
        <v>0</v>
      </c>
      <c r="BI47" s="272">
        <v>62</v>
      </c>
      <c r="BJ47" s="272" t="s">
        <v>0</v>
      </c>
      <c r="BK47" s="271">
        <v>43980</v>
      </c>
      <c r="BL47" s="272" t="s">
        <v>0</v>
      </c>
      <c r="BM47" s="272" t="s">
        <v>0</v>
      </c>
      <c r="BN47" s="272" t="s">
        <v>0</v>
      </c>
      <c r="BO47" s="271">
        <v>18790</v>
      </c>
      <c r="BP47" s="272" t="s">
        <v>0</v>
      </c>
      <c r="BQ47" s="272" t="s">
        <v>0</v>
      </c>
      <c r="BR47" s="272" t="s">
        <v>0</v>
      </c>
      <c r="BS47" s="272" t="s">
        <v>0</v>
      </c>
      <c r="BT47" s="271">
        <v>40006</v>
      </c>
      <c r="BU47" s="271">
        <v>126812</v>
      </c>
      <c r="BV47" s="271">
        <v>246671</v>
      </c>
      <c r="BW47" s="272" t="s">
        <v>0</v>
      </c>
      <c r="BX47" s="272" t="s">
        <v>0</v>
      </c>
      <c r="BY47" s="272" t="s">
        <v>0</v>
      </c>
      <c r="BZ47" s="272">
        <v>883</v>
      </c>
      <c r="CA47" s="272" t="s">
        <v>0</v>
      </c>
      <c r="CB47" s="271">
        <v>8337</v>
      </c>
      <c r="CC47" s="272" t="s">
        <v>0</v>
      </c>
      <c r="CD47" s="272" t="s">
        <v>0</v>
      </c>
      <c r="CE47" s="272" t="s">
        <v>0</v>
      </c>
      <c r="CF47" s="271">
        <v>13731</v>
      </c>
      <c r="CG47" s="272" t="s">
        <v>0</v>
      </c>
      <c r="CH47" s="271">
        <v>95737</v>
      </c>
      <c r="CI47" s="271">
        <v>2393</v>
      </c>
      <c r="CJ47" s="272" t="s">
        <v>0</v>
      </c>
      <c r="CK47" s="272" t="s">
        <v>0</v>
      </c>
      <c r="CL47" s="272">
        <v>181</v>
      </c>
      <c r="CM47" s="272" t="s">
        <v>0</v>
      </c>
      <c r="CN47" s="272">
        <v>92</v>
      </c>
      <c r="CO47" s="272" t="s">
        <v>0</v>
      </c>
      <c r="CP47" s="272">
        <v>696</v>
      </c>
      <c r="CQ47" s="272" t="s">
        <v>0</v>
      </c>
      <c r="CR47" s="272" t="s">
        <v>0</v>
      </c>
      <c r="CS47" s="271">
        <v>29602</v>
      </c>
      <c r="CT47" s="272">
        <v>42</v>
      </c>
      <c r="CU47" s="272" t="s">
        <v>0</v>
      </c>
      <c r="CV47" s="272">
        <v>155</v>
      </c>
      <c r="CW47" s="273">
        <v>27</v>
      </c>
    </row>
    <row r="48" spans="1:101" ht="13.5" customHeight="1" x14ac:dyDescent="0.2">
      <c r="B48" s="128">
        <f>SUMIF(C50:C76,"Goiás",B50:B76)</f>
        <v>4</v>
      </c>
      <c r="C48" s="237" t="s">
        <v>14</v>
      </c>
      <c r="D48" s="237" t="str">
        <f>D12</f>
        <v>Safra 2015 (dezembro)</v>
      </c>
      <c r="E48" s="245" t="str">
        <f>E12</f>
        <v>Safra 2016 (dezembro)</v>
      </c>
      <c r="F48" s="5">
        <f>COUNTIF(E50:E76,"&gt;0")</f>
        <v>15</v>
      </c>
      <c r="G48" s="9"/>
      <c r="H48" s="128">
        <f>SUMIF(I50:I76,"Goiás",H50:H76)</f>
        <v>4</v>
      </c>
      <c r="I48" s="237" t="s">
        <v>14</v>
      </c>
      <c r="J48" s="237" t="str">
        <f>D48</f>
        <v>Safra 2015 (dezembro)</v>
      </c>
      <c r="K48" s="235" t="str">
        <f>K12</f>
        <v>Safra 2016 (dezembro)</v>
      </c>
      <c r="L48" s="129">
        <f>COUNTIF(K50:K76,"&gt;0")</f>
        <v>15</v>
      </c>
      <c r="M48" s="9"/>
      <c r="O48" s="274" t="s">
        <v>16</v>
      </c>
      <c r="P48" s="268">
        <v>55786</v>
      </c>
      <c r="Q48" s="269" t="s">
        <v>0</v>
      </c>
      <c r="R48" s="269">
        <v>241</v>
      </c>
      <c r="S48" s="269" t="s">
        <v>0</v>
      </c>
      <c r="T48" s="268">
        <v>6089</v>
      </c>
      <c r="U48" s="269" t="s">
        <v>0</v>
      </c>
      <c r="V48" s="269" t="s">
        <v>0</v>
      </c>
      <c r="W48" s="269" t="s">
        <v>0</v>
      </c>
      <c r="X48" s="269" t="s">
        <v>0</v>
      </c>
      <c r="Y48" s="268">
        <v>7579</v>
      </c>
      <c r="Z48" s="269" t="s">
        <v>0</v>
      </c>
      <c r="AA48" s="269" t="s">
        <v>0</v>
      </c>
      <c r="AB48" s="269" t="s">
        <v>0</v>
      </c>
      <c r="AC48" s="268">
        <v>41177</v>
      </c>
      <c r="AD48" s="269">
        <v>699</v>
      </c>
      <c r="AE48" s="269">
        <v>1</v>
      </c>
      <c r="AF48" s="269" t="s">
        <v>0</v>
      </c>
      <c r="AG48" s="269" t="s">
        <v>0</v>
      </c>
      <c r="AH48" s="269" t="s">
        <v>0</v>
      </c>
      <c r="AI48" s="269">
        <v>531</v>
      </c>
      <c r="AJ48" s="269" t="s">
        <v>0</v>
      </c>
      <c r="AK48" s="268">
        <v>8911</v>
      </c>
      <c r="AL48" s="269" t="s">
        <v>0</v>
      </c>
      <c r="AM48" s="269" t="s">
        <v>0</v>
      </c>
      <c r="AN48" s="269" t="s">
        <v>0</v>
      </c>
      <c r="AO48" s="269" t="s">
        <v>0</v>
      </c>
      <c r="AP48" s="269" t="s">
        <v>0</v>
      </c>
      <c r="AQ48" s="268">
        <v>1411</v>
      </c>
      <c r="AR48" s="268">
        <v>3573</v>
      </c>
      <c r="AS48" s="269" t="s">
        <v>0</v>
      </c>
      <c r="AT48" s="269" t="s">
        <v>0</v>
      </c>
      <c r="AU48" s="269">
        <v>204</v>
      </c>
      <c r="AV48" s="269">
        <v>236</v>
      </c>
      <c r="AW48" s="269">
        <v>4</v>
      </c>
      <c r="AX48" s="269" t="s">
        <v>0</v>
      </c>
      <c r="AY48" s="269">
        <v>584</v>
      </c>
      <c r="AZ48" s="269" t="s">
        <v>0</v>
      </c>
      <c r="BA48" s="269" t="s">
        <v>0</v>
      </c>
      <c r="BB48" s="268">
        <v>41697</v>
      </c>
      <c r="BC48" s="269" t="s">
        <v>0</v>
      </c>
      <c r="BD48" s="269" t="s">
        <v>0</v>
      </c>
      <c r="BE48" s="269" t="s">
        <v>0</v>
      </c>
      <c r="BF48" s="269" t="s">
        <v>0</v>
      </c>
      <c r="BG48" s="268">
        <v>48409</v>
      </c>
      <c r="BH48" s="269" t="s">
        <v>0</v>
      </c>
      <c r="BI48" s="269">
        <v>222</v>
      </c>
      <c r="BJ48" s="269" t="s">
        <v>0</v>
      </c>
      <c r="BK48" s="268">
        <v>4996</v>
      </c>
      <c r="BL48" s="269" t="s">
        <v>0</v>
      </c>
      <c r="BM48" s="269" t="s">
        <v>0</v>
      </c>
      <c r="BN48" s="269" t="s">
        <v>0</v>
      </c>
      <c r="BO48" s="269" t="s">
        <v>0</v>
      </c>
      <c r="BP48" s="268">
        <v>7444</v>
      </c>
      <c r="BQ48" s="269" t="s">
        <v>0</v>
      </c>
      <c r="BR48" s="269" t="s">
        <v>0</v>
      </c>
      <c r="BS48" s="269" t="s">
        <v>0</v>
      </c>
      <c r="BT48" s="268">
        <v>34274</v>
      </c>
      <c r="BU48" s="268">
        <v>1373</v>
      </c>
      <c r="BV48" s="269">
        <v>100</v>
      </c>
      <c r="BW48" s="269" t="s">
        <v>0</v>
      </c>
      <c r="BX48" s="269" t="s">
        <v>0</v>
      </c>
      <c r="BY48" s="269" t="s">
        <v>0</v>
      </c>
      <c r="BZ48" s="269">
        <v>679</v>
      </c>
      <c r="CA48" s="269" t="s">
        <v>0</v>
      </c>
      <c r="CB48" s="268">
        <v>9097</v>
      </c>
      <c r="CC48" s="269" t="s">
        <v>0</v>
      </c>
      <c r="CD48" s="269" t="s">
        <v>0</v>
      </c>
      <c r="CE48" s="269" t="s">
        <v>0</v>
      </c>
      <c r="CF48" s="269" t="s">
        <v>0</v>
      </c>
      <c r="CG48" s="269" t="s">
        <v>0</v>
      </c>
      <c r="CH48" s="268">
        <v>1781</v>
      </c>
      <c r="CI48" s="268">
        <v>3105</v>
      </c>
      <c r="CJ48" s="269" t="s">
        <v>0</v>
      </c>
      <c r="CK48" s="269" t="s">
        <v>0</v>
      </c>
      <c r="CL48" s="269">
        <v>368</v>
      </c>
      <c r="CM48" s="269">
        <v>222</v>
      </c>
      <c r="CN48" s="269">
        <v>6</v>
      </c>
      <c r="CO48" s="269" t="s">
        <v>0</v>
      </c>
      <c r="CP48" s="269">
        <v>625</v>
      </c>
      <c r="CQ48" s="269" t="s">
        <v>0</v>
      </c>
      <c r="CR48" s="269" t="s">
        <v>0</v>
      </c>
      <c r="CS48" s="268">
        <v>40294</v>
      </c>
      <c r="CT48" s="269" t="s">
        <v>0</v>
      </c>
      <c r="CU48" s="269" t="s">
        <v>0</v>
      </c>
      <c r="CV48" s="269" t="s">
        <v>0</v>
      </c>
      <c r="CW48" s="275" t="s">
        <v>0</v>
      </c>
    </row>
    <row r="49" spans="2:101" ht="13.5" customHeight="1" x14ac:dyDescent="0.2">
      <c r="B49" s="6" t="s">
        <v>67</v>
      </c>
      <c r="C49" s="238"/>
      <c r="D49" s="238"/>
      <c r="E49" s="246"/>
      <c r="F49" s="37" t="s">
        <v>66</v>
      </c>
      <c r="G49" s="9"/>
      <c r="H49" s="37" t="s">
        <v>67</v>
      </c>
      <c r="I49" s="238"/>
      <c r="J49" s="238"/>
      <c r="K49" s="236"/>
      <c r="L49" s="37" t="s">
        <v>66</v>
      </c>
      <c r="M49" s="9"/>
      <c r="O49" s="274" t="s">
        <v>17</v>
      </c>
      <c r="P49" s="268">
        <v>11054</v>
      </c>
      <c r="Q49" s="269" t="s">
        <v>0</v>
      </c>
      <c r="R49" s="269" t="s">
        <v>0</v>
      </c>
      <c r="S49" s="269" t="s">
        <v>0</v>
      </c>
      <c r="T49" s="268">
        <v>1964</v>
      </c>
      <c r="U49" s="269" t="s">
        <v>0</v>
      </c>
      <c r="V49" s="269" t="s">
        <v>0</v>
      </c>
      <c r="W49" s="269" t="s">
        <v>0</v>
      </c>
      <c r="X49" s="268">
        <v>2053</v>
      </c>
      <c r="Y49" s="269">
        <v>427</v>
      </c>
      <c r="Z49" s="269">
        <v>6</v>
      </c>
      <c r="AA49" s="269" t="s">
        <v>0</v>
      </c>
      <c r="AB49" s="269" t="s">
        <v>0</v>
      </c>
      <c r="AC49" s="268">
        <v>6549</v>
      </c>
      <c r="AD49" s="269">
        <v>55</v>
      </c>
      <c r="AE49" s="269" t="s">
        <v>0</v>
      </c>
      <c r="AF49" s="269" t="s">
        <v>0</v>
      </c>
      <c r="AG49" s="269" t="s">
        <v>0</v>
      </c>
      <c r="AH49" s="269" t="s">
        <v>0</v>
      </c>
      <c r="AI49" s="268">
        <v>3810</v>
      </c>
      <c r="AJ49" s="269" t="s">
        <v>0</v>
      </c>
      <c r="AK49" s="268">
        <v>6177</v>
      </c>
      <c r="AL49" s="269" t="s">
        <v>0</v>
      </c>
      <c r="AM49" s="269" t="s">
        <v>0</v>
      </c>
      <c r="AN49" s="269" t="s">
        <v>0</v>
      </c>
      <c r="AO49" s="268">
        <v>3557</v>
      </c>
      <c r="AP49" s="269">
        <v>49</v>
      </c>
      <c r="AQ49" s="268">
        <v>1378</v>
      </c>
      <c r="AR49" s="268">
        <v>3828</v>
      </c>
      <c r="AS49" s="269" t="s">
        <v>0</v>
      </c>
      <c r="AT49" s="269" t="s">
        <v>0</v>
      </c>
      <c r="AU49" s="268">
        <v>1601</v>
      </c>
      <c r="AV49" s="269" t="s">
        <v>0</v>
      </c>
      <c r="AW49" s="268">
        <v>4199</v>
      </c>
      <c r="AX49" s="269" t="s">
        <v>0</v>
      </c>
      <c r="AY49" s="268">
        <v>3582</v>
      </c>
      <c r="AZ49" s="269" t="s">
        <v>0</v>
      </c>
      <c r="BA49" s="268">
        <v>3538</v>
      </c>
      <c r="BB49" s="268">
        <v>72431</v>
      </c>
      <c r="BC49" s="269">
        <v>28</v>
      </c>
      <c r="BD49" s="269" t="s">
        <v>0</v>
      </c>
      <c r="BE49" s="269">
        <v>20</v>
      </c>
      <c r="BF49" s="269" t="s">
        <v>0</v>
      </c>
      <c r="BG49" s="268">
        <v>22529</v>
      </c>
      <c r="BH49" s="269" t="s">
        <v>0</v>
      </c>
      <c r="BI49" s="269" t="s">
        <v>0</v>
      </c>
      <c r="BJ49" s="269" t="s">
        <v>0</v>
      </c>
      <c r="BK49" s="268">
        <v>2250</v>
      </c>
      <c r="BL49" s="269" t="s">
        <v>0</v>
      </c>
      <c r="BM49" s="269" t="s">
        <v>0</v>
      </c>
      <c r="BN49" s="269" t="s">
        <v>0</v>
      </c>
      <c r="BO49" s="268">
        <v>4000</v>
      </c>
      <c r="BP49" s="268">
        <v>5415</v>
      </c>
      <c r="BQ49" s="269">
        <v>6</v>
      </c>
      <c r="BR49" s="269" t="s">
        <v>0</v>
      </c>
      <c r="BS49" s="269" t="s">
        <v>0</v>
      </c>
      <c r="BT49" s="268">
        <v>10803</v>
      </c>
      <c r="BU49" s="269">
        <v>55</v>
      </c>
      <c r="BV49" s="269" t="s">
        <v>0</v>
      </c>
      <c r="BW49" s="269" t="s">
        <v>0</v>
      </c>
      <c r="BX49" s="269" t="s">
        <v>0</v>
      </c>
      <c r="BY49" s="269" t="s">
        <v>0</v>
      </c>
      <c r="BZ49" s="268">
        <v>4134</v>
      </c>
      <c r="CA49" s="269" t="s">
        <v>0</v>
      </c>
      <c r="CB49" s="268">
        <v>8908</v>
      </c>
      <c r="CC49" s="269" t="s">
        <v>0</v>
      </c>
      <c r="CD49" s="269" t="s">
        <v>0</v>
      </c>
      <c r="CE49" s="269" t="s">
        <v>0</v>
      </c>
      <c r="CF49" s="268">
        <v>2630</v>
      </c>
      <c r="CG49" s="268">
        <v>2000</v>
      </c>
      <c r="CH49" s="268">
        <v>2000</v>
      </c>
      <c r="CI49" s="268">
        <v>4437</v>
      </c>
      <c r="CJ49" s="269" t="s">
        <v>0</v>
      </c>
      <c r="CK49" s="269" t="s">
        <v>0</v>
      </c>
      <c r="CL49" s="268">
        <v>2545</v>
      </c>
      <c r="CM49" s="269" t="s">
        <v>0</v>
      </c>
      <c r="CN49" s="268">
        <v>8113</v>
      </c>
      <c r="CO49" s="269" t="s">
        <v>0</v>
      </c>
      <c r="CP49" s="268">
        <v>3955</v>
      </c>
      <c r="CQ49" s="269" t="s">
        <v>0</v>
      </c>
      <c r="CR49" s="268">
        <v>8945</v>
      </c>
      <c r="CS49" s="268">
        <v>174355</v>
      </c>
      <c r="CT49" s="269">
        <v>28</v>
      </c>
      <c r="CU49" s="269" t="s">
        <v>0</v>
      </c>
      <c r="CV49" s="269">
        <v>20</v>
      </c>
      <c r="CW49" s="275" t="s">
        <v>0</v>
      </c>
    </row>
    <row r="50" spans="2:101" ht="13.5" customHeight="1" x14ac:dyDescent="0.2">
      <c r="B50" s="10">
        <v>1</v>
      </c>
      <c r="C50" s="34" t="s">
        <v>39</v>
      </c>
      <c r="D50" s="35">
        <f>SUMIF($O$8:$O$34,C50,$Q$8:$Q$34)</f>
        <v>2373581</v>
      </c>
      <c r="E50" s="135">
        <f>SUMIF($O$8:$O$34,C50,$BH$8:$BH$34)</f>
        <v>2220555</v>
      </c>
      <c r="F50" s="156">
        <f t="shared" ref="F50:F65" si="8">IF(E50=0,0,TRUNC(((E50/D50)-1)*100,2))</f>
        <v>-6.44</v>
      </c>
      <c r="G50" s="9"/>
      <c r="H50" s="44">
        <v>1</v>
      </c>
      <c r="I50" s="34" t="s">
        <v>39</v>
      </c>
      <c r="J50" s="35">
        <f>SUMIF($O$47:$O$73,I50,$Q$47:$Q$73)</f>
        <v>590511</v>
      </c>
      <c r="K50" s="135">
        <f>SUMIF($O$47:$O$73,I50,$BH$47:$BH$73)</f>
        <v>606314</v>
      </c>
      <c r="L50" s="156">
        <f t="shared" ref="L50:L65" si="9">IF(K50=0,0,TRUNC(((K50/J50)-1)*100,2))</f>
        <v>2.67</v>
      </c>
      <c r="M50" s="2"/>
      <c r="O50" s="274" t="s">
        <v>18</v>
      </c>
      <c r="P50" s="268">
        <v>40593</v>
      </c>
      <c r="Q50" s="269">
        <v>900</v>
      </c>
      <c r="R50" s="269" t="s">
        <v>0</v>
      </c>
      <c r="S50" s="269" t="s">
        <v>0</v>
      </c>
      <c r="T50" s="268">
        <v>7964</v>
      </c>
      <c r="U50" s="269" t="s">
        <v>0</v>
      </c>
      <c r="V50" s="269" t="s">
        <v>0</v>
      </c>
      <c r="W50" s="269" t="s">
        <v>0</v>
      </c>
      <c r="X50" s="268">
        <v>2688</v>
      </c>
      <c r="Y50" s="269" t="s">
        <v>0</v>
      </c>
      <c r="Z50" s="269" t="s">
        <v>0</v>
      </c>
      <c r="AA50" s="269" t="s">
        <v>0</v>
      </c>
      <c r="AB50" s="269" t="s">
        <v>0</v>
      </c>
      <c r="AC50" s="268">
        <v>4621</v>
      </c>
      <c r="AD50" s="269">
        <v>600</v>
      </c>
      <c r="AE50" s="268">
        <v>23820</v>
      </c>
      <c r="AF50" s="269" t="s">
        <v>0</v>
      </c>
      <c r="AG50" s="269" t="s">
        <v>0</v>
      </c>
      <c r="AH50" s="269" t="s">
        <v>0</v>
      </c>
      <c r="AI50" s="269">
        <v>229</v>
      </c>
      <c r="AJ50" s="269" t="s">
        <v>0</v>
      </c>
      <c r="AK50" s="268">
        <v>11247</v>
      </c>
      <c r="AL50" s="269" t="s">
        <v>0</v>
      </c>
      <c r="AM50" s="269" t="s">
        <v>0</v>
      </c>
      <c r="AN50" s="269" t="s">
        <v>0</v>
      </c>
      <c r="AO50" s="269">
        <v>15</v>
      </c>
      <c r="AP50" s="269" t="s">
        <v>0</v>
      </c>
      <c r="AQ50" s="269" t="s">
        <v>0</v>
      </c>
      <c r="AR50" s="269">
        <v>290</v>
      </c>
      <c r="AS50" s="269" t="s">
        <v>0</v>
      </c>
      <c r="AT50" s="269" t="s">
        <v>0</v>
      </c>
      <c r="AU50" s="269">
        <v>97</v>
      </c>
      <c r="AV50" s="269" t="s">
        <v>0</v>
      </c>
      <c r="AW50" s="269" t="s">
        <v>0</v>
      </c>
      <c r="AX50" s="269" t="s">
        <v>0</v>
      </c>
      <c r="AY50" s="268">
        <v>1839</v>
      </c>
      <c r="AZ50" s="269" t="s">
        <v>0</v>
      </c>
      <c r="BA50" s="269" t="s">
        <v>0</v>
      </c>
      <c r="BB50" s="268">
        <v>7851</v>
      </c>
      <c r="BC50" s="269" t="s">
        <v>0</v>
      </c>
      <c r="BD50" s="269" t="s">
        <v>0</v>
      </c>
      <c r="BE50" s="269">
        <v>250</v>
      </c>
      <c r="BF50" s="269" t="s">
        <v>0</v>
      </c>
      <c r="BG50" s="268">
        <v>42357</v>
      </c>
      <c r="BH50" s="269">
        <v>900</v>
      </c>
      <c r="BI50" s="269" t="s">
        <v>0</v>
      </c>
      <c r="BJ50" s="269" t="s">
        <v>0</v>
      </c>
      <c r="BK50" s="268">
        <v>8628</v>
      </c>
      <c r="BL50" s="269" t="s">
        <v>0</v>
      </c>
      <c r="BM50" s="269" t="s">
        <v>0</v>
      </c>
      <c r="BN50" s="269" t="s">
        <v>0</v>
      </c>
      <c r="BO50" s="268">
        <v>2688</v>
      </c>
      <c r="BP50" s="269" t="s">
        <v>0</v>
      </c>
      <c r="BQ50" s="269" t="s">
        <v>0</v>
      </c>
      <c r="BR50" s="269" t="s">
        <v>0</v>
      </c>
      <c r="BS50" s="269" t="s">
        <v>0</v>
      </c>
      <c r="BT50" s="268">
        <v>5071</v>
      </c>
      <c r="BU50" s="269">
        <v>600</v>
      </c>
      <c r="BV50" s="268">
        <v>24470</v>
      </c>
      <c r="BW50" s="269" t="s">
        <v>0</v>
      </c>
      <c r="BX50" s="269" t="s">
        <v>0</v>
      </c>
      <c r="BY50" s="269" t="s">
        <v>0</v>
      </c>
      <c r="BZ50" s="269">
        <v>254</v>
      </c>
      <c r="CA50" s="269" t="s">
        <v>0</v>
      </c>
      <c r="CB50" s="268">
        <v>11310</v>
      </c>
      <c r="CC50" s="269" t="s">
        <v>0</v>
      </c>
      <c r="CD50" s="269" t="s">
        <v>0</v>
      </c>
      <c r="CE50" s="269" t="s">
        <v>0</v>
      </c>
      <c r="CF50" s="269">
        <v>13</v>
      </c>
      <c r="CG50" s="269" t="s">
        <v>0</v>
      </c>
      <c r="CH50" s="269" t="s">
        <v>0</v>
      </c>
      <c r="CI50" s="269">
        <v>291</v>
      </c>
      <c r="CJ50" s="269" t="s">
        <v>0</v>
      </c>
      <c r="CK50" s="269" t="s">
        <v>0</v>
      </c>
      <c r="CL50" s="269">
        <v>97</v>
      </c>
      <c r="CM50" s="269" t="s">
        <v>0</v>
      </c>
      <c r="CN50" s="269" t="s">
        <v>0</v>
      </c>
      <c r="CO50" s="269" t="s">
        <v>0</v>
      </c>
      <c r="CP50" s="268">
        <v>1857</v>
      </c>
      <c r="CQ50" s="269" t="s">
        <v>0</v>
      </c>
      <c r="CR50" s="269" t="s">
        <v>0</v>
      </c>
      <c r="CS50" s="268">
        <v>8119</v>
      </c>
      <c r="CT50" s="269" t="s">
        <v>0</v>
      </c>
      <c r="CU50" s="269" t="s">
        <v>0</v>
      </c>
      <c r="CV50" s="269">
        <v>264</v>
      </c>
      <c r="CW50" s="275" t="s">
        <v>0</v>
      </c>
    </row>
    <row r="51" spans="2:101" ht="13.5" customHeight="1" x14ac:dyDescent="0.2">
      <c r="B51" s="10">
        <v>2</v>
      </c>
      <c r="C51" s="34" t="s">
        <v>30</v>
      </c>
      <c r="D51" s="35">
        <f>SUMIF($O$8:$O$34,C51,$Q$8:$Q$34)</f>
        <v>1196663</v>
      </c>
      <c r="E51" s="135">
        <f>SUMIF($O$8:$O$34,C51,$BH$8:$BH$34)</f>
        <v>795164</v>
      </c>
      <c r="F51" s="156">
        <f t="shared" si="8"/>
        <v>-33.549999999999997</v>
      </c>
      <c r="G51" s="9"/>
      <c r="H51" s="44">
        <v>2</v>
      </c>
      <c r="I51" s="34" t="s">
        <v>30</v>
      </c>
      <c r="J51" s="35">
        <f>SUMIF($O$47:$O$73,I51,$Q$47:$Q$73)</f>
        <v>332636</v>
      </c>
      <c r="K51" s="135">
        <f>SUMIF($O$47:$O$73,I51,$BH$47:$BH$73)</f>
        <v>257190</v>
      </c>
      <c r="L51" s="156">
        <f t="shared" si="9"/>
        <v>-22.68</v>
      </c>
      <c r="M51" s="2"/>
      <c r="O51" s="274" t="s">
        <v>19</v>
      </c>
      <c r="P51" s="268">
        <v>673634</v>
      </c>
      <c r="Q51" s="269" t="s">
        <v>0</v>
      </c>
      <c r="R51" s="269">
        <v>87</v>
      </c>
      <c r="S51" s="269" t="s">
        <v>0</v>
      </c>
      <c r="T51" s="268">
        <v>66255</v>
      </c>
      <c r="U51" s="269" t="s">
        <v>0</v>
      </c>
      <c r="V51" s="269" t="s">
        <v>0</v>
      </c>
      <c r="W51" s="269" t="s">
        <v>0</v>
      </c>
      <c r="X51" s="268">
        <v>13968</v>
      </c>
      <c r="Y51" s="268">
        <v>22397</v>
      </c>
      <c r="Z51" s="269" t="s">
        <v>0</v>
      </c>
      <c r="AA51" s="269" t="s">
        <v>0</v>
      </c>
      <c r="AB51" s="269" t="s">
        <v>0</v>
      </c>
      <c r="AC51" s="268">
        <v>192183</v>
      </c>
      <c r="AD51" s="268">
        <v>36688</v>
      </c>
      <c r="AE51" s="268">
        <v>337056</v>
      </c>
      <c r="AF51" s="268">
        <v>5000</v>
      </c>
      <c r="AG51" s="269" t="s">
        <v>0</v>
      </c>
      <c r="AH51" s="269" t="s">
        <v>0</v>
      </c>
      <c r="AI51" s="268">
        <v>11958</v>
      </c>
      <c r="AJ51" s="269" t="s">
        <v>0</v>
      </c>
      <c r="AK51" s="268">
        <v>46119</v>
      </c>
      <c r="AL51" s="269" t="s">
        <v>0</v>
      </c>
      <c r="AM51" s="269" t="s">
        <v>0</v>
      </c>
      <c r="AN51" s="269" t="s">
        <v>0</v>
      </c>
      <c r="AO51" s="268">
        <v>123375</v>
      </c>
      <c r="AP51" s="269" t="s">
        <v>0</v>
      </c>
      <c r="AQ51" s="268">
        <v>1243</v>
      </c>
      <c r="AR51" s="268">
        <v>13301</v>
      </c>
      <c r="AS51" s="268">
        <v>2945</v>
      </c>
      <c r="AT51" s="269" t="s">
        <v>0</v>
      </c>
      <c r="AU51" s="268">
        <v>20371</v>
      </c>
      <c r="AV51" s="269">
        <v>22</v>
      </c>
      <c r="AW51" s="269">
        <v>25</v>
      </c>
      <c r="AX51" s="269" t="s">
        <v>0</v>
      </c>
      <c r="AY51" s="268">
        <v>11952</v>
      </c>
      <c r="AZ51" s="269" t="s">
        <v>0</v>
      </c>
      <c r="BA51" s="268">
        <v>1473</v>
      </c>
      <c r="BB51" s="268">
        <v>309164</v>
      </c>
      <c r="BC51" s="268">
        <v>16152</v>
      </c>
      <c r="BD51" s="269" t="s">
        <v>0</v>
      </c>
      <c r="BE51" s="269">
        <v>360</v>
      </c>
      <c r="BF51" s="269" t="s">
        <v>0</v>
      </c>
      <c r="BG51" s="268">
        <v>742239</v>
      </c>
      <c r="BH51" s="269" t="s">
        <v>0</v>
      </c>
      <c r="BI51" s="269">
        <v>56</v>
      </c>
      <c r="BJ51" s="269" t="s">
        <v>0</v>
      </c>
      <c r="BK51" s="268">
        <v>72983</v>
      </c>
      <c r="BL51" s="269" t="s">
        <v>0</v>
      </c>
      <c r="BM51" s="269" t="s">
        <v>0</v>
      </c>
      <c r="BN51" s="269" t="s">
        <v>0</v>
      </c>
      <c r="BO51" s="268">
        <v>12702</v>
      </c>
      <c r="BP51" s="268">
        <v>19404</v>
      </c>
      <c r="BQ51" s="269" t="s">
        <v>0</v>
      </c>
      <c r="BR51" s="269" t="s">
        <v>0</v>
      </c>
      <c r="BS51" s="269" t="s">
        <v>0</v>
      </c>
      <c r="BT51" s="268">
        <v>170786</v>
      </c>
      <c r="BU51" s="268">
        <v>27445</v>
      </c>
      <c r="BV51" s="268">
        <v>433593</v>
      </c>
      <c r="BW51" s="268">
        <v>5270</v>
      </c>
      <c r="BX51" s="269" t="s">
        <v>0</v>
      </c>
      <c r="BY51" s="269" t="s">
        <v>0</v>
      </c>
      <c r="BZ51" s="268">
        <v>24083</v>
      </c>
      <c r="CA51" s="269" t="s">
        <v>0</v>
      </c>
      <c r="CB51" s="268">
        <v>56072</v>
      </c>
      <c r="CC51" s="269" t="s">
        <v>0</v>
      </c>
      <c r="CD51" s="269" t="s">
        <v>0</v>
      </c>
      <c r="CE51" s="269" t="s">
        <v>0</v>
      </c>
      <c r="CF51" s="268">
        <v>175167</v>
      </c>
      <c r="CG51" s="269" t="s">
        <v>0</v>
      </c>
      <c r="CH51" s="269">
        <v>533</v>
      </c>
      <c r="CI51" s="268">
        <v>16533</v>
      </c>
      <c r="CJ51" s="268">
        <v>2491</v>
      </c>
      <c r="CK51" s="269" t="s">
        <v>0</v>
      </c>
      <c r="CL51" s="268">
        <v>20507</v>
      </c>
      <c r="CM51" s="269">
        <v>19</v>
      </c>
      <c r="CN51" s="269">
        <v>92</v>
      </c>
      <c r="CO51" s="269" t="s">
        <v>0</v>
      </c>
      <c r="CP51" s="268">
        <v>14562</v>
      </c>
      <c r="CQ51" s="269" t="s">
        <v>0</v>
      </c>
      <c r="CR51" s="269">
        <v>736</v>
      </c>
      <c r="CS51" s="268">
        <v>676572</v>
      </c>
      <c r="CT51" s="268">
        <v>25199</v>
      </c>
      <c r="CU51" s="269" t="s">
        <v>0</v>
      </c>
      <c r="CV51" s="269">
        <v>254</v>
      </c>
      <c r="CW51" s="275" t="s">
        <v>0</v>
      </c>
    </row>
    <row r="52" spans="2:101" ht="13.5" customHeight="1" x14ac:dyDescent="0.2">
      <c r="B52" s="10">
        <v>3</v>
      </c>
      <c r="C52" s="34" t="s">
        <v>38</v>
      </c>
      <c r="D52" s="35">
        <f>SUMIF($O$8:$O$34,C52,$Q$8:$Q$34)</f>
        <v>137724</v>
      </c>
      <c r="E52" s="135">
        <f>SUMIF($O$8:$O$34,C52,$BH$8:$BH$34)</f>
        <v>111410</v>
      </c>
      <c r="F52" s="156">
        <f t="shared" si="8"/>
        <v>-19.100000000000001</v>
      </c>
      <c r="G52" s="9"/>
      <c r="H52" s="44">
        <v>3</v>
      </c>
      <c r="I52" s="34" t="s">
        <v>38</v>
      </c>
      <c r="J52" s="35">
        <f>SUMIF($O$47:$O$73,I52,$Q$47:$Q$73)</f>
        <v>30724</v>
      </c>
      <c r="K52" s="135">
        <f>SUMIF($O$47:$O$73,I52,$BH$47:$BH$73)</f>
        <v>29650</v>
      </c>
      <c r="L52" s="156">
        <f t="shared" si="9"/>
        <v>-3.49</v>
      </c>
      <c r="M52" s="2"/>
      <c r="O52" s="274" t="s">
        <v>20</v>
      </c>
      <c r="P52" s="268">
        <v>15907</v>
      </c>
      <c r="Q52" s="269" t="s">
        <v>0</v>
      </c>
      <c r="R52" s="269" t="s">
        <v>0</v>
      </c>
      <c r="S52" s="269" t="s">
        <v>0</v>
      </c>
      <c r="T52" s="268">
        <v>1656</v>
      </c>
      <c r="U52" s="269" t="s">
        <v>0</v>
      </c>
      <c r="V52" s="269" t="s">
        <v>0</v>
      </c>
      <c r="W52" s="269" t="s">
        <v>0</v>
      </c>
      <c r="X52" s="269" t="s">
        <v>0</v>
      </c>
      <c r="Y52" s="268">
        <v>1129</v>
      </c>
      <c r="Z52" s="269" t="s">
        <v>0</v>
      </c>
      <c r="AA52" s="269" t="s">
        <v>0</v>
      </c>
      <c r="AB52" s="269" t="s">
        <v>0</v>
      </c>
      <c r="AC52" s="268">
        <v>1757</v>
      </c>
      <c r="AD52" s="269" t="s">
        <v>0</v>
      </c>
      <c r="AE52" s="268">
        <v>11365</v>
      </c>
      <c r="AF52" s="269" t="s">
        <v>0</v>
      </c>
      <c r="AG52" s="269" t="s">
        <v>0</v>
      </c>
      <c r="AH52" s="269" t="s">
        <v>0</v>
      </c>
      <c r="AI52" s="268">
        <v>1175</v>
      </c>
      <c r="AJ52" s="269" t="s">
        <v>0</v>
      </c>
      <c r="AK52" s="268">
        <v>2229</v>
      </c>
      <c r="AL52" s="269" t="s">
        <v>0</v>
      </c>
      <c r="AM52" s="269" t="s">
        <v>0</v>
      </c>
      <c r="AN52" s="269" t="s">
        <v>0</v>
      </c>
      <c r="AO52" s="269" t="s">
        <v>0</v>
      </c>
      <c r="AP52" s="269" t="s">
        <v>0</v>
      </c>
      <c r="AQ52" s="269" t="s">
        <v>0</v>
      </c>
      <c r="AR52" s="269">
        <v>140</v>
      </c>
      <c r="AS52" s="269" t="s">
        <v>0</v>
      </c>
      <c r="AT52" s="269" t="s">
        <v>0</v>
      </c>
      <c r="AU52" s="269" t="s">
        <v>0</v>
      </c>
      <c r="AV52" s="269" t="s">
        <v>0</v>
      </c>
      <c r="AW52" s="269" t="s">
        <v>0</v>
      </c>
      <c r="AX52" s="269" t="s">
        <v>0</v>
      </c>
      <c r="AY52" s="268">
        <v>1167</v>
      </c>
      <c r="AZ52" s="269" t="s">
        <v>0</v>
      </c>
      <c r="BA52" s="269" t="s">
        <v>0</v>
      </c>
      <c r="BB52" s="268">
        <v>12825</v>
      </c>
      <c r="BC52" s="269" t="s">
        <v>0</v>
      </c>
      <c r="BD52" s="269" t="s">
        <v>0</v>
      </c>
      <c r="BE52" s="269" t="s">
        <v>0</v>
      </c>
      <c r="BF52" s="269" t="s">
        <v>0</v>
      </c>
      <c r="BG52" s="268">
        <v>19884</v>
      </c>
      <c r="BH52" s="269" t="s">
        <v>0</v>
      </c>
      <c r="BI52" s="269" t="s">
        <v>0</v>
      </c>
      <c r="BJ52" s="269" t="s">
        <v>0</v>
      </c>
      <c r="BK52" s="268">
        <v>1470</v>
      </c>
      <c r="BL52" s="269" t="s">
        <v>0</v>
      </c>
      <c r="BM52" s="269" t="s">
        <v>0</v>
      </c>
      <c r="BN52" s="269" t="s">
        <v>0</v>
      </c>
      <c r="BO52" s="269" t="s">
        <v>0</v>
      </c>
      <c r="BP52" s="268">
        <v>1300</v>
      </c>
      <c r="BQ52" s="269" t="s">
        <v>0</v>
      </c>
      <c r="BR52" s="269" t="s">
        <v>0</v>
      </c>
      <c r="BS52" s="269" t="s">
        <v>0</v>
      </c>
      <c r="BT52" s="268">
        <v>1672</v>
      </c>
      <c r="BU52" s="269" t="s">
        <v>0</v>
      </c>
      <c r="BV52" s="268">
        <v>15442</v>
      </c>
      <c r="BW52" s="269" t="s">
        <v>0</v>
      </c>
      <c r="BX52" s="269" t="s">
        <v>0</v>
      </c>
      <c r="BY52" s="269" t="s">
        <v>0</v>
      </c>
      <c r="BZ52" s="268">
        <v>2414</v>
      </c>
      <c r="CA52" s="269" t="s">
        <v>0</v>
      </c>
      <c r="CB52" s="268">
        <v>2438</v>
      </c>
      <c r="CC52" s="269" t="s">
        <v>0</v>
      </c>
      <c r="CD52" s="269" t="s">
        <v>0</v>
      </c>
      <c r="CE52" s="269" t="s">
        <v>0</v>
      </c>
      <c r="CF52" s="269" t="s">
        <v>0</v>
      </c>
      <c r="CG52" s="269" t="s">
        <v>0</v>
      </c>
      <c r="CH52" s="269" t="s">
        <v>0</v>
      </c>
      <c r="CI52" s="269">
        <v>140</v>
      </c>
      <c r="CJ52" s="269" t="s">
        <v>0</v>
      </c>
      <c r="CK52" s="269" t="s">
        <v>0</v>
      </c>
      <c r="CL52" s="269" t="s">
        <v>0</v>
      </c>
      <c r="CM52" s="269" t="s">
        <v>0</v>
      </c>
      <c r="CN52" s="269" t="s">
        <v>0</v>
      </c>
      <c r="CO52" s="269" t="s">
        <v>0</v>
      </c>
      <c r="CP52" s="268">
        <v>1161</v>
      </c>
      <c r="CQ52" s="269" t="s">
        <v>0</v>
      </c>
      <c r="CR52" s="269" t="s">
        <v>0</v>
      </c>
      <c r="CS52" s="268">
        <v>24306</v>
      </c>
      <c r="CT52" s="269" t="s">
        <v>0</v>
      </c>
      <c r="CU52" s="269" t="s">
        <v>0</v>
      </c>
      <c r="CV52" s="269" t="s">
        <v>0</v>
      </c>
      <c r="CW52" s="275" t="s">
        <v>0</v>
      </c>
    </row>
    <row r="53" spans="2:101" ht="13.5" customHeight="1" x14ac:dyDescent="0.2">
      <c r="B53" s="10">
        <v>4</v>
      </c>
      <c r="C53" s="34" t="s">
        <v>4</v>
      </c>
      <c r="D53" s="35">
        <f>SUMIF($O$8:$O$34,C53,$Q$8:$Q$34)</f>
        <v>131995</v>
      </c>
      <c r="E53" s="135">
        <f>SUMIF($O$8:$O$34,C53,$BH$8:$BH$34)</f>
        <v>86446</v>
      </c>
      <c r="F53" s="156">
        <f t="shared" si="8"/>
        <v>-34.5</v>
      </c>
      <c r="G53" s="9"/>
      <c r="H53" s="44">
        <v>4</v>
      </c>
      <c r="I53" s="34" t="s">
        <v>4</v>
      </c>
      <c r="J53" s="35">
        <f>SUMIF($O$47:$O$73,I53,$Q$47:$Q$73)</f>
        <v>32175</v>
      </c>
      <c r="K53" s="135">
        <f>SUMIF($O$47:$O$73,I53,$BH$47:$BH$73)</f>
        <v>29273</v>
      </c>
      <c r="L53" s="156">
        <f t="shared" si="9"/>
        <v>-9.01</v>
      </c>
      <c r="M53" s="2"/>
      <c r="O53" s="274" t="s">
        <v>21</v>
      </c>
      <c r="P53" s="268">
        <v>1134508</v>
      </c>
      <c r="Q53" s="269">
        <v>903</v>
      </c>
      <c r="R53" s="268">
        <v>2186</v>
      </c>
      <c r="S53" s="269" t="s">
        <v>0</v>
      </c>
      <c r="T53" s="268">
        <v>119826</v>
      </c>
      <c r="U53" s="269" t="s">
        <v>0</v>
      </c>
      <c r="V53" s="269" t="s">
        <v>0</v>
      </c>
      <c r="W53" s="269" t="s">
        <v>0</v>
      </c>
      <c r="X53" s="268">
        <v>2791</v>
      </c>
      <c r="Y53" s="268">
        <v>5559</v>
      </c>
      <c r="Z53" s="269">
        <v>220</v>
      </c>
      <c r="AA53" s="269" t="s">
        <v>0</v>
      </c>
      <c r="AB53" s="269" t="s">
        <v>0</v>
      </c>
      <c r="AC53" s="268">
        <v>49138</v>
      </c>
      <c r="AD53" s="268">
        <v>112940</v>
      </c>
      <c r="AE53" s="268">
        <v>830031</v>
      </c>
      <c r="AF53" s="268">
        <v>10914</v>
      </c>
      <c r="AG53" s="269" t="s">
        <v>0</v>
      </c>
      <c r="AH53" s="269" t="s">
        <v>0</v>
      </c>
      <c r="AI53" s="268">
        <v>2816</v>
      </c>
      <c r="AJ53" s="269" t="s">
        <v>0</v>
      </c>
      <c r="AK53" s="268">
        <v>3028</v>
      </c>
      <c r="AL53" s="269" t="s">
        <v>0</v>
      </c>
      <c r="AM53" s="269" t="s">
        <v>0</v>
      </c>
      <c r="AN53" s="269" t="s">
        <v>0</v>
      </c>
      <c r="AO53" s="269" t="s">
        <v>0</v>
      </c>
      <c r="AP53" s="269" t="s">
        <v>0</v>
      </c>
      <c r="AQ53" s="269" t="s">
        <v>0</v>
      </c>
      <c r="AR53" s="268">
        <v>36395</v>
      </c>
      <c r="AS53" s="269" t="s">
        <v>0</v>
      </c>
      <c r="AT53" s="269" t="s">
        <v>0</v>
      </c>
      <c r="AU53" s="269">
        <v>381</v>
      </c>
      <c r="AV53" s="269" t="s">
        <v>0</v>
      </c>
      <c r="AW53" s="269" t="s">
        <v>0</v>
      </c>
      <c r="AX53" s="269" t="s">
        <v>0</v>
      </c>
      <c r="AY53" s="269">
        <v>129</v>
      </c>
      <c r="AZ53" s="269" t="s">
        <v>0</v>
      </c>
      <c r="BA53" s="269" t="s">
        <v>0</v>
      </c>
      <c r="BB53" s="268">
        <v>13847</v>
      </c>
      <c r="BC53" s="269" t="s">
        <v>0</v>
      </c>
      <c r="BD53" s="269" t="s">
        <v>0</v>
      </c>
      <c r="BE53" s="269" t="s">
        <v>0</v>
      </c>
      <c r="BF53" s="269" t="s">
        <v>0</v>
      </c>
      <c r="BG53" s="268">
        <v>1036245</v>
      </c>
      <c r="BH53" s="268">
        <v>1480</v>
      </c>
      <c r="BI53" s="268">
        <v>1185</v>
      </c>
      <c r="BJ53" s="269" t="s">
        <v>0</v>
      </c>
      <c r="BK53" s="268">
        <v>100859</v>
      </c>
      <c r="BL53" s="269" t="s">
        <v>0</v>
      </c>
      <c r="BM53" s="269" t="s">
        <v>0</v>
      </c>
      <c r="BN53" s="269" t="s">
        <v>0</v>
      </c>
      <c r="BO53" s="268">
        <v>2545</v>
      </c>
      <c r="BP53" s="268">
        <v>5528</v>
      </c>
      <c r="BQ53" s="269">
        <v>220</v>
      </c>
      <c r="BR53" s="269" t="s">
        <v>0</v>
      </c>
      <c r="BS53" s="269" t="s">
        <v>0</v>
      </c>
      <c r="BT53" s="268">
        <v>51685</v>
      </c>
      <c r="BU53" s="268">
        <v>69978</v>
      </c>
      <c r="BV53" s="268">
        <v>793867</v>
      </c>
      <c r="BW53" s="268">
        <v>8898</v>
      </c>
      <c r="BX53" s="269" t="s">
        <v>0</v>
      </c>
      <c r="BY53" s="269" t="s">
        <v>0</v>
      </c>
      <c r="BZ53" s="268">
        <v>4682</v>
      </c>
      <c r="CA53" s="269" t="s">
        <v>0</v>
      </c>
      <c r="CB53" s="268">
        <v>3696</v>
      </c>
      <c r="CC53" s="269" t="s">
        <v>0</v>
      </c>
      <c r="CD53" s="269" t="s">
        <v>0</v>
      </c>
      <c r="CE53" s="269" t="s">
        <v>0</v>
      </c>
      <c r="CF53" s="269" t="s">
        <v>0</v>
      </c>
      <c r="CG53" s="269" t="s">
        <v>0</v>
      </c>
      <c r="CH53" s="269" t="s">
        <v>0</v>
      </c>
      <c r="CI53" s="268">
        <v>46998</v>
      </c>
      <c r="CJ53" s="269" t="s">
        <v>0</v>
      </c>
      <c r="CK53" s="269" t="s">
        <v>0</v>
      </c>
      <c r="CL53" s="269">
        <v>717</v>
      </c>
      <c r="CM53" s="269" t="s">
        <v>0</v>
      </c>
      <c r="CN53" s="269" t="s">
        <v>0</v>
      </c>
      <c r="CO53" s="269" t="s">
        <v>0</v>
      </c>
      <c r="CP53" s="269">
        <v>136</v>
      </c>
      <c r="CQ53" s="269" t="s">
        <v>0</v>
      </c>
      <c r="CR53" s="269" t="s">
        <v>0</v>
      </c>
      <c r="CS53" s="268">
        <v>25646</v>
      </c>
      <c r="CT53" s="269" t="s">
        <v>0</v>
      </c>
      <c r="CU53" s="269" t="s">
        <v>0</v>
      </c>
      <c r="CV53" s="269" t="s">
        <v>0</v>
      </c>
      <c r="CW53" s="275" t="s">
        <v>0</v>
      </c>
    </row>
    <row r="54" spans="2:101" ht="13.5" customHeight="1" x14ac:dyDescent="0.2">
      <c r="B54" s="10">
        <v>5</v>
      </c>
      <c r="C54" s="34" t="s">
        <v>22</v>
      </c>
      <c r="D54" s="35">
        <f>SUMIF($O$8:$O$34,C54,$Q$8:$Q$34)</f>
        <v>89774</v>
      </c>
      <c r="E54" s="135">
        <f>SUMIF($O$8:$O$34,C54,$BH$8:$BH$34)</f>
        <v>66690</v>
      </c>
      <c r="F54" s="156">
        <f t="shared" si="8"/>
        <v>-25.71</v>
      </c>
      <c r="G54" s="9"/>
      <c r="H54" s="44">
        <v>5</v>
      </c>
      <c r="I54" s="34" t="s">
        <v>22</v>
      </c>
      <c r="J54" s="35">
        <f>SUMIF($O$47:$O$73,I54,$Q$47:$Q$73)</f>
        <v>21375</v>
      </c>
      <c r="K54" s="135">
        <f>SUMIF($O$47:$O$73,I54,$BH$47:$BH$73)</f>
        <v>20913</v>
      </c>
      <c r="L54" s="156">
        <f t="shared" si="9"/>
        <v>-2.16</v>
      </c>
      <c r="M54" s="2"/>
      <c r="O54" s="274" t="s">
        <v>22</v>
      </c>
      <c r="P54" s="268">
        <v>1576348</v>
      </c>
      <c r="Q54" s="268">
        <v>21375</v>
      </c>
      <c r="R54" s="269">
        <v>80</v>
      </c>
      <c r="S54" s="269" t="s">
        <v>0</v>
      </c>
      <c r="T54" s="268">
        <v>239004</v>
      </c>
      <c r="U54" s="269" t="s">
        <v>0</v>
      </c>
      <c r="V54" s="269" t="s">
        <v>0</v>
      </c>
      <c r="W54" s="269" t="s">
        <v>0</v>
      </c>
      <c r="X54" s="268">
        <v>34452</v>
      </c>
      <c r="Y54" s="268">
        <v>52296</v>
      </c>
      <c r="Z54" s="269" t="s">
        <v>0</v>
      </c>
      <c r="AA54" s="269" t="s">
        <v>0</v>
      </c>
      <c r="AB54" s="269" t="s">
        <v>0</v>
      </c>
      <c r="AC54" s="268">
        <v>322326</v>
      </c>
      <c r="AD54" s="268">
        <v>134420</v>
      </c>
      <c r="AE54" s="268">
        <v>761225</v>
      </c>
      <c r="AF54" s="268">
        <v>11170</v>
      </c>
      <c r="AG54" s="269" t="s">
        <v>0</v>
      </c>
      <c r="AH54" s="269" t="s">
        <v>0</v>
      </c>
      <c r="AI54" s="268">
        <v>1809</v>
      </c>
      <c r="AJ54" s="269" t="s">
        <v>0</v>
      </c>
      <c r="AK54" s="268">
        <v>8784</v>
      </c>
      <c r="AL54" s="269" t="s">
        <v>0</v>
      </c>
      <c r="AM54" s="269" t="s">
        <v>0</v>
      </c>
      <c r="AN54" s="269" t="s">
        <v>0</v>
      </c>
      <c r="AO54" s="269" t="s">
        <v>0</v>
      </c>
      <c r="AP54" s="269" t="s">
        <v>0</v>
      </c>
      <c r="AQ54" s="269" t="s">
        <v>0</v>
      </c>
      <c r="AR54" s="268">
        <v>47685</v>
      </c>
      <c r="AS54" s="268">
        <v>11968</v>
      </c>
      <c r="AT54" s="269" t="s">
        <v>0</v>
      </c>
      <c r="AU54" s="268">
        <v>2681</v>
      </c>
      <c r="AV54" s="269" t="s">
        <v>0</v>
      </c>
      <c r="AW54" s="269" t="s">
        <v>0</v>
      </c>
      <c r="AX54" s="269" t="s">
        <v>0</v>
      </c>
      <c r="AY54" s="269">
        <v>912</v>
      </c>
      <c r="AZ54" s="269" t="s">
        <v>0</v>
      </c>
      <c r="BA54" s="269" t="s">
        <v>0</v>
      </c>
      <c r="BB54" s="268">
        <v>173798</v>
      </c>
      <c r="BC54" s="269">
        <v>42</v>
      </c>
      <c r="BD54" s="269" t="s">
        <v>0</v>
      </c>
      <c r="BE54" s="269">
        <v>217</v>
      </c>
      <c r="BF54" s="269" t="s">
        <v>0</v>
      </c>
      <c r="BG54" s="268">
        <v>1399512</v>
      </c>
      <c r="BH54" s="268">
        <v>20913</v>
      </c>
      <c r="BI54" s="269">
        <v>80</v>
      </c>
      <c r="BJ54" s="269" t="s">
        <v>0</v>
      </c>
      <c r="BK54" s="268">
        <v>172524</v>
      </c>
      <c r="BL54" s="269" t="s">
        <v>0</v>
      </c>
      <c r="BM54" s="269" t="s">
        <v>0</v>
      </c>
      <c r="BN54" s="269" t="s">
        <v>0</v>
      </c>
      <c r="BO54" s="268">
        <v>28616</v>
      </c>
      <c r="BP54" s="268">
        <v>45076</v>
      </c>
      <c r="BQ54" s="269" t="s">
        <v>0</v>
      </c>
      <c r="BR54" s="269" t="s">
        <v>0</v>
      </c>
      <c r="BS54" s="269" t="s">
        <v>0</v>
      </c>
      <c r="BT54" s="268">
        <v>261803</v>
      </c>
      <c r="BU54" s="268">
        <v>75676</v>
      </c>
      <c r="BV54" s="268">
        <v>783654</v>
      </c>
      <c r="BW54" s="268">
        <v>11170</v>
      </c>
      <c r="BX54" s="269" t="s">
        <v>0</v>
      </c>
      <c r="BY54" s="269" t="s">
        <v>0</v>
      </c>
      <c r="BZ54" s="268">
        <v>2963</v>
      </c>
      <c r="CA54" s="269" t="s">
        <v>0</v>
      </c>
      <c r="CB54" s="268">
        <v>7153</v>
      </c>
      <c r="CC54" s="269" t="s">
        <v>0</v>
      </c>
      <c r="CD54" s="269" t="s">
        <v>0</v>
      </c>
      <c r="CE54" s="269" t="s">
        <v>0</v>
      </c>
      <c r="CF54" s="269" t="s">
        <v>0</v>
      </c>
      <c r="CG54" s="269" t="s">
        <v>0</v>
      </c>
      <c r="CH54" s="269" t="s">
        <v>0</v>
      </c>
      <c r="CI54" s="268">
        <v>51469</v>
      </c>
      <c r="CJ54" s="268">
        <v>10998</v>
      </c>
      <c r="CK54" s="269" t="s">
        <v>0</v>
      </c>
      <c r="CL54" s="268">
        <v>2451</v>
      </c>
      <c r="CM54" s="269" t="s">
        <v>0</v>
      </c>
      <c r="CN54" s="269" t="s">
        <v>0</v>
      </c>
      <c r="CO54" s="269" t="s">
        <v>0</v>
      </c>
      <c r="CP54" s="269">
        <v>765</v>
      </c>
      <c r="CQ54" s="269" t="s">
        <v>0</v>
      </c>
      <c r="CR54" s="269" t="s">
        <v>0</v>
      </c>
      <c r="CS54" s="268">
        <v>305624</v>
      </c>
      <c r="CT54" s="269">
        <v>37</v>
      </c>
      <c r="CU54" s="269" t="s">
        <v>0</v>
      </c>
      <c r="CV54" s="269">
        <v>189</v>
      </c>
      <c r="CW54" s="275" t="s">
        <v>0</v>
      </c>
    </row>
    <row r="55" spans="2:101" ht="13.5" customHeight="1" x14ac:dyDescent="0.2">
      <c r="B55" s="10">
        <v>6</v>
      </c>
      <c r="C55" s="34" t="s">
        <v>31</v>
      </c>
      <c r="D55" s="35">
        <f>SUMIF($O$8:$O$34,C55,$Q$8:$Q$34)</f>
        <v>67588</v>
      </c>
      <c r="E55" s="135">
        <f>SUMIF($O$8:$O$34,C55,$BH$8:$BH$34)</f>
        <v>66401</v>
      </c>
      <c r="F55" s="156">
        <f t="shared" si="8"/>
        <v>-1.75</v>
      </c>
      <c r="G55" s="9"/>
      <c r="H55" s="44">
        <v>6</v>
      </c>
      <c r="I55" s="34" t="s">
        <v>31</v>
      </c>
      <c r="J55" s="35">
        <f>SUMIF($O$47:$O$73,I55,$Q$47:$Q$73)</f>
        <v>18690</v>
      </c>
      <c r="K55" s="135">
        <f>SUMIF($O$47:$O$73,I55,$BH$47:$BH$73)</f>
        <v>19669</v>
      </c>
      <c r="L55" s="156">
        <f t="shared" si="9"/>
        <v>5.23</v>
      </c>
      <c r="M55" s="2"/>
      <c r="O55" s="274" t="s">
        <v>23</v>
      </c>
      <c r="P55" s="268">
        <v>1408868</v>
      </c>
      <c r="Q55" s="268">
        <v>14268</v>
      </c>
      <c r="R55" s="269">
        <v>62</v>
      </c>
      <c r="S55" s="269" t="s">
        <v>0</v>
      </c>
      <c r="T55" s="268">
        <v>91183</v>
      </c>
      <c r="U55" s="269" t="s">
        <v>0</v>
      </c>
      <c r="V55" s="269" t="s">
        <v>0</v>
      </c>
      <c r="W55" s="269" t="s">
        <v>0</v>
      </c>
      <c r="X55" s="268">
        <v>208632</v>
      </c>
      <c r="Y55" s="268">
        <v>2977</v>
      </c>
      <c r="Z55" s="269" t="s">
        <v>0</v>
      </c>
      <c r="AA55" s="269" t="s">
        <v>0</v>
      </c>
      <c r="AB55" s="269">
        <v>708</v>
      </c>
      <c r="AC55" s="268">
        <v>408751</v>
      </c>
      <c r="AD55" s="269">
        <v>526</v>
      </c>
      <c r="AE55" s="268">
        <v>668618</v>
      </c>
      <c r="AF55" s="268">
        <v>13143</v>
      </c>
      <c r="AG55" s="269" t="s">
        <v>0</v>
      </c>
      <c r="AH55" s="269" t="s">
        <v>0</v>
      </c>
      <c r="AI55" s="269" t="s">
        <v>0</v>
      </c>
      <c r="AJ55" s="269" t="s">
        <v>0</v>
      </c>
      <c r="AK55" s="268">
        <v>2070</v>
      </c>
      <c r="AL55" s="269" t="s">
        <v>0</v>
      </c>
      <c r="AM55" s="269" t="s">
        <v>0</v>
      </c>
      <c r="AN55" s="269" t="s">
        <v>0</v>
      </c>
      <c r="AO55" s="269" t="s">
        <v>0</v>
      </c>
      <c r="AP55" s="269" t="s">
        <v>0</v>
      </c>
      <c r="AQ55" s="269" t="s">
        <v>0</v>
      </c>
      <c r="AR55" s="268">
        <v>15022</v>
      </c>
      <c r="AS55" s="268">
        <v>87474</v>
      </c>
      <c r="AT55" s="269">
        <v>7</v>
      </c>
      <c r="AU55" s="269">
        <v>886</v>
      </c>
      <c r="AV55" s="269" t="s">
        <v>0</v>
      </c>
      <c r="AW55" s="269" t="s">
        <v>0</v>
      </c>
      <c r="AX55" s="269" t="s">
        <v>0</v>
      </c>
      <c r="AY55" s="269">
        <v>313</v>
      </c>
      <c r="AZ55" s="269" t="s">
        <v>0</v>
      </c>
      <c r="BA55" s="269" t="s">
        <v>0</v>
      </c>
      <c r="BB55" s="268">
        <v>38839</v>
      </c>
      <c r="BC55" s="269" t="s">
        <v>0</v>
      </c>
      <c r="BD55" s="269" t="s">
        <v>0</v>
      </c>
      <c r="BE55" s="269">
        <v>141</v>
      </c>
      <c r="BF55" s="269">
        <v>7</v>
      </c>
      <c r="BG55" s="268">
        <v>1361412</v>
      </c>
      <c r="BH55" s="268">
        <v>5536</v>
      </c>
      <c r="BI55" s="269">
        <v>62</v>
      </c>
      <c r="BJ55" s="269" t="s">
        <v>0</v>
      </c>
      <c r="BK55" s="268">
        <v>75681</v>
      </c>
      <c r="BL55" s="269" t="s">
        <v>0</v>
      </c>
      <c r="BM55" s="269" t="s">
        <v>0</v>
      </c>
      <c r="BN55" s="269" t="s">
        <v>0</v>
      </c>
      <c r="BO55" s="268">
        <v>216680</v>
      </c>
      <c r="BP55" s="268">
        <v>3007</v>
      </c>
      <c r="BQ55" s="269" t="s">
        <v>0</v>
      </c>
      <c r="BR55" s="269" t="s">
        <v>0</v>
      </c>
      <c r="BS55" s="269">
        <v>481</v>
      </c>
      <c r="BT55" s="268">
        <v>461359</v>
      </c>
      <c r="BU55" s="268">
        <v>22379</v>
      </c>
      <c r="BV55" s="268">
        <v>563084</v>
      </c>
      <c r="BW55" s="268">
        <v>13143</v>
      </c>
      <c r="BX55" s="269" t="s">
        <v>0</v>
      </c>
      <c r="BY55" s="269" t="s">
        <v>0</v>
      </c>
      <c r="BZ55" s="269" t="s">
        <v>0</v>
      </c>
      <c r="CA55" s="269" t="s">
        <v>0</v>
      </c>
      <c r="CB55" s="268">
        <v>2092</v>
      </c>
      <c r="CC55" s="269" t="s">
        <v>0</v>
      </c>
      <c r="CD55" s="269" t="s">
        <v>0</v>
      </c>
      <c r="CE55" s="269" t="s">
        <v>0</v>
      </c>
      <c r="CF55" s="269" t="s">
        <v>0</v>
      </c>
      <c r="CG55" s="269" t="s">
        <v>0</v>
      </c>
      <c r="CH55" s="269" t="s">
        <v>0</v>
      </c>
      <c r="CI55" s="268">
        <v>17311</v>
      </c>
      <c r="CJ55" s="268">
        <v>82108</v>
      </c>
      <c r="CK55" s="269">
        <v>7</v>
      </c>
      <c r="CL55" s="269">
        <v>760</v>
      </c>
      <c r="CM55" s="269" t="s">
        <v>0</v>
      </c>
      <c r="CN55" s="269" t="s">
        <v>0</v>
      </c>
      <c r="CO55" s="269" t="s">
        <v>0</v>
      </c>
      <c r="CP55" s="269">
        <v>307</v>
      </c>
      <c r="CQ55" s="269" t="s">
        <v>0</v>
      </c>
      <c r="CR55" s="269" t="s">
        <v>0</v>
      </c>
      <c r="CS55" s="268">
        <v>74120</v>
      </c>
      <c r="CT55" s="269" t="s">
        <v>0</v>
      </c>
      <c r="CU55" s="269" t="s">
        <v>0</v>
      </c>
      <c r="CV55" s="269">
        <v>132</v>
      </c>
      <c r="CW55" s="275">
        <v>7</v>
      </c>
    </row>
    <row r="56" spans="2:101" ht="13.5" customHeight="1" x14ac:dyDescent="0.2">
      <c r="B56" s="10">
        <v>7</v>
      </c>
      <c r="C56" s="34" t="s">
        <v>34</v>
      </c>
      <c r="D56" s="35">
        <f>SUMIF($O$8:$O$34,C56,$Q$8:$Q$34)</f>
        <v>14268</v>
      </c>
      <c r="E56" s="135">
        <f>SUMIF($O$8:$O$34,C56,$BH$8:$BH$34)</f>
        <v>14277</v>
      </c>
      <c r="F56" s="156">
        <f t="shared" si="8"/>
        <v>0.06</v>
      </c>
      <c r="G56" s="9"/>
      <c r="H56" s="44">
        <v>7</v>
      </c>
      <c r="I56" s="34" t="s">
        <v>23</v>
      </c>
      <c r="J56" s="35">
        <f>SUMIF($O$47:$O$73,I56,$Q$47:$Q$73)</f>
        <v>14268</v>
      </c>
      <c r="K56" s="135">
        <f>SUMIF($O$47:$O$73,I56,$BH$47:$BH$73)</f>
        <v>5536</v>
      </c>
      <c r="L56" s="156">
        <f t="shared" si="9"/>
        <v>-61.19</v>
      </c>
      <c r="M56" s="2"/>
      <c r="O56" s="274" t="s">
        <v>24</v>
      </c>
      <c r="P56" s="268">
        <v>918391</v>
      </c>
      <c r="Q56" s="269">
        <v>390</v>
      </c>
      <c r="R56" s="269">
        <v>463</v>
      </c>
      <c r="S56" s="269" t="s">
        <v>0</v>
      </c>
      <c r="T56" s="268">
        <v>8898</v>
      </c>
      <c r="U56" s="269" t="s">
        <v>0</v>
      </c>
      <c r="V56" s="269" t="s">
        <v>0</v>
      </c>
      <c r="W56" s="269" t="s">
        <v>0</v>
      </c>
      <c r="X56" s="268">
        <v>400618</v>
      </c>
      <c r="Y56" s="268">
        <v>4083</v>
      </c>
      <c r="Z56" s="269" t="s">
        <v>0</v>
      </c>
      <c r="AA56" s="269" t="s">
        <v>0</v>
      </c>
      <c r="AB56" s="268">
        <v>7612</v>
      </c>
      <c r="AC56" s="268">
        <v>495735</v>
      </c>
      <c r="AD56" s="269">
        <v>192</v>
      </c>
      <c r="AE56" s="269" t="s">
        <v>0</v>
      </c>
      <c r="AF56" s="269">
        <v>400</v>
      </c>
      <c r="AG56" s="269" t="s">
        <v>0</v>
      </c>
      <c r="AH56" s="269" t="s">
        <v>0</v>
      </c>
      <c r="AI56" s="269">
        <v>127</v>
      </c>
      <c r="AJ56" s="269" t="s">
        <v>0</v>
      </c>
      <c r="AK56" s="268">
        <v>44482</v>
      </c>
      <c r="AL56" s="269" t="s">
        <v>0</v>
      </c>
      <c r="AM56" s="269" t="s">
        <v>0</v>
      </c>
      <c r="AN56" s="269" t="s">
        <v>0</v>
      </c>
      <c r="AO56" s="269" t="s">
        <v>0</v>
      </c>
      <c r="AP56" s="268">
        <v>4198</v>
      </c>
      <c r="AQ56" s="269">
        <v>127</v>
      </c>
      <c r="AR56" s="268">
        <v>19149</v>
      </c>
      <c r="AS56" s="268">
        <v>389358</v>
      </c>
      <c r="AT56" s="269">
        <v>30</v>
      </c>
      <c r="AU56" s="268">
        <v>38099</v>
      </c>
      <c r="AV56" s="269">
        <v>60</v>
      </c>
      <c r="AW56" s="269" t="s">
        <v>0</v>
      </c>
      <c r="AX56" s="269" t="s">
        <v>0</v>
      </c>
      <c r="AY56" s="268">
        <v>1609</v>
      </c>
      <c r="AZ56" s="269" t="s">
        <v>0</v>
      </c>
      <c r="BA56" s="269" t="s">
        <v>0</v>
      </c>
      <c r="BB56" s="268">
        <v>58511</v>
      </c>
      <c r="BC56" s="269">
        <v>2</v>
      </c>
      <c r="BD56" s="269">
        <v>52</v>
      </c>
      <c r="BE56" s="268">
        <v>2198</v>
      </c>
      <c r="BF56" s="269">
        <v>38</v>
      </c>
      <c r="BG56" s="268">
        <v>871184</v>
      </c>
      <c r="BH56" s="269">
        <v>406</v>
      </c>
      <c r="BI56" s="269">
        <v>361</v>
      </c>
      <c r="BJ56" s="269" t="s">
        <v>0</v>
      </c>
      <c r="BK56" s="268">
        <v>6133</v>
      </c>
      <c r="BL56" s="269" t="s">
        <v>0</v>
      </c>
      <c r="BM56" s="269" t="s">
        <v>0</v>
      </c>
      <c r="BN56" s="269" t="s">
        <v>0</v>
      </c>
      <c r="BO56" s="268">
        <v>379611</v>
      </c>
      <c r="BP56" s="268">
        <v>4089</v>
      </c>
      <c r="BQ56" s="269" t="s">
        <v>0</v>
      </c>
      <c r="BR56" s="269" t="s">
        <v>0</v>
      </c>
      <c r="BS56" s="268">
        <v>4867</v>
      </c>
      <c r="BT56" s="268">
        <v>475648</v>
      </c>
      <c r="BU56" s="269">
        <v>68</v>
      </c>
      <c r="BV56" s="269" t="s">
        <v>0</v>
      </c>
      <c r="BW56" s="269">
        <v>1</v>
      </c>
      <c r="BX56" s="269" t="s">
        <v>0</v>
      </c>
      <c r="BY56" s="269" t="s">
        <v>0</v>
      </c>
      <c r="BZ56" s="269">
        <v>87</v>
      </c>
      <c r="CA56" s="269" t="s">
        <v>0</v>
      </c>
      <c r="CB56" s="268">
        <v>39853</v>
      </c>
      <c r="CC56" s="269" t="s">
        <v>0</v>
      </c>
      <c r="CD56" s="269" t="s">
        <v>0</v>
      </c>
      <c r="CE56" s="269" t="s">
        <v>0</v>
      </c>
      <c r="CF56" s="269" t="s">
        <v>0</v>
      </c>
      <c r="CG56" s="268">
        <v>3267</v>
      </c>
      <c r="CH56" s="269">
        <v>127</v>
      </c>
      <c r="CI56" s="268">
        <v>16210</v>
      </c>
      <c r="CJ56" s="268">
        <v>384905</v>
      </c>
      <c r="CK56" s="269">
        <v>30</v>
      </c>
      <c r="CL56" s="268">
        <v>40359</v>
      </c>
      <c r="CM56" s="269">
        <v>55</v>
      </c>
      <c r="CN56" s="269" t="s">
        <v>0</v>
      </c>
      <c r="CO56" s="269" t="s">
        <v>0</v>
      </c>
      <c r="CP56" s="268">
        <v>2031</v>
      </c>
      <c r="CQ56" s="269" t="s">
        <v>0</v>
      </c>
      <c r="CR56" s="269" t="s">
        <v>0</v>
      </c>
      <c r="CS56" s="268">
        <v>108405</v>
      </c>
      <c r="CT56" s="269">
        <v>2</v>
      </c>
      <c r="CU56" s="269">
        <v>27</v>
      </c>
      <c r="CV56" s="268">
        <v>2532</v>
      </c>
      <c r="CW56" s="275">
        <v>38</v>
      </c>
    </row>
    <row r="57" spans="2:101" ht="13.5" customHeight="1" x14ac:dyDescent="0.2">
      <c r="B57" s="10">
        <v>8</v>
      </c>
      <c r="C57" s="34" t="s">
        <v>23</v>
      </c>
      <c r="D57" s="35">
        <f>SUMIF($O$8:$O$34,C57,$Q$8:$Q$34)</f>
        <v>50875</v>
      </c>
      <c r="E57" s="135">
        <f>SUMIF($O$8:$O$34,C57,$BH$8:$BH$34)</f>
        <v>7147</v>
      </c>
      <c r="F57" s="156">
        <f t="shared" si="8"/>
        <v>-85.95</v>
      </c>
      <c r="G57" s="9"/>
      <c r="H57" s="44">
        <v>8</v>
      </c>
      <c r="I57" s="34" t="s">
        <v>34</v>
      </c>
      <c r="J57" s="35">
        <f>SUMIF($O$47:$O$73,I57,$Q$47:$Q$73)</f>
        <v>4355</v>
      </c>
      <c r="K57" s="135">
        <f>SUMIF($O$47:$O$73,I57,$BH$47:$BH$73)</f>
        <v>4530</v>
      </c>
      <c r="L57" s="156">
        <f t="shared" si="9"/>
        <v>4.01</v>
      </c>
      <c r="M57" s="2"/>
      <c r="O57" s="274" t="s">
        <v>25</v>
      </c>
      <c r="P57" s="268">
        <v>88201</v>
      </c>
      <c r="Q57" s="269">
        <v>282</v>
      </c>
      <c r="R57" s="269" t="s">
        <v>0</v>
      </c>
      <c r="S57" s="269" t="s">
        <v>0</v>
      </c>
      <c r="T57" s="269">
        <v>933</v>
      </c>
      <c r="U57" s="269" t="s">
        <v>0</v>
      </c>
      <c r="V57" s="269" t="s">
        <v>0</v>
      </c>
      <c r="W57" s="269" t="s">
        <v>0</v>
      </c>
      <c r="X57" s="268">
        <v>43512</v>
      </c>
      <c r="Y57" s="269">
        <v>200</v>
      </c>
      <c r="Z57" s="269" t="s">
        <v>0</v>
      </c>
      <c r="AA57" s="269" t="s">
        <v>0</v>
      </c>
      <c r="AB57" s="269" t="s">
        <v>0</v>
      </c>
      <c r="AC57" s="268">
        <v>42915</v>
      </c>
      <c r="AD57" s="269" t="s">
        <v>0</v>
      </c>
      <c r="AE57" s="269" t="s">
        <v>0</v>
      </c>
      <c r="AF57" s="269">
        <v>359</v>
      </c>
      <c r="AG57" s="269" t="s">
        <v>0</v>
      </c>
      <c r="AH57" s="269" t="s">
        <v>0</v>
      </c>
      <c r="AI57" s="268">
        <v>2637</v>
      </c>
      <c r="AJ57" s="269" t="s">
        <v>0</v>
      </c>
      <c r="AK57" s="268">
        <v>5421</v>
      </c>
      <c r="AL57" s="269" t="s">
        <v>0</v>
      </c>
      <c r="AM57" s="269" t="s">
        <v>0</v>
      </c>
      <c r="AN57" s="269" t="s">
        <v>0</v>
      </c>
      <c r="AO57" s="269" t="s">
        <v>0</v>
      </c>
      <c r="AP57" s="269" t="s">
        <v>0</v>
      </c>
      <c r="AQ57" s="269" t="s">
        <v>0</v>
      </c>
      <c r="AR57" s="268">
        <v>59491</v>
      </c>
      <c r="AS57" s="268">
        <v>96120</v>
      </c>
      <c r="AT57" s="269">
        <v>510</v>
      </c>
      <c r="AU57" s="268">
        <v>16655</v>
      </c>
      <c r="AV57" s="269" t="s">
        <v>0</v>
      </c>
      <c r="AW57" s="269" t="s">
        <v>0</v>
      </c>
      <c r="AX57" s="269" t="s">
        <v>0</v>
      </c>
      <c r="AY57" s="269">
        <v>194</v>
      </c>
      <c r="AZ57" s="269" t="s">
        <v>0</v>
      </c>
      <c r="BA57" s="269" t="s">
        <v>0</v>
      </c>
      <c r="BB57" s="268">
        <v>14944</v>
      </c>
      <c r="BC57" s="269">
        <v>7</v>
      </c>
      <c r="BD57" s="269">
        <v>180</v>
      </c>
      <c r="BE57" s="269">
        <v>132</v>
      </c>
      <c r="BF57" s="269" t="s">
        <v>0</v>
      </c>
      <c r="BG57" s="268">
        <v>75498</v>
      </c>
      <c r="BH57" s="269">
        <v>271</v>
      </c>
      <c r="BI57" s="269" t="s">
        <v>0</v>
      </c>
      <c r="BJ57" s="269" t="s">
        <v>0</v>
      </c>
      <c r="BK57" s="269">
        <v>808</v>
      </c>
      <c r="BL57" s="269" t="s">
        <v>0</v>
      </c>
      <c r="BM57" s="269" t="s">
        <v>0</v>
      </c>
      <c r="BN57" s="269" t="s">
        <v>0</v>
      </c>
      <c r="BO57" s="268">
        <v>36443</v>
      </c>
      <c r="BP57" s="269">
        <v>250</v>
      </c>
      <c r="BQ57" s="269" t="s">
        <v>0</v>
      </c>
      <c r="BR57" s="269" t="s">
        <v>0</v>
      </c>
      <c r="BS57" s="269" t="s">
        <v>0</v>
      </c>
      <c r="BT57" s="268">
        <v>36976</v>
      </c>
      <c r="BU57" s="269" t="s">
        <v>0</v>
      </c>
      <c r="BV57" s="269" t="s">
        <v>0</v>
      </c>
      <c r="BW57" s="269">
        <v>750</v>
      </c>
      <c r="BX57" s="269" t="s">
        <v>0</v>
      </c>
      <c r="BY57" s="269" t="s">
        <v>0</v>
      </c>
      <c r="BZ57" s="268">
        <v>2434</v>
      </c>
      <c r="CA57" s="269" t="s">
        <v>0</v>
      </c>
      <c r="CB57" s="268">
        <v>5388</v>
      </c>
      <c r="CC57" s="269" t="s">
        <v>0</v>
      </c>
      <c r="CD57" s="269" t="s">
        <v>0</v>
      </c>
      <c r="CE57" s="269" t="s">
        <v>0</v>
      </c>
      <c r="CF57" s="269" t="s">
        <v>0</v>
      </c>
      <c r="CG57" s="269" t="s">
        <v>0</v>
      </c>
      <c r="CH57" s="269" t="s">
        <v>0</v>
      </c>
      <c r="CI57" s="268">
        <v>60379</v>
      </c>
      <c r="CJ57" s="268">
        <v>80798</v>
      </c>
      <c r="CK57" s="269">
        <v>510</v>
      </c>
      <c r="CL57" s="268">
        <v>14607</v>
      </c>
      <c r="CM57" s="269" t="s">
        <v>0</v>
      </c>
      <c r="CN57" s="269" t="s">
        <v>0</v>
      </c>
      <c r="CO57" s="269" t="s">
        <v>0</v>
      </c>
      <c r="CP57" s="269">
        <v>192</v>
      </c>
      <c r="CQ57" s="269" t="s">
        <v>0</v>
      </c>
      <c r="CR57" s="269" t="s">
        <v>0</v>
      </c>
      <c r="CS57" s="268">
        <v>21024</v>
      </c>
      <c r="CT57" s="269">
        <v>7</v>
      </c>
      <c r="CU57" s="269">
        <v>160</v>
      </c>
      <c r="CV57" s="269">
        <v>161</v>
      </c>
      <c r="CW57" s="275" t="s">
        <v>0</v>
      </c>
    </row>
    <row r="58" spans="2:101" ht="13.5" customHeight="1" x14ac:dyDescent="0.2">
      <c r="B58" s="10">
        <v>9</v>
      </c>
      <c r="C58" s="34" t="s">
        <v>21</v>
      </c>
      <c r="D58" s="35">
        <f>SUMIF($O$8:$O$34,C58,$Q$8:$Q$34)</f>
        <v>2403</v>
      </c>
      <c r="E58" s="135">
        <f>SUMIF($O$8:$O$34,C58,$BH$8:$BH$34)</f>
        <v>2664</v>
      </c>
      <c r="F58" s="156">
        <f t="shared" si="8"/>
        <v>10.86</v>
      </c>
      <c r="G58" s="9"/>
      <c r="H58" s="44">
        <v>9</v>
      </c>
      <c r="I58" s="34" t="s">
        <v>21</v>
      </c>
      <c r="J58" s="35">
        <f>SUMIF($O$47:$O$73,I58,$Q$47:$Q$73)</f>
        <v>903</v>
      </c>
      <c r="K58" s="135">
        <f>SUMIF($O$47:$O$73,I58,$BH$47:$BH$73)</f>
        <v>1480</v>
      </c>
      <c r="L58" s="156">
        <f t="shared" si="9"/>
        <v>63.89</v>
      </c>
      <c r="M58" s="2"/>
      <c r="O58" s="274" t="s">
        <v>26</v>
      </c>
      <c r="P58" s="268">
        <v>131479</v>
      </c>
      <c r="Q58" s="269">
        <v>243</v>
      </c>
      <c r="R58" s="269" t="s">
        <v>0</v>
      </c>
      <c r="S58" s="269">
        <v>471</v>
      </c>
      <c r="T58" s="268">
        <v>1129</v>
      </c>
      <c r="U58" s="269" t="s">
        <v>0</v>
      </c>
      <c r="V58" s="269" t="s">
        <v>0</v>
      </c>
      <c r="W58" s="269" t="s">
        <v>0</v>
      </c>
      <c r="X58" s="268">
        <v>42060</v>
      </c>
      <c r="Y58" s="268">
        <v>22290</v>
      </c>
      <c r="Z58" s="269" t="s">
        <v>0</v>
      </c>
      <c r="AA58" s="269" t="s">
        <v>0</v>
      </c>
      <c r="AB58" s="269" t="s">
        <v>0</v>
      </c>
      <c r="AC58" s="268">
        <v>65286</v>
      </c>
      <c r="AD58" s="269" t="s">
        <v>0</v>
      </c>
      <c r="AE58" s="269" t="s">
        <v>0</v>
      </c>
      <c r="AF58" s="269" t="s">
        <v>0</v>
      </c>
      <c r="AG58" s="269" t="s">
        <v>0</v>
      </c>
      <c r="AH58" s="269" t="s">
        <v>0</v>
      </c>
      <c r="AI58" s="268">
        <v>9697</v>
      </c>
      <c r="AJ58" s="269">
        <v>3</v>
      </c>
      <c r="AK58" s="268">
        <v>10683</v>
      </c>
      <c r="AL58" s="269" t="s">
        <v>0</v>
      </c>
      <c r="AM58" s="269">
        <v>100</v>
      </c>
      <c r="AN58" s="269" t="s">
        <v>0</v>
      </c>
      <c r="AO58" s="269" t="s">
        <v>0</v>
      </c>
      <c r="AP58" s="269" t="s">
        <v>0</v>
      </c>
      <c r="AQ58" s="269" t="s">
        <v>0</v>
      </c>
      <c r="AR58" s="268">
        <v>120559</v>
      </c>
      <c r="AS58" s="268">
        <v>4139</v>
      </c>
      <c r="AT58" s="269">
        <v>147</v>
      </c>
      <c r="AU58" s="268">
        <v>7755</v>
      </c>
      <c r="AV58" s="269">
        <v>1</v>
      </c>
      <c r="AW58" s="269" t="s">
        <v>0</v>
      </c>
      <c r="AX58" s="269" t="s">
        <v>0</v>
      </c>
      <c r="AY58" s="269">
        <v>754</v>
      </c>
      <c r="AZ58" s="269" t="s">
        <v>0</v>
      </c>
      <c r="BA58" s="269" t="s">
        <v>0</v>
      </c>
      <c r="BB58" s="268">
        <v>15221</v>
      </c>
      <c r="BC58" s="269">
        <v>84</v>
      </c>
      <c r="BD58" s="268">
        <v>5965</v>
      </c>
      <c r="BE58" s="269">
        <v>439</v>
      </c>
      <c r="BF58" s="269">
        <v>122</v>
      </c>
      <c r="BG58" s="268">
        <v>166861</v>
      </c>
      <c r="BH58" s="269">
        <v>179</v>
      </c>
      <c r="BI58" s="269" t="s">
        <v>0</v>
      </c>
      <c r="BJ58" s="269">
        <v>555</v>
      </c>
      <c r="BK58" s="269">
        <v>833</v>
      </c>
      <c r="BL58" s="269" t="s">
        <v>0</v>
      </c>
      <c r="BM58" s="269" t="s">
        <v>0</v>
      </c>
      <c r="BN58" s="269" t="s">
        <v>0</v>
      </c>
      <c r="BO58" s="268">
        <v>56553</v>
      </c>
      <c r="BP58" s="268">
        <v>24943</v>
      </c>
      <c r="BQ58" s="269" t="s">
        <v>0</v>
      </c>
      <c r="BR58" s="269" t="s">
        <v>0</v>
      </c>
      <c r="BS58" s="269" t="s">
        <v>0</v>
      </c>
      <c r="BT58" s="268">
        <v>83798</v>
      </c>
      <c r="BU58" s="269" t="s">
        <v>0</v>
      </c>
      <c r="BV58" s="269" t="s">
        <v>0</v>
      </c>
      <c r="BW58" s="269" t="s">
        <v>0</v>
      </c>
      <c r="BX58" s="269" t="s">
        <v>0</v>
      </c>
      <c r="BY58" s="269" t="s">
        <v>0</v>
      </c>
      <c r="BZ58" s="268">
        <v>13973</v>
      </c>
      <c r="CA58" s="269">
        <v>2</v>
      </c>
      <c r="CB58" s="268">
        <v>11284</v>
      </c>
      <c r="CC58" s="269" t="s">
        <v>0</v>
      </c>
      <c r="CD58" s="269">
        <v>111</v>
      </c>
      <c r="CE58" s="269" t="s">
        <v>0</v>
      </c>
      <c r="CF58" s="269" t="s">
        <v>0</v>
      </c>
      <c r="CG58" s="269" t="s">
        <v>0</v>
      </c>
      <c r="CH58" s="269" t="s">
        <v>0</v>
      </c>
      <c r="CI58" s="268">
        <v>151858</v>
      </c>
      <c r="CJ58" s="268">
        <v>3999</v>
      </c>
      <c r="CK58" s="269">
        <v>76</v>
      </c>
      <c r="CL58" s="268">
        <v>6354</v>
      </c>
      <c r="CM58" s="269">
        <v>97</v>
      </c>
      <c r="CN58" s="269" t="s">
        <v>0</v>
      </c>
      <c r="CO58" s="269" t="s">
        <v>0</v>
      </c>
      <c r="CP58" s="269">
        <v>719</v>
      </c>
      <c r="CQ58" s="269" t="s">
        <v>0</v>
      </c>
      <c r="CR58" s="269" t="s">
        <v>0</v>
      </c>
      <c r="CS58" s="268">
        <v>19848</v>
      </c>
      <c r="CT58" s="269">
        <v>86</v>
      </c>
      <c r="CU58" s="268">
        <v>6140</v>
      </c>
      <c r="CV58" s="269">
        <v>331</v>
      </c>
      <c r="CW58" s="275">
        <v>132</v>
      </c>
    </row>
    <row r="59" spans="2:101" ht="13.5" customHeight="1" x14ac:dyDescent="0.2">
      <c r="B59" s="10">
        <v>10</v>
      </c>
      <c r="C59" s="34" t="s">
        <v>18</v>
      </c>
      <c r="D59" s="35">
        <f>SUMIF($O$8:$O$34,C59,$Q$8:$Q$34)</f>
        <v>1215</v>
      </c>
      <c r="E59" s="135">
        <f>SUMIF($O$8:$O$34,C59,$BH$8:$BH$34)</f>
        <v>1215</v>
      </c>
      <c r="F59" s="156">
        <f t="shared" si="8"/>
        <v>0</v>
      </c>
      <c r="G59" s="9"/>
      <c r="H59" s="44">
        <v>10</v>
      </c>
      <c r="I59" s="34" t="s">
        <v>18</v>
      </c>
      <c r="J59" s="35">
        <f>SUMIF($O$47:$O$73,I59,$Q$47:$Q$73)</f>
        <v>900</v>
      </c>
      <c r="K59" s="135">
        <f>SUMIF($O$47:$O$73,I59,$BH$47:$BH$73)</f>
        <v>900</v>
      </c>
      <c r="L59" s="156">
        <f t="shared" si="9"/>
        <v>0</v>
      </c>
      <c r="M59" s="2"/>
      <c r="O59" s="274" t="s">
        <v>27</v>
      </c>
      <c r="P59" s="268">
        <v>386409</v>
      </c>
      <c r="Q59" s="269">
        <v>90</v>
      </c>
      <c r="R59" s="269">
        <v>10</v>
      </c>
      <c r="S59" s="269">
        <v>10</v>
      </c>
      <c r="T59" s="269">
        <v>324</v>
      </c>
      <c r="U59" s="269" t="s">
        <v>0</v>
      </c>
      <c r="V59" s="269" t="s">
        <v>0</v>
      </c>
      <c r="W59" s="269" t="s">
        <v>0</v>
      </c>
      <c r="X59" s="268">
        <v>84023</v>
      </c>
      <c r="Y59" s="268">
        <v>105100</v>
      </c>
      <c r="Z59" s="269" t="s">
        <v>0</v>
      </c>
      <c r="AA59" s="269" t="s">
        <v>0</v>
      </c>
      <c r="AB59" s="269">
        <v>230</v>
      </c>
      <c r="AC59" s="268">
        <v>56587</v>
      </c>
      <c r="AD59" s="268">
        <v>137560</v>
      </c>
      <c r="AE59" s="269" t="s">
        <v>0</v>
      </c>
      <c r="AF59" s="268">
        <v>2475</v>
      </c>
      <c r="AG59" s="269" t="s">
        <v>0</v>
      </c>
      <c r="AH59" s="269" t="s">
        <v>0</v>
      </c>
      <c r="AI59" s="269">
        <v>839</v>
      </c>
      <c r="AJ59" s="269" t="s">
        <v>0</v>
      </c>
      <c r="AK59" s="268">
        <v>36113</v>
      </c>
      <c r="AL59" s="269" t="s">
        <v>0</v>
      </c>
      <c r="AM59" s="269" t="s">
        <v>0</v>
      </c>
      <c r="AN59" s="269" t="s">
        <v>0</v>
      </c>
      <c r="AO59" s="269" t="s">
        <v>0</v>
      </c>
      <c r="AP59" s="268">
        <v>2535</v>
      </c>
      <c r="AQ59" s="269" t="s">
        <v>0</v>
      </c>
      <c r="AR59" s="268">
        <v>315467</v>
      </c>
      <c r="AS59" s="268">
        <v>3821</v>
      </c>
      <c r="AT59" s="268">
        <v>1370</v>
      </c>
      <c r="AU59" s="268">
        <v>5764</v>
      </c>
      <c r="AV59" s="269">
        <v>15</v>
      </c>
      <c r="AW59" s="269" t="s">
        <v>0</v>
      </c>
      <c r="AX59" s="269" t="s">
        <v>0</v>
      </c>
      <c r="AY59" s="269">
        <v>567</v>
      </c>
      <c r="AZ59" s="269" t="s">
        <v>0</v>
      </c>
      <c r="BA59" s="269" t="s">
        <v>0</v>
      </c>
      <c r="BB59" s="268">
        <v>48132</v>
      </c>
      <c r="BC59" s="269" t="s">
        <v>0</v>
      </c>
      <c r="BD59" s="269" t="s">
        <v>0</v>
      </c>
      <c r="BE59" s="268">
        <v>2527</v>
      </c>
      <c r="BF59" s="268">
        <v>6814</v>
      </c>
      <c r="BG59" s="268">
        <v>398554</v>
      </c>
      <c r="BH59" s="269">
        <v>38</v>
      </c>
      <c r="BI59" s="269">
        <v>19</v>
      </c>
      <c r="BJ59" s="269">
        <v>10</v>
      </c>
      <c r="BK59" s="269">
        <v>359</v>
      </c>
      <c r="BL59" s="269" t="s">
        <v>0</v>
      </c>
      <c r="BM59" s="269" t="s">
        <v>0</v>
      </c>
      <c r="BN59" s="269" t="s">
        <v>0</v>
      </c>
      <c r="BO59" s="268">
        <v>87461</v>
      </c>
      <c r="BP59" s="268">
        <v>122215</v>
      </c>
      <c r="BQ59" s="269" t="s">
        <v>0</v>
      </c>
      <c r="BR59" s="269" t="s">
        <v>0</v>
      </c>
      <c r="BS59" s="269">
        <v>70</v>
      </c>
      <c r="BT59" s="268">
        <v>78342</v>
      </c>
      <c r="BU59" s="268">
        <v>110020</v>
      </c>
      <c r="BV59" s="269" t="s">
        <v>0</v>
      </c>
      <c r="BW59" s="269">
        <v>20</v>
      </c>
      <c r="BX59" s="269" t="s">
        <v>0</v>
      </c>
      <c r="BY59" s="269" t="s">
        <v>0</v>
      </c>
      <c r="BZ59" s="268">
        <v>1094</v>
      </c>
      <c r="CA59" s="269" t="s">
        <v>0</v>
      </c>
      <c r="CB59" s="268">
        <v>38922</v>
      </c>
      <c r="CC59" s="269" t="s">
        <v>0</v>
      </c>
      <c r="CD59" s="269" t="s">
        <v>0</v>
      </c>
      <c r="CE59" s="269" t="s">
        <v>0</v>
      </c>
      <c r="CF59" s="269" t="s">
        <v>0</v>
      </c>
      <c r="CG59" s="268">
        <v>2388</v>
      </c>
      <c r="CH59" s="269" t="s">
        <v>0</v>
      </c>
      <c r="CI59" s="268">
        <v>286734</v>
      </c>
      <c r="CJ59" s="268">
        <v>5481</v>
      </c>
      <c r="CK59" s="268">
        <v>1215</v>
      </c>
      <c r="CL59" s="268">
        <v>7157</v>
      </c>
      <c r="CM59" s="269">
        <v>1</v>
      </c>
      <c r="CN59" s="269" t="s">
        <v>0</v>
      </c>
      <c r="CO59" s="269" t="s">
        <v>0</v>
      </c>
      <c r="CP59" s="269">
        <v>503</v>
      </c>
      <c r="CQ59" s="269" t="s">
        <v>0</v>
      </c>
      <c r="CR59" s="269" t="s">
        <v>0</v>
      </c>
      <c r="CS59" s="268">
        <v>45916</v>
      </c>
      <c r="CT59" s="269" t="s">
        <v>0</v>
      </c>
      <c r="CU59" s="269" t="s">
        <v>0</v>
      </c>
      <c r="CV59" s="268">
        <v>1741</v>
      </c>
      <c r="CW59" s="276">
        <v>7143</v>
      </c>
    </row>
    <row r="60" spans="2:101" ht="13.5" customHeight="1" x14ac:dyDescent="0.2">
      <c r="B60" s="10">
        <v>11</v>
      </c>
      <c r="C60" s="34" t="s">
        <v>25</v>
      </c>
      <c r="D60" s="35">
        <f>SUMIF($O$8:$O$34,C60,$Q$8:$Q$34)</f>
        <v>275</v>
      </c>
      <c r="E60" s="135">
        <f>SUMIF($O$8:$O$34,C60,$BH$8:$BH$34)</f>
        <v>1002</v>
      </c>
      <c r="F60" s="156">
        <f t="shared" si="8"/>
        <v>264.36</v>
      </c>
      <c r="G60" s="51"/>
      <c r="H60" s="44">
        <v>11</v>
      </c>
      <c r="I60" s="34" t="s">
        <v>24</v>
      </c>
      <c r="J60" s="35">
        <f>SUMIF($O$47:$O$73,I60,$Q$47:$Q$73)</f>
        <v>390</v>
      </c>
      <c r="K60" s="135">
        <f>SUMIF($O$47:$O$73,I60,$BH$47:$BH$73)</f>
        <v>406</v>
      </c>
      <c r="L60" s="156">
        <f t="shared" si="9"/>
        <v>4.0999999999999996</v>
      </c>
      <c r="M60" s="2"/>
      <c r="O60" s="274" t="s">
        <v>28</v>
      </c>
      <c r="P60" s="268">
        <v>88251</v>
      </c>
      <c r="Q60" s="269">
        <v>80</v>
      </c>
      <c r="R60" s="269">
        <v>100</v>
      </c>
      <c r="S60" s="269">
        <v>941</v>
      </c>
      <c r="T60" s="268">
        <v>3041</v>
      </c>
      <c r="U60" s="269" t="s">
        <v>0</v>
      </c>
      <c r="V60" s="269" t="s">
        <v>0</v>
      </c>
      <c r="W60" s="269" t="s">
        <v>0</v>
      </c>
      <c r="X60" s="269">
        <v>200</v>
      </c>
      <c r="Y60" s="268">
        <v>49387</v>
      </c>
      <c r="Z60" s="269" t="s">
        <v>0</v>
      </c>
      <c r="AA60" s="269" t="s">
        <v>0</v>
      </c>
      <c r="AB60" s="269" t="s">
        <v>0</v>
      </c>
      <c r="AC60" s="268">
        <v>34220</v>
      </c>
      <c r="AD60" s="269">
        <v>4</v>
      </c>
      <c r="AE60" s="269">
        <v>278</v>
      </c>
      <c r="AF60" s="269" t="s">
        <v>0</v>
      </c>
      <c r="AG60" s="269" t="s">
        <v>0</v>
      </c>
      <c r="AH60" s="269" t="s">
        <v>0</v>
      </c>
      <c r="AI60" s="268">
        <v>2693</v>
      </c>
      <c r="AJ60" s="269" t="s">
        <v>0</v>
      </c>
      <c r="AK60" s="268">
        <v>3836</v>
      </c>
      <c r="AL60" s="269" t="s">
        <v>0</v>
      </c>
      <c r="AM60" s="269" t="s">
        <v>0</v>
      </c>
      <c r="AN60" s="269" t="s">
        <v>0</v>
      </c>
      <c r="AO60" s="269" t="s">
        <v>0</v>
      </c>
      <c r="AP60" s="269" t="s">
        <v>0</v>
      </c>
      <c r="AQ60" s="269" t="s">
        <v>0</v>
      </c>
      <c r="AR60" s="268">
        <v>308006</v>
      </c>
      <c r="AS60" s="268">
        <v>1174</v>
      </c>
      <c r="AT60" s="269" t="s">
        <v>0</v>
      </c>
      <c r="AU60" s="268">
        <v>16648</v>
      </c>
      <c r="AV60" s="268">
        <v>9415</v>
      </c>
      <c r="AW60" s="269" t="s">
        <v>0</v>
      </c>
      <c r="AX60" s="269" t="s">
        <v>0</v>
      </c>
      <c r="AY60" s="268">
        <v>5191</v>
      </c>
      <c r="AZ60" s="269" t="s">
        <v>0</v>
      </c>
      <c r="BA60" s="269" t="s">
        <v>0</v>
      </c>
      <c r="BB60" s="268">
        <v>23079</v>
      </c>
      <c r="BC60" s="269">
        <v>134</v>
      </c>
      <c r="BD60" s="269" t="s">
        <v>0</v>
      </c>
      <c r="BE60" s="269">
        <v>72</v>
      </c>
      <c r="BF60" s="269" t="s">
        <v>0</v>
      </c>
      <c r="BG60" s="268">
        <v>71565</v>
      </c>
      <c r="BH60" s="269">
        <v>60</v>
      </c>
      <c r="BI60" s="269">
        <v>242</v>
      </c>
      <c r="BJ60" s="268">
        <v>1180</v>
      </c>
      <c r="BK60" s="268">
        <v>2723</v>
      </c>
      <c r="BL60" s="269" t="s">
        <v>0</v>
      </c>
      <c r="BM60" s="269" t="s">
        <v>0</v>
      </c>
      <c r="BN60" s="269" t="s">
        <v>0</v>
      </c>
      <c r="BO60" s="269">
        <v>572</v>
      </c>
      <c r="BP60" s="268">
        <v>37161</v>
      </c>
      <c r="BQ60" s="269" t="s">
        <v>0</v>
      </c>
      <c r="BR60" s="269" t="s">
        <v>0</v>
      </c>
      <c r="BS60" s="269" t="s">
        <v>0</v>
      </c>
      <c r="BT60" s="268">
        <v>27901</v>
      </c>
      <c r="BU60" s="268">
        <v>1448</v>
      </c>
      <c r="BV60" s="269">
        <v>278</v>
      </c>
      <c r="BW60" s="269" t="s">
        <v>0</v>
      </c>
      <c r="BX60" s="269" t="s">
        <v>0</v>
      </c>
      <c r="BY60" s="269" t="s">
        <v>0</v>
      </c>
      <c r="BZ60" s="268">
        <v>2630</v>
      </c>
      <c r="CA60" s="269" t="s">
        <v>0</v>
      </c>
      <c r="CB60" s="268">
        <v>4515</v>
      </c>
      <c r="CC60" s="269" t="s">
        <v>0</v>
      </c>
      <c r="CD60" s="269" t="s">
        <v>0</v>
      </c>
      <c r="CE60" s="269" t="s">
        <v>0</v>
      </c>
      <c r="CF60" s="269" t="s">
        <v>0</v>
      </c>
      <c r="CG60" s="269" t="s">
        <v>0</v>
      </c>
      <c r="CH60" s="269" t="s">
        <v>0</v>
      </c>
      <c r="CI60" s="268">
        <v>354392</v>
      </c>
      <c r="CJ60" s="268">
        <v>1374</v>
      </c>
      <c r="CK60" s="269" t="s">
        <v>0</v>
      </c>
      <c r="CL60" s="268">
        <v>18063</v>
      </c>
      <c r="CM60" s="268">
        <v>8990</v>
      </c>
      <c r="CN60" s="269" t="s">
        <v>0</v>
      </c>
      <c r="CO60" s="269" t="s">
        <v>0</v>
      </c>
      <c r="CP60" s="268">
        <v>9336</v>
      </c>
      <c r="CQ60" s="269" t="s">
        <v>0</v>
      </c>
      <c r="CR60" s="269" t="s">
        <v>0</v>
      </c>
      <c r="CS60" s="268">
        <v>41155</v>
      </c>
      <c r="CT60" s="269">
        <v>236</v>
      </c>
      <c r="CU60" s="269" t="s">
        <v>0</v>
      </c>
      <c r="CV60" s="269">
        <v>105</v>
      </c>
      <c r="CW60" s="275" t="s">
        <v>0</v>
      </c>
    </row>
    <row r="61" spans="2:101" ht="13.5" customHeight="1" x14ac:dyDescent="0.2">
      <c r="B61" s="10">
        <v>12</v>
      </c>
      <c r="C61" s="34" t="s">
        <v>24</v>
      </c>
      <c r="D61" s="35">
        <f>SUMIF($O$8:$O$34,C61,$Q$8:$Q$34)</f>
        <v>107</v>
      </c>
      <c r="E61" s="135">
        <f>SUMIF($O$8:$O$34,C61,$BH$8:$BH$34)</f>
        <v>425</v>
      </c>
      <c r="F61" s="156">
        <f t="shared" si="8"/>
        <v>297.19</v>
      </c>
      <c r="G61" s="9"/>
      <c r="H61" s="44">
        <v>12</v>
      </c>
      <c r="I61" s="34" t="s">
        <v>25</v>
      </c>
      <c r="J61" s="35">
        <f>SUMIF($O$47:$O$73,I61,$Q$47:$Q$73)</f>
        <v>282</v>
      </c>
      <c r="K61" s="135">
        <f>SUMIF($O$47:$O$73,I61,$BH$47:$BH$73)</f>
        <v>271</v>
      </c>
      <c r="L61" s="156">
        <f t="shared" si="9"/>
        <v>-3.9</v>
      </c>
      <c r="M61" s="2"/>
      <c r="O61" s="274" t="s">
        <v>29</v>
      </c>
      <c r="P61" s="268">
        <v>195830</v>
      </c>
      <c r="Q61" s="269" t="s">
        <v>0</v>
      </c>
      <c r="R61" s="269">
        <v>20</v>
      </c>
      <c r="S61" s="268">
        <v>1038</v>
      </c>
      <c r="T61" s="268">
        <v>4724</v>
      </c>
      <c r="U61" s="269" t="s">
        <v>0</v>
      </c>
      <c r="V61" s="269" t="s">
        <v>0</v>
      </c>
      <c r="W61" s="269" t="s">
        <v>0</v>
      </c>
      <c r="X61" s="269">
        <v>170</v>
      </c>
      <c r="Y61" s="268">
        <v>14743</v>
      </c>
      <c r="Z61" s="269" t="s">
        <v>0</v>
      </c>
      <c r="AA61" s="269" t="s">
        <v>0</v>
      </c>
      <c r="AB61" s="269" t="s">
        <v>0</v>
      </c>
      <c r="AC61" s="269" t="s">
        <v>0</v>
      </c>
      <c r="AD61" s="268">
        <v>175135</v>
      </c>
      <c r="AE61" s="269" t="s">
        <v>0</v>
      </c>
      <c r="AF61" s="269" t="s">
        <v>0</v>
      </c>
      <c r="AG61" s="269" t="s">
        <v>0</v>
      </c>
      <c r="AH61" s="269" t="s">
        <v>0</v>
      </c>
      <c r="AI61" s="269">
        <v>765</v>
      </c>
      <c r="AJ61" s="269" t="s">
        <v>0</v>
      </c>
      <c r="AK61" s="268">
        <v>2475</v>
      </c>
      <c r="AL61" s="269" t="s">
        <v>0</v>
      </c>
      <c r="AM61" s="269" t="s">
        <v>0</v>
      </c>
      <c r="AN61" s="269" t="s">
        <v>0</v>
      </c>
      <c r="AO61" s="269" t="s">
        <v>0</v>
      </c>
      <c r="AP61" s="269" t="s">
        <v>0</v>
      </c>
      <c r="AQ61" s="269" t="s">
        <v>0</v>
      </c>
      <c r="AR61" s="268">
        <v>57258</v>
      </c>
      <c r="AS61" s="269" t="s">
        <v>0</v>
      </c>
      <c r="AT61" s="269" t="s">
        <v>0</v>
      </c>
      <c r="AU61" s="268">
        <v>38660</v>
      </c>
      <c r="AV61" s="269">
        <v>361</v>
      </c>
      <c r="AW61" s="269" t="s">
        <v>0</v>
      </c>
      <c r="AX61" s="269" t="s">
        <v>0</v>
      </c>
      <c r="AY61" s="268">
        <v>49490</v>
      </c>
      <c r="AZ61" s="269" t="s">
        <v>0</v>
      </c>
      <c r="BA61" s="269" t="s">
        <v>0</v>
      </c>
      <c r="BB61" s="268">
        <v>25305</v>
      </c>
      <c r="BC61" s="269" t="s">
        <v>0</v>
      </c>
      <c r="BD61" s="269" t="s">
        <v>0</v>
      </c>
      <c r="BE61" s="269">
        <v>76</v>
      </c>
      <c r="BF61" s="269" t="s">
        <v>0</v>
      </c>
      <c r="BG61" s="268">
        <v>190715</v>
      </c>
      <c r="BH61" s="269" t="s">
        <v>0</v>
      </c>
      <c r="BI61" s="269">
        <v>20</v>
      </c>
      <c r="BJ61" s="269">
        <v>656</v>
      </c>
      <c r="BK61" s="268">
        <v>4514</v>
      </c>
      <c r="BL61" s="269" t="s">
        <v>0</v>
      </c>
      <c r="BM61" s="269" t="s">
        <v>0</v>
      </c>
      <c r="BN61" s="269" t="s">
        <v>0</v>
      </c>
      <c r="BO61" s="269">
        <v>120</v>
      </c>
      <c r="BP61" s="268">
        <v>13260</v>
      </c>
      <c r="BQ61" s="269" t="s">
        <v>0</v>
      </c>
      <c r="BR61" s="269" t="s">
        <v>0</v>
      </c>
      <c r="BS61" s="269" t="s">
        <v>0</v>
      </c>
      <c r="BT61" s="269" t="s">
        <v>0</v>
      </c>
      <c r="BU61" s="268">
        <v>172145</v>
      </c>
      <c r="BV61" s="269" t="s">
        <v>0</v>
      </c>
      <c r="BW61" s="269" t="s">
        <v>0</v>
      </c>
      <c r="BX61" s="269" t="s">
        <v>0</v>
      </c>
      <c r="BY61" s="269" t="s">
        <v>0</v>
      </c>
      <c r="BZ61" s="268">
        <v>1387</v>
      </c>
      <c r="CA61" s="269" t="s">
        <v>0</v>
      </c>
      <c r="CB61" s="268">
        <v>2758</v>
      </c>
      <c r="CC61" s="269" t="s">
        <v>0</v>
      </c>
      <c r="CD61" s="269" t="s">
        <v>0</v>
      </c>
      <c r="CE61" s="269" t="s">
        <v>0</v>
      </c>
      <c r="CF61" s="269" t="s">
        <v>0</v>
      </c>
      <c r="CG61" s="269" t="s">
        <v>0</v>
      </c>
      <c r="CH61" s="269" t="s">
        <v>0</v>
      </c>
      <c r="CI61" s="268">
        <v>61889</v>
      </c>
      <c r="CJ61" s="269" t="s">
        <v>0</v>
      </c>
      <c r="CK61" s="269" t="s">
        <v>0</v>
      </c>
      <c r="CL61" s="268">
        <v>37558</v>
      </c>
      <c r="CM61" s="269">
        <v>175</v>
      </c>
      <c r="CN61" s="269" t="s">
        <v>0</v>
      </c>
      <c r="CO61" s="269" t="s">
        <v>0</v>
      </c>
      <c r="CP61" s="268">
        <v>47442</v>
      </c>
      <c r="CQ61" s="269" t="s">
        <v>0</v>
      </c>
      <c r="CR61" s="269" t="s">
        <v>0</v>
      </c>
      <c r="CS61" s="268">
        <v>27610</v>
      </c>
      <c r="CT61" s="269" t="s">
        <v>0</v>
      </c>
      <c r="CU61" s="269" t="s">
        <v>0</v>
      </c>
      <c r="CV61" s="269">
        <v>7</v>
      </c>
      <c r="CW61" s="275" t="s">
        <v>0</v>
      </c>
    </row>
    <row r="62" spans="2:101" ht="13.5" customHeight="1" x14ac:dyDescent="0.2">
      <c r="B62" s="10">
        <v>13</v>
      </c>
      <c r="C62" s="34" t="s">
        <v>26</v>
      </c>
      <c r="D62" s="35">
        <f>SUMIF($O$8:$O$34,C62,$Q$8:$Q$34)</f>
        <v>228</v>
      </c>
      <c r="E62" s="135">
        <f>SUMIF($O$8:$O$34,C62,$BH$8:$BH$34)</f>
        <v>146</v>
      </c>
      <c r="F62" s="156">
        <f t="shared" si="8"/>
        <v>-35.96</v>
      </c>
      <c r="G62" s="9"/>
      <c r="H62" s="44">
        <v>13</v>
      </c>
      <c r="I62" s="34" t="s">
        <v>26</v>
      </c>
      <c r="J62" s="35">
        <f>SUMIF($O$47:$O$73,I62,$Q$47:$Q$73)</f>
        <v>243</v>
      </c>
      <c r="K62" s="135">
        <f>SUMIF($O$47:$O$73,I62,$BH$47:$BH$73)</f>
        <v>179</v>
      </c>
      <c r="L62" s="156">
        <f t="shared" si="9"/>
        <v>-26.33</v>
      </c>
      <c r="M62" s="2"/>
      <c r="O62" s="274" t="s">
        <v>30</v>
      </c>
      <c r="P62" s="268">
        <v>3362156</v>
      </c>
      <c r="Q62" s="268">
        <v>332636</v>
      </c>
      <c r="R62" s="268">
        <v>2340</v>
      </c>
      <c r="S62" s="268">
        <v>3541</v>
      </c>
      <c r="T62" s="268">
        <v>7540</v>
      </c>
      <c r="U62" s="269" t="s">
        <v>0</v>
      </c>
      <c r="V62" s="269" t="s">
        <v>0</v>
      </c>
      <c r="W62" s="269" t="s">
        <v>0</v>
      </c>
      <c r="X62" s="268">
        <v>308346</v>
      </c>
      <c r="Y62" s="268">
        <v>256474</v>
      </c>
      <c r="Z62" s="269">
        <v>344</v>
      </c>
      <c r="AA62" s="269" t="s">
        <v>0</v>
      </c>
      <c r="AB62" s="268">
        <v>74854</v>
      </c>
      <c r="AC62" s="268">
        <v>503126</v>
      </c>
      <c r="AD62" s="268">
        <v>311185</v>
      </c>
      <c r="AE62" s="268">
        <v>1440135</v>
      </c>
      <c r="AF62" s="268">
        <v>121135</v>
      </c>
      <c r="AG62" s="269">
        <v>500</v>
      </c>
      <c r="AH62" s="269" t="s">
        <v>0</v>
      </c>
      <c r="AI62" s="268">
        <v>5800</v>
      </c>
      <c r="AJ62" s="269">
        <v>745</v>
      </c>
      <c r="AK62" s="268">
        <v>75613</v>
      </c>
      <c r="AL62" s="268">
        <v>4180</v>
      </c>
      <c r="AM62" s="268">
        <v>1316</v>
      </c>
      <c r="AN62" s="268">
        <v>1280</v>
      </c>
      <c r="AO62" s="268">
        <v>513811</v>
      </c>
      <c r="AP62" s="268">
        <v>122210</v>
      </c>
      <c r="AQ62" s="268">
        <v>44885</v>
      </c>
      <c r="AR62" s="268">
        <v>104863</v>
      </c>
      <c r="AS62" s="268">
        <v>21434</v>
      </c>
      <c r="AT62" s="268">
        <v>9295</v>
      </c>
      <c r="AU62" s="268">
        <v>83221</v>
      </c>
      <c r="AV62" s="268">
        <v>3847</v>
      </c>
      <c r="AW62" s="268">
        <v>6736</v>
      </c>
      <c r="AX62" s="269" t="s">
        <v>0</v>
      </c>
      <c r="AY62" s="268">
        <v>62380</v>
      </c>
      <c r="AZ62" s="269">
        <v>43</v>
      </c>
      <c r="BA62" s="269" t="s">
        <v>0</v>
      </c>
      <c r="BB62" s="268">
        <v>195043</v>
      </c>
      <c r="BC62" s="268">
        <v>1847</v>
      </c>
      <c r="BD62" s="268">
        <v>191561</v>
      </c>
      <c r="BE62" s="268">
        <v>7103</v>
      </c>
      <c r="BF62" s="268">
        <v>2861</v>
      </c>
      <c r="BG62" s="268">
        <v>2985903</v>
      </c>
      <c r="BH62" s="268">
        <v>257190</v>
      </c>
      <c r="BI62" s="268">
        <v>1615</v>
      </c>
      <c r="BJ62" s="268">
        <v>3200</v>
      </c>
      <c r="BK62" s="268">
        <v>5220</v>
      </c>
      <c r="BL62" s="269" t="s">
        <v>0</v>
      </c>
      <c r="BM62" s="269" t="s">
        <v>0</v>
      </c>
      <c r="BN62" s="269" t="s">
        <v>0</v>
      </c>
      <c r="BO62" s="268">
        <v>175139</v>
      </c>
      <c r="BP62" s="268">
        <v>186090</v>
      </c>
      <c r="BQ62" s="269">
        <v>344</v>
      </c>
      <c r="BR62" s="269" t="s">
        <v>0</v>
      </c>
      <c r="BS62" s="268">
        <v>43000</v>
      </c>
      <c r="BT62" s="268">
        <v>446655</v>
      </c>
      <c r="BU62" s="268">
        <v>250000</v>
      </c>
      <c r="BV62" s="268">
        <v>1527000</v>
      </c>
      <c r="BW62" s="268">
        <v>89950</v>
      </c>
      <c r="BX62" s="269">
        <v>500</v>
      </c>
      <c r="BY62" s="269" t="s">
        <v>0</v>
      </c>
      <c r="BZ62" s="268">
        <v>7700</v>
      </c>
      <c r="CA62" s="269">
        <v>690</v>
      </c>
      <c r="CB62" s="268">
        <v>76000</v>
      </c>
      <c r="CC62" s="268">
        <v>2381</v>
      </c>
      <c r="CD62" s="268">
        <v>2845</v>
      </c>
      <c r="CE62" s="268">
        <v>1890</v>
      </c>
      <c r="CF62" s="268">
        <v>560050</v>
      </c>
      <c r="CG62" s="268">
        <v>124416</v>
      </c>
      <c r="CH62" s="268">
        <v>50776</v>
      </c>
      <c r="CI62" s="268">
        <v>121000</v>
      </c>
      <c r="CJ62" s="268">
        <v>22000</v>
      </c>
      <c r="CK62" s="268">
        <v>8560</v>
      </c>
      <c r="CL62" s="268">
        <v>75000</v>
      </c>
      <c r="CM62" s="268">
        <v>3000</v>
      </c>
      <c r="CN62" s="268">
        <v>6500</v>
      </c>
      <c r="CO62" s="269" t="s">
        <v>0</v>
      </c>
      <c r="CP62" s="268">
        <v>70950</v>
      </c>
      <c r="CQ62" s="269">
        <v>15</v>
      </c>
      <c r="CR62" s="269" t="s">
        <v>0</v>
      </c>
      <c r="CS62" s="268">
        <v>227000</v>
      </c>
      <c r="CT62" s="268">
        <v>1800</v>
      </c>
      <c r="CU62" s="268">
        <v>200000</v>
      </c>
      <c r="CV62" s="268">
        <v>4055</v>
      </c>
      <c r="CW62" s="276">
        <v>2519</v>
      </c>
    </row>
    <row r="63" spans="2:101" ht="13.5" customHeight="1" x14ac:dyDescent="0.2">
      <c r="B63" s="10">
        <v>14</v>
      </c>
      <c r="C63" s="34" t="s">
        <v>28</v>
      </c>
      <c r="D63" s="35">
        <f>SUMIF($O$8:$O$34,C63,$Q$8:$Q$34)</f>
        <v>39</v>
      </c>
      <c r="E63" s="135">
        <f>SUMIF($O$8:$O$34,C63,$BH$8:$BH$34)</f>
        <v>28</v>
      </c>
      <c r="F63" s="156">
        <f t="shared" si="8"/>
        <v>-28.2</v>
      </c>
      <c r="G63" s="9"/>
      <c r="H63" s="44">
        <v>14</v>
      </c>
      <c r="I63" s="34" t="s">
        <v>28</v>
      </c>
      <c r="J63" s="35">
        <f>SUMIF($O$47:$O$73,I63,$Q$47:$Q$73)</f>
        <v>80</v>
      </c>
      <c r="K63" s="135">
        <f>SUMIF($O$47:$O$73,I63,$BH$47:$BH$73)</f>
        <v>60</v>
      </c>
      <c r="L63" s="156">
        <f t="shared" si="9"/>
        <v>-25</v>
      </c>
      <c r="M63" s="2"/>
      <c r="O63" s="274" t="s">
        <v>31</v>
      </c>
      <c r="P63" s="268">
        <v>3252189</v>
      </c>
      <c r="Q63" s="268">
        <v>18690</v>
      </c>
      <c r="R63" s="268">
        <v>2671</v>
      </c>
      <c r="S63" s="269" t="s">
        <v>0</v>
      </c>
      <c r="T63" s="268">
        <v>11415</v>
      </c>
      <c r="U63" s="269">
        <v>450</v>
      </c>
      <c r="V63" s="269" t="s">
        <v>0</v>
      </c>
      <c r="W63" s="269" t="s">
        <v>0</v>
      </c>
      <c r="X63" s="268">
        <v>158315</v>
      </c>
      <c r="Y63" s="268">
        <v>114179</v>
      </c>
      <c r="Z63" s="268">
        <v>74264</v>
      </c>
      <c r="AA63" s="268">
        <v>14621</v>
      </c>
      <c r="AB63" s="269">
        <v>667</v>
      </c>
      <c r="AC63" s="268">
        <v>1024960</v>
      </c>
      <c r="AD63" s="268">
        <v>256492</v>
      </c>
      <c r="AE63" s="268">
        <v>1328641</v>
      </c>
      <c r="AF63" s="268">
        <v>164715</v>
      </c>
      <c r="AG63" s="268">
        <v>82109</v>
      </c>
      <c r="AH63" s="269" t="s">
        <v>0</v>
      </c>
      <c r="AI63" s="268">
        <v>8575</v>
      </c>
      <c r="AJ63" s="268">
        <v>2533</v>
      </c>
      <c r="AK63" s="268">
        <v>45601</v>
      </c>
      <c r="AL63" s="268">
        <v>17935</v>
      </c>
      <c r="AM63" s="268">
        <v>11672</v>
      </c>
      <c r="AN63" s="268">
        <v>9100</v>
      </c>
      <c r="AO63" s="269">
        <v>217</v>
      </c>
      <c r="AP63" s="268">
        <v>984217</v>
      </c>
      <c r="AQ63" s="268">
        <v>13375</v>
      </c>
      <c r="AR63" s="268">
        <v>917878</v>
      </c>
      <c r="AS63" s="269" t="s">
        <v>0</v>
      </c>
      <c r="AT63" s="268">
        <v>3323</v>
      </c>
      <c r="AU63" s="268">
        <v>2200</v>
      </c>
      <c r="AV63" s="269" t="s">
        <v>0</v>
      </c>
      <c r="AW63" s="269" t="s">
        <v>0</v>
      </c>
      <c r="AX63" s="269" t="s">
        <v>0</v>
      </c>
      <c r="AY63" s="268">
        <v>44071</v>
      </c>
      <c r="AZ63" s="269">
        <v>201</v>
      </c>
      <c r="BA63" s="269" t="s">
        <v>0</v>
      </c>
      <c r="BB63" s="268">
        <v>59459</v>
      </c>
      <c r="BC63" s="269">
        <v>19</v>
      </c>
      <c r="BD63" s="269" t="s">
        <v>0</v>
      </c>
      <c r="BE63" s="268">
        <v>9773</v>
      </c>
      <c r="BF63" s="269">
        <v>856</v>
      </c>
      <c r="BG63" s="268">
        <v>3325297</v>
      </c>
      <c r="BH63" s="268">
        <v>19669</v>
      </c>
      <c r="BI63" s="268">
        <v>2097</v>
      </c>
      <c r="BJ63" s="269" t="s">
        <v>0</v>
      </c>
      <c r="BK63" s="268">
        <v>7424</v>
      </c>
      <c r="BL63" s="269">
        <v>450</v>
      </c>
      <c r="BM63" s="269" t="s">
        <v>0</v>
      </c>
      <c r="BN63" s="269" t="s">
        <v>0</v>
      </c>
      <c r="BO63" s="268">
        <v>149575</v>
      </c>
      <c r="BP63" s="268">
        <v>118562</v>
      </c>
      <c r="BQ63" s="268">
        <v>71810</v>
      </c>
      <c r="BR63" s="268">
        <v>6990</v>
      </c>
      <c r="BS63" s="269">
        <v>227</v>
      </c>
      <c r="BT63" s="268">
        <v>848268</v>
      </c>
      <c r="BU63" s="268">
        <v>370994</v>
      </c>
      <c r="BV63" s="268">
        <v>1472224</v>
      </c>
      <c r="BW63" s="268">
        <v>175238</v>
      </c>
      <c r="BX63" s="268">
        <v>81769</v>
      </c>
      <c r="BY63" s="269" t="s">
        <v>0</v>
      </c>
      <c r="BZ63" s="268">
        <v>13169</v>
      </c>
      <c r="CA63" s="268">
        <v>3212</v>
      </c>
      <c r="CB63" s="268">
        <v>48962</v>
      </c>
      <c r="CC63" s="268">
        <v>17932</v>
      </c>
      <c r="CD63" s="268">
        <v>12674</v>
      </c>
      <c r="CE63" s="268">
        <v>8825</v>
      </c>
      <c r="CF63" s="269">
        <v>250</v>
      </c>
      <c r="CG63" s="268">
        <v>1198809</v>
      </c>
      <c r="CH63" s="268">
        <v>13773</v>
      </c>
      <c r="CI63" s="268">
        <v>1077785</v>
      </c>
      <c r="CJ63" s="269" t="s">
        <v>0</v>
      </c>
      <c r="CK63" s="268">
        <v>3321</v>
      </c>
      <c r="CL63" s="268">
        <v>2173</v>
      </c>
      <c r="CM63" s="269" t="s">
        <v>0</v>
      </c>
      <c r="CN63" s="269" t="s">
        <v>0</v>
      </c>
      <c r="CO63" s="269" t="s">
        <v>0</v>
      </c>
      <c r="CP63" s="268">
        <v>47129</v>
      </c>
      <c r="CQ63" s="269">
        <v>215</v>
      </c>
      <c r="CR63" s="269" t="s">
        <v>0</v>
      </c>
      <c r="CS63" s="268">
        <v>85019</v>
      </c>
      <c r="CT63" s="269">
        <v>19</v>
      </c>
      <c r="CU63" s="269" t="s">
        <v>0</v>
      </c>
      <c r="CV63" s="268">
        <v>10304</v>
      </c>
      <c r="CW63" s="275">
        <v>911</v>
      </c>
    </row>
    <row r="64" spans="2:101" ht="13.5" customHeight="1" x14ac:dyDescent="0.2">
      <c r="B64" s="10">
        <v>15</v>
      </c>
      <c r="C64" s="34" t="s">
        <v>27</v>
      </c>
      <c r="D64" s="35">
        <f>SUMIF($O$8:$O$34,C64,$Q$8:$Q$34)</f>
        <v>56</v>
      </c>
      <c r="E64" s="135">
        <f>SUMIF($O$8:$O$34,C64,$BH$8:$BH$34)</f>
        <v>15</v>
      </c>
      <c r="F64" s="156">
        <f t="shared" si="8"/>
        <v>-73.209999999999994</v>
      </c>
      <c r="G64" s="9"/>
      <c r="H64" s="44">
        <v>15</v>
      </c>
      <c r="I64" s="34" t="s">
        <v>27</v>
      </c>
      <c r="J64" s="35">
        <f>SUMIF($O$47:$O$73,I64,$Q$47:$Q$73)</f>
        <v>90</v>
      </c>
      <c r="K64" s="135">
        <f>SUMIF($O$47:$O$73,I64,$BH$47:$BH$73)</f>
        <v>38</v>
      </c>
      <c r="L64" s="156">
        <f t="shared" si="9"/>
        <v>-57.77</v>
      </c>
      <c r="M64" s="2"/>
      <c r="O64" s="274" t="s">
        <v>32</v>
      </c>
      <c r="P64" s="268">
        <v>33374</v>
      </c>
      <c r="Q64" s="269" t="s">
        <v>0</v>
      </c>
      <c r="R64" s="269" t="s">
        <v>0</v>
      </c>
      <c r="S64" s="269" t="s">
        <v>0</v>
      </c>
      <c r="T64" s="269">
        <v>349</v>
      </c>
      <c r="U64" s="269" t="s">
        <v>0</v>
      </c>
      <c r="V64" s="269" t="s">
        <v>0</v>
      </c>
      <c r="W64" s="269" t="s">
        <v>0</v>
      </c>
      <c r="X64" s="268">
        <v>5898</v>
      </c>
      <c r="Y64" s="268">
        <v>8179</v>
      </c>
      <c r="Z64" s="269">
        <v>306</v>
      </c>
      <c r="AA64" s="269" t="s">
        <v>0</v>
      </c>
      <c r="AB64" s="269" t="s">
        <v>0</v>
      </c>
      <c r="AC64" s="268">
        <v>17357</v>
      </c>
      <c r="AD64" s="268">
        <v>1285</v>
      </c>
      <c r="AE64" s="269" t="s">
        <v>0</v>
      </c>
      <c r="AF64" s="269" t="s">
        <v>0</v>
      </c>
      <c r="AG64" s="269" t="s">
        <v>0</v>
      </c>
      <c r="AH64" s="269" t="s">
        <v>0</v>
      </c>
      <c r="AI64" s="268">
        <v>2448</v>
      </c>
      <c r="AJ64" s="269">
        <v>75</v>
      </c>
      <c r="AK64" s="268">
        <v>23638</v>
      </c>
      <c r="AL64" s="269">
        <v>316</v>
      </c>
      <c r="AM64" s="269">
        <v>85</v>
      </c>
      <c r="AN64" s="269" t="s">
        <v>0</v>
      </c>
      <c r="AO64" s="268">
        <v>22265</v>
      </c>
      <c r="AP64" s="268">
        <v>153064</v>
      </c>
      <c r="AQ64" s="268">
        <v>290135</v>
      </c>
      <c r="AR64" s="268">
        <v>76683</v>
      </c>
      <c r="AS64" s="269" t="s">
        <v>0</v>
      </c>
      <c r="AT64" s="269">
        <v>346</v>
      </c>
      <c r="AU64" s="268">
        <v>10198</v>
      </c>
      <c r="AV64" s="269" t="s">
        <v>0</v>
      </c>
      <c r="AW64" s="269" t="s">
        <v>0</v>
      </c>
      <c r="AX64" s="269" t="s">
        <v>0</v>
      </c>
      <c r="AY64" s="268">
        <v>1201</v>
      </c>
      <c r="AZ64" s="269" t="s">
        <v>0</v>
      </c>
      <c r="BA64" s="269" t="s">
        <v>0</v>
      </c>
      <c r="BB64" s="268">
        <v>8690</v>
      </c>
      <c r="BC64" s="268">
        <v>4004</v>
      </c>
      <c r="BD64" s="269" t="s">
        <v>0</v>
      </c>
      <c r="BE64" s="268">
        <v>2508</v>
      </c>
      <c r="BF64" s="269">
        <v>148</v>
      </c>
      <c r="BG64" s="268">
        <v>24006</v>
      </c>
      <c r="BH64" s="269" t="s">
        <v>0</v>
      </c>
      <c r="BI64" s="269" t="s">
        <v>0</v>
      </c>
      <c r="BJ64" s="269" t="s">
        <v>0</v>
      </c>
      <c r="BK64" s="269">
        <v>198</v>
      </c>
      <c r="BL64" s="269" t="s">
        <v>0</v>
      </c>
      <c r="BM64" s="269" t="s">
        <v>0</v>
      </c>
      <c r="BN64" s="269" t="s">
        <v>0</v>
      </c>
      <c r="BO64" s="268">
        <v>4938</v>
      </c>
      <c r="BP64" s="268">
        <v>5251</v>
      </c>
      <c r="BQ64" s="269">
        <v>314</v>
      </c>
      <c r="BR64" s="269" t="s">
        <v>0</v>
      </c>
      <c r="BS64" s="269" t="s">
        <v>0</v>
      </c>
      <c r="BT64" s="268">
        <v>12608</v>
      </c>
      <c r="BU64" s="269">
        <v>697</v>
      </c>
      <c r="BV64" s="269" t="s">
        <v>0</v>
      </c>
      <c r="BW64" s="269" t="s">
        <v>0</v>
      </c>
      <c r="BX64" s="269" t="s">
        <v>0</v>
      </c>
      <c r="BY64" s="269" t="s">
        <v>0</v>
      </c>
      <c r="BZ64" s="268">
        <v>4619</v>
      </c>
      <c r="CA64" s="269">
        <v>72</v>
      </c>
      <c r="CB64" s="268">
        <v>25809</v>
      </c>
      <c r="CC64" s="269">
        <v>219</v>
      </c>
      <c r="CD64" s="269">
        <v>36</v>
      </c>
      <c r="CE64" s="269" t="s">
        <v>0</v>
      </c>
      <c r="CF64" s="268">
        <v>23881</v>
      </c>
      <c r="CG64" s="268">
        <v>169805</v>
      </c>
      <c r="CH64" s="268">
        <v>339506</v>
      </c>
      <c r="CI64" s="268">
        <v>73051</v>
      </c>
      <c r="CJ64" s="269" t="s">
        <v>0</v>
      </c>
      <c r="CK64" s="269">
        <v>406</v>
      </c>
      <c r="CL64" s="268">
        <v>10408</v>
      </c>
      <c r="CM64" s="269" t="s">
        <v>0</v>
      </c>
      <c r="CN64" s="269" t="s">
        <v>0</v>
      </c>
      <c r="CO64" s="269" t="s">
        <v>0</v>
      </c>
      <c r="CP64" s="268">
        <v>1599</v>
      </c>
      <c r="CQ64" s="269" t="s">
        <v>0</v>
      </c>
      <c r="CR64" s="269" t="s">
        <v>0</v>
      </c>
      <c r="CS64" s="268">
        <v>8847</v>
      </c>
      <c r="CT64" s="268">
        <v>11370</v>
      </c>
      <c r="CU64" s="269" t="s">
        <v>0</v>
      </c>
      <c r="CV64" s="268">
        <v>2528</v>
      </c>
      <c r="CW64" s="275">
        <v>180</v>
      </c>
    </row>
    <row r="65" spans="2:101" ht="13.5" customHeight="1" x14ac:dyDescent="0.2">
      <c r="B65" s="10">
        <v>16</v>
      </c>
      <c r="C65" s="34" t="s">
        <v>29</v>
      </c>
      <c r="D65" s="35">
        <f>SUMIF($O$8:$O$34,C65,$Q$8:$Q$34)</f>
        <v>0</v>
      </c>
      <c r="E65" s="135">
        <f>SUMIF($O$8:$O$34,C65,$BH$8:$BH$34)</f>
        <v>0</v>
      </c>
      <c r="F65" s="156">
        <f t="shared" si="8"/>
        <v>0</v>
      </c>
      <c r="G65" s="9"/>
      <c r="H65" s="44">
        <v>16</v>
      </c>
      <c r="I65" s="34" t="s">
        <v>29</v>
      </c>
      <c r="J65" s="35">
        <f>SUMIF($O$47:$O$73,I65,$Q$47:$Q$73)</f>
        <v>0</v>
      </c>
      <c r="K65" s="135">
        <f>SUMIF($O$47:$O$73,I65,$BH$47:$BH$73)</f>
        <v>0</v>
      </c>
      <c r="L65" s="156">
        <f t="shared" si="9"/>
        <v>0</v>
      </c>
      <c r="M65" s="2"/>
      <c r="O65" s="274" t="s">
        <v>33</v>
      </c>
      <c r="P65" s="268">
        <v>4501</v>
      </c>
      <c r="Q65" s="269" t="s">
        <v>0</v>
      </c>
      <c r="R65" s="269" t="s">
        <v>0</v>
      </c>
      <c r="S65" s="269" t="s">
        <v>0</v>
      </c>
      <c r="T65" s="269">
        <v>354</v>
      </c>
      <c r="U65" s="269" t="s">
        <v>0</v>
      </c>
      <c r="V65" s="269" t="s">
        <v>0</v>
      </c>
      <c r="W65" s="269" t="s">
        <v>0</v>
      </c>
      <c r="X65" s="269">
        <v>717</v>
      </c>
      <c r="Y65" s="269">
        <v>990</v>
      </c>
      <c r="Z65" s="269" t="s">
        <v>0</v>
      </c>
      <c r="AA65" s="269" t="s">
        <v>0</v>
      </c>
      <c r="AB65" s="269" t="s">
        <v>0</v>
      </c>
      <c r="AC65" s="268">
        <v>2197</v>
      </c>
      <c r="AD65" s="269">
        <v>243</v>
      </c>
      <c r="AE65" s="269" t="s">
        <v>0</v>
      </c>
      <c r="AF65" s="269" t="s">
        <v>0</v>
      </c>
      <c r="AG65" s="269" t="s">
        <v>0</v>
      </c>
      <c r="AH65" s="269" t="s">
        <v>0</v>
      </c>
      <c r="AI65" s="268">
        <v>3614</v>
      </c>
      <c r="AJ65" s="269" t="s">
        <v>0</v>
      </c>
      <c r="AK65" s="268">
        <v>20124</v>
      </c>
      <c r="AL65" s="269">
        <v>24</v>
      </c>
      <c r="AM65" s="269">
        <v>15</v>
      </c>
      <c r="AN65" s="269" t="s">
        <v>0</v>
      </c>
      <c r="AO65" s="269" t="s">
        <v>0</v>
      </c>
      <c r="AP65" s="268">
        <v>14341</v>
      </c>
      <c r="AQ65" s="269" t="s">
        <v>0</v>
      </c>
      <c r="AR65" s="268">
        <v>79388</v>
      </c>
      <c r="AS65" s="269" t="s">
        <v>0</v>
      </c>
      <c r="AT65" s="269" t="s">
        <v>0</v>
      </c>
      <c r="AU65" s="268">
        <v>3378</v>
      </c>
      <c r="AV65" s="269" t="s">
        <v>0</v>
      </c>
      <c r="AW65" s="269" t="s">
        <v>0</v>
      </c>
      <c r="AX65" s="269" t="s">
        <v>0</v>
      </c>
      <c r="AY65" s="268">
        <v>5876</v>
      </c>
      <c r="AZ65" s="269" t="s">
        <v>0</v>
      </c>
      <c r="BA65" s="269" t="s">
        <v>0</v>
      </c>
      <c r="BB65" s="268">
        <v>11132</v>
      </c>
      <c r="BC65" s="269" t="s">
        <v>0</v>
      </c>
      <c r="BD65" s="269" t="s">
        <v>0</v>
      </c>
      <c r="BE65" s="268">
        <v>2532</v>
      </c>
      <c r="BF65" s="269">
        <v>7</v>
      </c>
      <c r="BG65" s="268">
        <v>4822</v>
      </c>
      <c r="BH65" s="269" t="s">
        <v>0</v>
      </c>
      <c r="BI65" s="269" t="s">
        <v>0</v>
      </c>
      <c r="BJ65" s="269" t="s">
        <v>0</v>
      </c>
      <c r="BK65" s="269">
        <v>253</v>
      </c>
      <c r="BL65" s="269" t="s">
        <v>0</v>
      </c>
      <c r="BM65" s="269" t="s">
        <v>0</v>
      </c>
      <c r="BN65" s="269" t="s">
        <v>0</v>
      </c>
      <c r="BO65" s="269">
        <v>834</v>
      </c>
      <c r="BP65" s="269">
        <v>896</v>
      </c>
      <c r="BQ65" s="269" t="s">
        <v>0</v>
      </c>
      <c r="BR65" s="269" t="s">
        <v>0</v>
      </c>
      <c r="BS65" s="269" t="s">
        <v>0</v>
      </c>
      <c r="BT65" s="268">
        <v>2402</v>
      </c>
      <c r="BU65" s="269">
        <v>437</v>
      </c>
      <c r="BV65" s="269" t="s">
        <v>0</v>
      </c>
      <c r="BW65" s="269" t="s">
        <v>0</v>
      </c>
      <c r="BX65" s="269" t="s">
        <v>0</v>
      </c>
      <c r="BY65" s="269" t="s">
        <v>0</v>
      </c>
      <c r="BZ65" s="268">
        <v>3627</v>
      </c>
      <c r="CA65" s="269" t="s">
        <v>0</v>
      </c>
      <c r="CB65" s="268">
        <v>21064</v>
      </c>
      <c r="CC65" s="269">
        <v>25</v>
      </c>
      <c r="CD65" s="269">
        <v>10</v>
      </c>
      <c r="CE65" s="269" t="s">
        <v>0</v>
      </c>
      <c r="CF65" s="269" t="s">
        <v>0</v>
      </c>
      <c r="CG65" s="268">
        <v>12632</v>
      </c>
      <c r="CH65" s="269" t="s">
        <v>0</v>
      </c>
      <c r="CI65" s="268">
        <v>55426</v>
      </c>
      <c r="CJ65" s="269" t="s">
        <v>0</v>
      </c>
      <c r="CK65" s="269" t="s">
        <v>0</v>
      </c>
      <c r="CL65" s="268">
        <v>3166</v>
      </c>
      <c r="CM65" s="269" t="s">
        <v>0</v>
      </c>
      <c r="CN65" s="269" t="s">
        <v>0</v>
      </c>
      <c r="CO65" s="269" t="s">
        <v>0</v>
      </c>
      <c r="CP65" s="268">
        <v>4125</v>
      </c>
      <c r="CQ65" s="269" t="s">
        <v>0</v>
      </c>
      <c r="CR65" s="269" t="s">
        <v>0</v>
      </c>
      <c r="CS65" s="268">
        <v>11875</v>
      </c>
      <c r="CT65" s="269" t="s">
        <v>0</v>
      </c>
      <c r="CU65" s="269" t="s">
        <v>0</v>
      </c>
      <c r="CV65" s="268">
        <v>2573</v>
      </c>
      <c r="CW65" s="275">
        <v>7</v>
      </c>
    </row>
    <row r="66" spans="2:101" ht="13.5" customHeight="1" x14ac:dyDescent="0.2">
      <c r="B66" s="10">
        <v>17</v>
      </c>
      <c r="C66" s="34" t="s">
        <v>35</v>
      </c>
      <c r="D66" s="35">
        <f>SUMIF($O$8:$O$34,C66,$Q$8:$Q$34)</f>
        <v>0</v>
      </c>
      <c r="E66" s="135">
        <f>SUMIF($O$8:$O$34,C66,$BH$8:$BH$34)</f>
        <v>0</v>
      </c>
      <c r="F66" s="156">
        <f>IF(E66=0,0,TRUNC(((E66/D66)-1)*100,2))</f>
        <v>0</v>
      </c>
      <c r="G66" s="9"/>
      <c r="H66" s="44">
        <v>17</v>
      </c>
      <c r="I66" s="34" t="s">
        <v>35</v>
      </c>
      <c r="J66" s="35">
        <f>SUMIF($O$47:$O$73,I66,$Q$47:$Q$73)</f>
        <v>0</v>
      </c>
      <c r="K66" s="135">
        <f>SUMIF($O$47:$O$73,I66,$BH$47:$BH$73)</f>
        <v>0</v>
      </c>
      <c r="L66" s="156">
        <f>IF(K66=0,0,TRUNC(((K66/J66)-1)*100,2))</f>
        <v>0</v>
      </c>
      <c r="M66" s="2"/>
      <c r="O66" s="274" t="s">
        <v>34</v>
      </c>
      <c r="P66" s="268">
        <v>1979513</v>
      </c>
      <c r="Q66" s="268">
        <v>4355</v>
      </c>
      <c r="R66" s="268">
        <v>120908</v>
      </c>
      <c r="S66" s="268">
        <v>6731</v>
      </c>
      <c r="T66" s="268">
        <v>12199</v>
      </c>
      <c r="U66" s="268">
        <v>12796</v>
      </c>
      <c r="V66" s="269" t="s">
        <v>0</v>
      </c>
      <c r="W66" s="268">
        <v>1000</v>
      </c>
      <c r="X66" s="268">
        <v>44343</v>
      </c>
      <c r="Y66" s="268">
        <v>23966</v>
      </c>
      <c r="Z66" s="268">
        <v>26425</v>
      </c>
      <c r="AA66" s="268">
        <v>1187</v>
      </c>
      <c r="AB66" s="269">
        <v>2</v>
      </c>
      <c r="AC66" s="268">
        <v>437954</v>
      </c>
      <c r="AD66" s="268">
        <v>370420</v>
      </c>
      <c r="AE66" s="268">
        <v>792081</v>
      </c>
      <c r="AF66" s="268">
        <v>20039</v>
      </c>
      <c r="AG66" s="268">
        <v>101357</v>
      </c>
      <c r="AH66" s="268">
        <v>3750</v>
      </c>
      <c r="AI66" s="268">
        <v>3657</v>
      </c>
      <c r="AJ66" s="269">
        <v>13</v>
      </c>
      <c r="AK66" s="268">
        <v>49486</v>
      </c>
      <c r="AL66" s="268">
        <v>7566</v>
      </c>
      <c r="AM66" s="268">
        <v>8878</v>
      </c>
      <c r="AN66" s="268">
        <v>8590</v>
      </c>
      <c r="AO66" s="269" t="s">
        <v>0</v>
      </c>
      <c r="AP66" s="268">
        <v>201540</v>
      </c>
      <c r="AQ66" s="269">
        <v>30</v>
      </c>
      <c r="AR66" s="268">
        <v>5576838</v>
      </c>
      <c r="AS66" s="269" t="s">
        <v>0</v>
      </c>
      <c r="AT66" s="268">
        <v>5148</v>
      </c>
      <c r="AU66" s="268">
        <v>2028</v>
      </c>
      <c r="AV66" s="269">
        <v>25</v>
      </c>
      <c r="AW66" s="269" t="s">
        <v>0</v>
      </c>
      <c r="AX66" s="269" t="s">
        <v>0</v>
      </c>
      <c r="AY66" s="268">
        <v>412861</v>
      </c>
      <c r="AZ66" s="269">
        <v>170</v>
      </c>
      <c r="BA66" s="269" t="s">
        <v>0</v>
      </c>
      <c r="BB66" s="268">
        <v>50110</v>
      </c>
      <c r="BC66" s="269" t="s">
        <v>0</v>
      </c>
      <c r="BD66" s="269" t="s">
        <v>0</v>
      </c>
      <c r="BE66" s="268">
        <v>14967</v>
      </c>
      <c r="BF66" s="268">
        <v>7803</v>
      </c>
      <c r="BG66" s="268">
        <v>2059213</v>
      </c>
      <c r="BH66" s="268">
        <v>4530</v>
      </c>
      <c r="BI66" s="268">
        <v>111590</v>
      </c>
      <c r="BJ66" s="268">
        <v>5100</v>
      </c>
      <c r="BK66" s="268">
        <v>12184</v>
      </c>
      <c r="BL66" s="268">
        <v>13080</v>
      </c>
      <c r="BM66" s="269" t="s">
        <v>0</v>
      </c>
      <c r="BN66" s="268">
        <v>1000</v>
      </c>
      <c r="BO66" s="268">
        <v>50000</v>
      </c>
      <c r="BP66" s="268">
        <v>15300</v>
      </c>
      <c r="BQ66" s="268">
        <v>25668</v>
      </c>
      <c r="BR66" s="268">
        <v>1162</v>
      </c>
      <c r="BS66" s="269">
        <v>2</v>
      </c>
      <c r="BT66" s="268">
        <v>441560</v>
      </c>
      <c r="BU66" s="268">
        <v>443300</v>
      </c>
      <c r="BV66" s="268">
        <v>828513</v>
      </c>
      <c r="BW66" s="268">
        <v>23704</v>
      </c>
      <c r="BX66" s="268">
        <v>76800</v>
      </c>
      <c r="BY66" s="268">
        <v>5720</v>
      </c>
      <c r="BZ66" s="268">
        <v>5520</v>
      </c>
      <c r="CA66" s="269">
        <v>14</v>
      </c>
      <c r="CB66" s="268">
        <v>56396</v>
      </c>
      <c r="CC66" s="268">
        <v>7560</v>
      </c>
      <c r="CD66" s="268">
        <v>7036</v>
      </c>
      <c r="CE66" s="268">
        <v>11346</v>
      </c>
      <c r="CF66" s="269" t="s">
        <v>0</v>
      </c>
      <c r="CG66" s="268">
        <v>211632</v>
      </c>
      <c r="CH66" s="269">
        <v>30</v>
      </c>
      <c r="CI66" s="268">
        <v>5416970</v>
      </c>
      <c r="CJ66" s="269" t="s">
        <v>0</v>
      </c>
      <c r="CK66" s="268">
        <v>5076</v>
      </c>
      <c r="CL66" s="268">
        <v>1845</v>
      </c>
      <c r="CM66" s="269">
        <v>25</v>
      </c>
      <c r="CN66" s="269" t="s">
        <v>0</v>
      </c>
      <c r="CO66" s="269" t="s">
        <v>0</v>
      </c>
      <c r="CP66" s="268">
        <v>471200</v>
      </c>
      <c r="CQ66" s="269">
        <v>173</v>
      </c>
      <c r="CR66" s="269" t="s">
        <v>0</v>
      </c>
      <c r="CS66" s="268">
        <v>67896</v>
      </c>
      <c r="CT66" s="269" t="s">
        <v>0</v>
      </c>
      <c r="CU66" s="269" t="s">
        <v>0</v>
      </c>
      <c r="CV66" s="268">
        <v>11259</v>
      </c>
      <c r="CW66" s="276">
        <v>7939</v>
      </c>
    </row>
    <row r="67" spans="2:101" ht="13.5" customHeight="1" x14ac:dyDescent="0.2">
      <c r="B67" s="10">
        <v>18</v>
      </c>
      <c r="C67" s="34" t="s">
        <v>37</v>
      </c>
      <c r="D67" s="35">
        <f>SUMIF($O$8:$O$34,C67,$Q$8:$Q$34)</f>
        <v>0</v>
      </c>
      <c r="E67" s="135">
        <f>SUMIF($O$8:$O$34,C67,$BH$8:$BH$34)</f>
        <v>0</v>
      </c>
      <c r="F67" s="156">
        <f t="shared" ref="F67:F76" si="10">IF(E67=0,0,TRUNC(((E67/D67)-1)*100,2))</f>
        <v>0</v>
      </c>
      <c r="G67" s="9"/>
      <c r="H67" s="44">
        <v>18</v>
      </c>
      <c r="I67" s="34" t="s">
        <v>37</v>
      </c>
      <c r="J67" s="35">
        <f>SUMIF($O$47:$O$73,I67,$Q$47:$Q$73)</f>
        <v>0</v>
      </c>
      <c r="K67" s="135">
        <f>SUMIF($O$47:$O$73,I67,$BH$47:$BH$73)</f>
        <v>0</v>
      </c>
      <c r="L67" s="156">
        <f t="shared" ref="L67:L76" si="11">IF(K67=0,0,TRUNC(((K67/J67)-1)*100,2))</f>
        <v>0</v>
      </c>
      <c r="M67" s="2"/>
      <c r="O67" s="274" t="s">
        <v>35</v>
      </c>
      <c r="P67" s="268">
        <v>9585204</v>
      </c>
      <c r="Q67" s="269" t="s">
        <v>0</v>
      </c>
      <c r="R67" s="268">
        <v>2213</v>
      </c>
      <c r="S67" s="269">
        <v>3</v>
      </c>
      <c r="T67" s="268">
        <v>27609</v>
      </c>
      <c r="U67" s="268">
        <v>73222</v>
      </c>
      <c r="V67" s="268">
        <v>1380</v>
      </c>
      <c r="W67" s="268">
        <v>48125</v>
      </c>
      <c r="X67" s="268">
        <v>206783</v>
      </c>
      <c r="Y67" s="268">
        <v>210969</v>
      </c>
      <c r="Z67" s="268">
        <v>4341</v>
      </c>
      <c r="AA67" s="269">
        <v>133</v>
      </c>
      <c r="AB67" s="269" t="s">
        <v>0</v>
      </c>
      <c r="AC67" s="268">
        <v>548097</v>
      </c>
      <c r="AD67" s="268">
        <v>1891303</v>
      </c>
      <c r="AE67" s="268">
        <v>5240402</v>
      </c>
      <c r="AF67" s="269">
        <v>280</v>
      </c>
      <c r="AG67" s="268">
        <v>1320984</v>
      </c>
      <c r="AH67" s="268">
        <v>9360</v>
      </c>
      <c r="AI67" s="269">
        <v>430</v>
      </c>
      <c r="AJ67" s="269">
        <v>384</v>
      </c>
      <c r="AK67" s="268">
        <v>8275</v>
      </c>
      <c r="AL67" s="268">
        <v>18033</v>
      </c>
      <c r="AM67" s="268">
        <v>12684</v>
      </c>
      <c r="AN67" s="269" t="s">
        <v>0</v>
      </c>
      <c r="AO67" s="269" t="s">
        <v>0</v>
      </c>
      <c r="AP67" s="268">
        <v>44747</v>
      </c>
      <c r="AQ67" s="269" t="s">
        <v>0</v>
      </c>
      <c r="AR67" s="268">
        <v>626375</v>
      </c>
      <c r="AS67" s="269" t="s">
        <v>0</v>
      </c>
      <c r="AT67" s="268">
        <v>5259</v>
      </c>
      <c r="AU67" s="269">
        <v>248</v>
      </c>
      <c r="AV67" s="268">
        <v>76047</v>
      </c>
      <c r="AW67" s="269" t="s">
        <v>0</v>
      </c>
      <c r="AX67" s="269" t="s">
        <v>0</v>
      </c>
      <c r="AY67" s="268">
        <v>25197</v>
      </c>
      <c r="AZ67" s="268">
        <v>1471</v>
      </c>
      <c r="BA67" s="269" t="s">
        <v>0</v>
      </c>
      <c r="BB67" s="268">
        <v>159556</v>
      </c>
      <c r="BC67" s="269">
        <v>1</v>
      </c>
      <c r="BD67" s="269" t="s">
        <v>0</v>
      </c>
      <c r="BE67" s="268">
        <v>3746</v>
      </c>
      <c r="BF67" s="268">
        <v>4465</v>
      </c>
      <c r="BG67" s="268">
        <v>9679898</v>
      </c>
      <c r="BH67" s="269" t="s">
        <v>0</v>
      </c>
      <c r="BI67" s="268">
        <v>1879</v>
      </c>
      <c r="BJ67" s="269">
        <v>3</v>
      </c>
      <c r="BK67" s="268">
        <v>26107</v>
      </c>
      <c r="BL67" s="268">
        <v>59453</v>
      </c>
      <c r="BM67" s="268">
        <v>1060</v>
      </c>
      <c r="BN67" s="268">
        <v>42519</v>
      </c>
      <c r="BO67" s="268">
        <v>184854</v>
      </c>
      <c r="BP67" s="268">
        <v>204177</v>
      </c>
      <c r="BQ67" s="268">
        <v>4663</v>
      </c>
      <c r="BR67" s="269">
        <v>133</v>
      </c>
      <c r="BS67" s="269" t="s">
        <v>0</v>
      </c>
      <c r="BT67" s="268">
        <v>413440</v>
      </c>
      <c r="BU67" s="268">
        <v>2197893</v>
      </c>
      <c r="BV67" s="268">
        <v>5449462</v>
      </c>
      <c r="BW67" s="269">
        <v>280</v>
      </c>
      <c r="BX67" s="268">
        <v>1084294</v>
      </c>
      <c r="BY67" s="268">
        <v>9681</v>
      </c>
      <c r="BZ67" s="269">
        <v>430</v>
      </c>
      <c r="CA67" s="269">
        <v>370</v>
      </c>
      <c r="CB67" s="268">
        <v>11000</v>
      </c>
      <c r="CC67" s="268">
        <v>17206</v>
      </c>
      <c r="CD67" s="268">
        <v>13194</v>
      </c>
      <c r="CE67" s="269" t="s">
        <v>0</v>
      </c>
      <c r="CF67" s="269" t="s">
        <v>0</v>
      </c>
      <c r="CG67" s="268">
        <v>46160</v>
      </c>
      <c r="CH67" s="269" t="s">
        <v>0</v>
      </c>
      <c r="CI67" s="268">
        <v>663911</v>
      </c>
      <c r="CJ67" s="269" t="s">
        <v>0</v>
      </c>
      <c r="CK67" s="268">
        <v>5268</v>
      </c>
      <c r="CL67" s="269">
        <v>248</v>
      </c>
      <c r="CM67" s="268">
        <v>73696</v>
      </c>
      <c r="CN67" s="269" t="s">
        <v>0</v>
      </c>
      <c r="CO67" s="269" t="s">
        <v>0</v>
      </c>
      <c r="CP67" s="268">
        <v>21600</v>
      </c>
      <c r="CQ67" s="268">
        <v>1490</v>
      </c>
      <c r="CR67" s="269" t="s">
        <v>0</v>
      </c>
      <c r="CS67" s="268">
        <v>133220</v>
      </c>
      <c r="CT67" s="269">
        <v>1</v>
      </c>
      <c r="CU67" s="269" t="s">
        <v>0</v>
      </c>
      <c r="CV67" s="268">
        <v>4387</v>
      </c>
      <c r="CW67" s="276">
        <v>4500</v>
      </c>
    </row>
    <row r="68" spans="2:101" ht="13.5" customHeight="1" x14ac:dyDescent="0.2">
      <c r="B68" s="10">
        <v>19</v>
      </c>
      <c r="C68" s="34" t="s">
        <v>36</v>
      </c>
      <c r="D68" s="35">
        <f>SUMIF($O$8:$O$34,C68,$Q$8:$Q$34)</f>
        <v>0</v>
      </c>
      <c r="E68" s="135">
        <f>SUMIF($O$8:$O$34,C68,$BH$8:$BH$34)</f>
        <v>0</v>
      </c>
      <c r="F68" s="156">
        <f t="shared" si="10"/>
        <v>0</v>
      </c>
      <c r="G68" s="9"/>
      <c r="H68" s="44">
        <v>19</v>
      </c>
      <c r="I68" s="34" t="s">
        <v>36</v>
      </c>
      <c r="J68" s="35">
        <f>SUMIF($O$47:$O$73,I68,$Q$47:$Q$73)</f>
        <v>0</v>
      </c>
      <c r="K68" s="135">
        <f>SUMIF($O$47:$O$73,I68,$BH$47:$BH$73)</f>
        <v>0</v>
      </c>
      <c r="L68" s="156">
        <f t="shared" si="11"/>
        <v>0</v>
      </c>
      <c r="M68" s="2"/>
      <c r="O68" s="274" t="s">
        <v>36</v>
      </c>
      <c r="P68" s="268">
        <v>1334480</v>
      </c>
      <c r="Q68" s="269" t="s">
        <v>0</v>
      </c>
      <c r="R68" s="269">
        <v>112</v>
      </c>
      <c r="S68" s="269" t="s">
        <v>0</v>
      </c>
      <c r="T68" s="268">
        <v>148706</v>
      </c>
      <c r="U68" s="268">
        <v>16350</v>
      </c>
      <c r="V68" s="269">
        <v>160</v>
      </c>
      <c r="W68" s="268">
        <v>2987</v>
      </c>
      <c r="X68" s="268">
        <v>51308</v>
      </c>
      <c r="Y68" s="268">
        <v>25743</v>
      </c>
      <c r="Z68" s="269" t="s">
        <v>0</v>
      </c>
      <c r="AA68" s="269">
        <v>5</v>
      </c>
      <c r="AB68" s="269" t="s">
        <v>0</v>
      </c>
      <c r="AC68" s="268">
        <v>404487</v>
      </c>
      <c r="AD68" s="269" t="s">
        <v>0</v>
      </c>
      <c r="AE68" s="268">
        <v>608641</v>
      </c>
      <c r="AF68" s="269" t="s">
        <v>0</v>
      </c>
      <c r="AG68" s="268">
        <v>74520</v>
      </c>
      <c r="AH68" s="268">
        <v>1461</v>
      </c>
      <c r="AI68" s="269">
        <v>7</v>
      </c>
      <c r="AJ68" s="268">
        <v>2313</v>
      </c>
      <c r="AK68" s="268">
        <v>29564</v>
      </c>
      <c r="AL68" s="268">
        <v>4504</v>
      </c>
      <c r="AM68" s="269">
        <v>811</v>
      </c>
      <c r="AN68" s="269" t="s">
        <v>0</v>
      </c>
      <c r="AO68" s="269" t="s">
        <v>0</v>
      </c>
      <c r="AP68" s="269" t="s">
        <v>0</v>
      </c>
      <c r="AQ68" s="269" t="s">
        <v>0</v>
      </c>
      <c r="AR68" s="268">
        <v>8030</v>
      </c>
      <c r="AS68" s="269" t="s">
        <v>0</v>
      </c>
      <c r="AT68" s="268">
        <v>21298</v>
      </c>
      <c r="AU68" s="269" t="s">
        <v>0</v>
      </c>
      <c r="AV68" s="268">
        <v>116388</v>
      </c>
      <c r="AW68" s="269" t="s">
        <v>0</v>
      </c>
      <c r="AX68" s="269" t="s">
        <v>0</v>
      </c>
      <c r="AY68" s="268">
        <v>3249</v>
      </c>
      <c r="AZ68" s="268">
        <v>17604</v>
      </c>
      <c r="BA68" s="269" t="s">
        <v>0</v>
      </c>
      <c r="BB68" s="268">
        <v>22178</v>
      </c>
      <c r="BC68" s="269" t="s">
        <v>0</v>
      </c>
      <c r="BD68" s="269" t="s">
        <v>0</v>
      </c>
      <c r="BE68" s="268">
        <v>2646</v>
      </c>
      <c r="BF68" s="268">
        <v>4846</v>
      </c>
      <c r="BG68" s="268">
        <v>1325430</v>
      </c>
      <c r="BH68" s="269" t="s">
        <v>0</v>
      </c>
      <c r="BI68" s="269">
        <v>112</v>
      </c>
      <c r="BJ68" s="269" t="s">
        <v>0</v>
      </c>
      <c r="BK68" s="268">
        <v>147483</v>
      </c>
      <c r="BL68" s="268">
        <v>16100</v>
      </c>
      <c r="BM68" s="269">
        <v>81</v>
      </c>
      <c r="BN68" s="268">
        <v>1310</v>
      </c>
      <c r="BO68" s="268">
        <v>46780</v>
      </c>
      <c r="BP68" s="268">
        <v>26943</v>
      </c>
      <c r="BQ68" s="269" t="s">
        <v>0</v>
      </c>
      <c r="BR68" s="269">
        <v>5</v>
      </c>
      <c r="BS68" s="269" t="s">
        <v>0</v>
      </c>
      <c r="BT68" s="268">
        <v>360341</v>
      </c>
      <c r="BU68" s="269" t="s">
        <v>0</v>
      </c>
      <c r="BV68" s="268">
        <v>660764</v>
      </c>
      <c r="BW68" s="269" t="s">
        <v>0</v>
      </c>
      <c r="BX68" s="268">
        <v>64707</v>
      </c>
      <c r="BY68" s="269">
        <v>804</v>
      </c>
      <c r="BZ68" s="269">
        <v>9</v>
      </c>
      <c r="CA68" s="268">
        <v>2498</v>
      </c>
      <c r="CB68" s="268">
        <v>29976</v>
      </c>
      <c r="CC68" s="268">
        <v>5124</v>
      </c>
      <c r="CD68" s="268">
        <v>1411</v>
      </c>
      <c r="CE68" s="269" t="s">
        <v>0</v>
      </c>
      <c r="CF68" s="269" t="s">
        <v>0</v>
      </c>
      <c r="CG68" s="269" t="s">
        <v>0</v>
      </c>
      <c r="CH68" s="269" t="s">
        <v>0</v>
      </c>
      <c r="CI68" s="268">
        <v>8038</v>
      </c>
      <c r="CJ68" s="269" t="s">
        <v>0</v>
      </c>
      <c r="CK68" s="268">
        <v>21515</v>
      </c>
      <c r="CL68" s="269" t="s">
        <v>0</v>
      </c>
      <c r="CM68" s="268">
        <v>110766</v>
      </c>
      <c r="CN68" s="269" t="s">
        <v>0</v>
      </c>
      <c r="CO68" s="269" t="s">
        <v>0</v>
      </c>
      <c r="CP68" s="268">
        <v>3223</v>
      </c>
      <c r="CQ68" s="268">
        <v>17032</v>
      </c>
      <c r="CR68" s="269" t="s">
        <v>0</v>
      </c>
      <c r="CS68" s="268">
        <v>25355</v>
      </c>
      <c r="CT68" s="269" t="s">
        <v>0</v>
      </c>
      <c r="CU68" s="269" t="s">
        <v>0</v>
      </c>
      <c r="CV68" s="268">
        <v>2794</v>
      </c>
      <c r="CW68" s="276">
        <v>4823</v>
      </c>
    </row>
    <row r="69" spans="2:101" ht="13.5" customHeight="1" x14ac:dyDescent="0.2">
      <c r="B69" s="10">
        <v>20</v>
      </c>
      <c r="C69" s="34" t="s">
        <v>19</v>
      </c>
      <c r="D69" s="35">
        <f>SUMIF($O$8:$O$34,C69,$Q$8:$Q$34)</f>
        <v>0</v>
      </c>
      <c r="E69" s="135">
        <f>SUMIF($O$8:$O$34,C69,$BH$8:$BH$34)</f>
        <v>0</v>
      </c>
      <c r="F69" s="156">
        <f t="shared" si="10"/>
        <v>0</v>
      </c>
      <c r="G69" s="9"/>
      <c r="H69" s="44">
        <v>20</v>
      </c>
      <c r="I69" s="34" t="s">
        <v>19</v>
      </c>
      <c r="J69" s="35">
        <f>SUMIF($O$47:$O$73,I69,$Q$47:$Q$73)</f>
        <v>0</v>
      </c>
      <c r="K69" s="135">
        <f>SUMIF($O$47:$O$73,I69,$BH$47:$BH$73)</f>
        <v>0</v>
      </c>
      <c r="L69" s="156">
        <f t="shared" si="11"/>
        <v>0</v>
      </c>
      <c r="M69" s="2"/>
      <c r="O69" s="274" t="s">
        <v>37</v>
      </c>
      <c r="P69" s="268">
        <v>8428788</v>
      </c>
      <c r="Q69" s="269" t="s">
        <v>0</v>
      </c>
      <c r="R69" s="268">
        <v>2939</v>
      </c>
      <c r="S69" s="269" t="s">
        <v>0</v>
      </c>
      <c r="T69" s="268">
        <v>1127916</v>
      </c>
      <c r="U69" s="268">
        <v>179615</v>
      </c>
      <c r="V69" s="268">
        <v>1885</v>
      </c>
      <c r="W69" s="268">
        <v>35463</v>
      </c>
      <c r="X69" s="268">
        <v>43054</v>
      </c>
      <c r="Y69" s="268">
        <v>24194</v>
      </c>
      <c r="Z69" s="269" t="s">
        <v>0</v>
      </c>
      <c r="AA69" s="268">
        <v>2792</v>
      </c>
      <c r="AB69" s="269" t="s">
        <v>0</v>
      </c>
      <c r="AC69" s="268">
        <v>854793</v>
      </c>
      <c r="AD69" s="269" t="s">
        <v>0</v>
      </c>
      <c r="AE69" s="268">
        <v>5263899</v>
      </c>
      <c r="AF69" s="268">
        <v>5867</v>
      </c>
      <c r="AG69" s="268">
        <v>882566</v>
      </c>
      <c r="AH69" s="268">
        <v>3805</v>
      </c>
      <c r="AI69" s="269">
        <v>311</v>
      </c>
      <c r="AJ69" s="268">
        <v>2116</v>
      </c>
      <c r="AK69" s="268">
        <v>11818</v>
      </c>
      <c r="AL69" s="268">
        <v>15053</v>
      </c>
      <c r="AM69" s="268">
        <v>3953</v>
      </c>
      <c r="AN69" s="269" t="s">
        <v>0</v>
      </c>
      <c r="AO69" s="269" t="s">
        <v>0</v>
      </c>
      <c r="AP69" s="269" t="s">
        <v>0</v>
      </c>
      <c r="AQ69" s="269" t="s">
        <v>0</v>
      </c>
      <c r="AR69" s="268">
        <v>19508</v>
      </c>
      <c r="AS69" s="269" t="s">
        <v>0</v>
      </c>
      <c r="AT69" s="268">
        <v>8714</v>
      </c>
      <c r="AU69" s="269" t="s">
        <v>0</v>
      </c>
      <c r="AV69" s="268">
        <v>199961</v>
      </c>
      <c r="AW69" s="269" t="s">
        <v>0</v>
      </c>
      <c r="AX69" s="269" t="s">
        <v>0</v>
      </c>
      <c r="AY69" s="268">
        <v>25356</v>
      </c>
      <c r="AZ69" s="268">
        <v>16383</v>
      </c>
      <c r="BA69" s="269" t="s">
        <v>0</v>
      </c>
      <c r="BB69" s="268">
        <v>66154</v>
      </c>
      <c r="BC69" s="269" t="s">
        <v>0</v>
      </c>
      <c r="BD69" s="269" t="s">
        <v>0</v>
      </c>
      <c r="BE69" s="268">
        <v>2269</v>
      </c>
      <c r="BF69" s="268">
        <v>49739</v>
      </c>
      <c r="BG69" s="268">
        <v>8422852</v>
      </c>
      <c r="BH69" s="269" t="s">
        <v>0</v>
      </c>
      <c r="BI69" s="268">
        <v>2740</v>
      </c>
      <c r="BJ69" s="269" t="s">
        <v>0</v>
      </c>
      <c r="BK69" s="268">
        <v>1088566</v>
      </c>
      <c r="BL69" s="268">
        <v>227642</v>
      </c>
      <c r="BM69" s="268">
        <v>1973</v>
      </c>
      <c r="BN69" s="268">
        <v>44312</v>
      </c>
      <c r="BO69" s="268">
        <v>40441</v>
      </c>
      <c r="BP69" s="268">
        <v>20899</v>
      </c>
      <c r="BQ69" s="269" t="s">
        <v>0</v>
      </c>
      <c r="BR69" s="268">
        <v>5270</v>
      </c>
      <c r="BS69" s="269" t="s">
        <v>0</v>
      </c>
      <c r="BT69" s="268">
        <v>740510</v>
      </c>
      <c r="BU69" s="269" t="s">
        <v>0</v>
      </c>
      <c r="BV69" s="268">
        <v>5464084</v>
      </c>
      <c r="BW69" s="268">
        <v>5089</v>
      </c>
      <c r="BX69" s="268">
        <v>778235</v>
      </c>
      <c r="BY69" s="268">
        <v>3091</v>
      </c>
      <c r="BZ69" s="269">
        <v>494</v>
      </c>
      <c r="CA69" s="268">
        <v>1973</v>
      </c>
      <c r="CB69" s="268">
        <v>11993</v>
      </c>
      <c r="CC69" s="268">
        <v>14879</v>
      </c>
      <c r="CD69" s="268">
        <v>3710</v>
      </c>
      <c r="CE69" s="269" t="s">
        <v>0</v>
      </c>
      <c r="CF69" s="269" t="s">
        <v>0</v>
      </c>
      <c r="CG69" s="269" t="s">
        <v>0</v>
      </c>
      <c r="CH69" s="269" t="s">
        <v>0</v>
      </c>
      <c r="CI69" s="268">
        <v>20210</v>
      </c>
      <c r="CJ69" s="269" t="s">
        <v>0</v>
      </c>
      <c r="CK69" s="268">
        <v>8008</v>
      </c>
      <c r="CL69" s="269" t="s">
        <v>0</v>
      </c>
      <c r="CM69" s="268">
        <v>185247</v>
      </c>
      <c r="CN69" s="269" t="s">
        <v>0</v>
      </c>
      <c r="CO69" s="269" t="s">
        <v>0</v>
      </c>
      <c r="CP69" s="268">
        <v>25820</v>
      </c>
      <c r="CQ69" s="268">
        <v>15716</v>
      </c>
      <c r="CR69" s="269" t="s">
        <v>0</v>
      </c>
      <c r="CS69" s="268">
        <v>77554</v>
      </c>
      <c r="CT69" s="269" t="s">
        <v>0</v>
      </c>
      <c r="CU69" s="269" t="s">
        <v>0</v>
      </c>
      <c r="CV69" s="268">
        <v>2324</v>
      </c>
      <c r="CW69" s="276">
        <v>50044</v>
      </c>
    </row>
    <row r="70" spans="2:101" ht="13.5" customHeight="1" x14ac:dyDescent="0.2">
      <c r="B70" s="10">
        <v>21</v>
      </c>
      <c r="C70" s="34" t="s">
        <v>15</v>
      </c>
      <c r="D70" s="35">
        <f>SUMIF($O$8:$O$34,C70,$Q$8:$Q$34)</f>
        <v>0</v>
      </c>
      <c r="E70" s="135">
        <f>SUMIF($O$8:$O$34,C70,$BH$8:$BH$34)</f>
        <v>0</v>
      </c>
      <c r="F70" s="156">
        <f t="shared" si="10"/>
        <v>0</v>
      </c>
      <c r="G70" s="9"/>
      <c r="H70" s="44">
        <v>21</v>
      </c>
      <c r="I70" s="34" t="s">
        <v>15</v>
      </c>
      <c r="J70" s="35">
        <f>SUMIF($O$47:$O$73,I70,$Q$47:$Q$73)</f>
        <v>0</v>
      </c>
      <c r="K70" s="135">
        <f>SUMIF($O$47:$O$73,I70,$BH$47:$BH$73)</f>
        <v>0</v>
      </c>
      <c r="L70" s="156">
        <f t="shared" si="11"/>
        <v>0</v>
      </c>
      <c r="M70" s="2"/>
      <c r="O70" s="274" t="s">
        <v>38</v>
      </c>
      <c r="P70" s="268">
        <v>4147886</v>
      </c>
      <c r="Q70" s="268">
        <v>30724</v>
      </c>
      <c r="R70" s="269">
        <v>766</v>
      </c>
      <c r="S70" s="269">
        <v>60</v>
      </c>
      <c r="T70" s="268">
        <v>16151</v>
      </c>
      <c r="U70" s="268">
        <v>20145</v>
      </c>
      <c r="V70" s="268">
        <v>1300</v>
      </c>
      <c r="W70" s="269" t="s">
        <v>0</v>
      </c>
      <c r="X70" s="269">
        <v>485</v>
      </c>
      <c r="Y70" s="268">
        <v>15817</v>
      </c>
      <c r="Z70" s="269">
        <v>150</v>
      </c>
      <c r="AA70" s="269">
        <v>310</v>
      </c>
      <c r="AB70" s="269" t="s">
        <v>0</v>
      </c>
      <c r="AC70" s="268">
        <v>21486</v>
      </c>
      <c r="AD70" s="268">
        <v>1660186</v>
      </c>
      <c r="AE70" s="268">
        <v>2350927</v>
      </c>
      <c r="AF70" s="268">
        <v>12090</v>
      </c>
      <c r="AG70" s="268">
        <v>17289</v>
      </c>
      <c r="AH70" s="269" t="s">
        <v>0</v>
      </c>
      <c r="AI70" s="269">
        <v>261</v>
      </c>
      <c r="AJ70" s="269" t="s">
        <v>0</v>
      </c>
      <c r="AK70" s="268">
        <v>1408</v>
      </c>
      <c r="AL70" s="269" t="s">
        <v>0</v>
      </c>
      <c r="AM70" s="269" t="s">
        <v>0</v>
      </c>
      <c r="AN70" s="269" t="s">
        <v>0</v>
      </c>
      <c r="AO70" s="269" t="s">
        <v>0</v>
      </c>
      <c r="AP70" s="268">
        <v>1173</v>
      </c>
      <c r="AQ70" s="269" t="s">
        <v>0</v>
      </c>
      <c r="AR70" s="268">
        <v>546099</v>
      </c>
      <c r="AS70" s="269" t="s">
        <v>0</v>
      </c>
      <c r="AT70" s="269" t="s">
        <v>0</v>
      </c>
      <c r="AU70" s="269">
        <v>185</v>
      </c>
      <c r="AV70" s="269" t="s">
        <v>0</v>
      </c>
      <c r="AW70" s="269" t="s">
        <v>0</v>
      </c>
      <c r="AX70" s="269" t="s">
        <v>0</v>
      </c>
      <c r="AY70" s="269">
        <v>712</v>
      </c>
      <c r="AZ70" s="269" t="s">
        <v>0</v>
      </c>
      <c r="BA70" s="269" t="s">
        <v>0</v>
      </c>
      <c r="BB70" s="268">
        <v>48025</v>
      </c>
      <c r="BC70" s="269" t="s">
        <v>0</v>
      </c>
      <c r="BD70" s="269" t="s">
        <v>0</v>
      </c>
      <c r="BE70" s="269">
        <v>70</v>
      </c>
      <c r="BF70" s="269">
        <v>13</v>
      </c>
      <c r="BG70" s="268">
        <v>4249379</v>
      </c>
      <c r="BH70" s="268">
        <v>29650</v>
      </c>
      <c r="BI70" s="269">
        <v>766</v>
      </c>
      <c r="BJ70" s="269">
        <v>60</v>
      </c>
      <c r="BK70" s="268">
        <v>14887</v>
      </c>
      <c r="BL70" s="268">
        <v>20145</v>
      </c>
      <c r="BM70" s="268">
        <v>1300</v>
      </c>
      <c r="BN70" s="269" t="s">
        <v>0</v>
      </c>
      <c r="BO70" s="269">
        <v>540</v>
      </c>
      <c r="BP70" s="268">
        <v>14635</v>
      </c>
      <c r="BQ70" s="269">
        <v>760</v>
      </c>
      <c r="BR70" s="268">
        <v>2834</v>
      </c>
      <c r="BS70" s="269" t="s">
        <v>0</v>
      </c>
      <c r="BT70" s="268">
        <v>12647</v>
      </c>
      <c r="BU70" s="268">
        <v>1673690</v>
      </c>
      <c r="BV70" s="268">
        <v>2447770</v>
      </c>
      <c r="BW70" s="268">
        <v>8840</v>
      </c>
      <c r="BX70" s="268">
        <v>20855</v>
      </c>
      <c r="BY70" s="269" t="s">
        <v>0</v>
      </c>
      <c r="BZ70" s="269">
        <v>240</v>
      </c>
      <c r="CA70" s="269" t="s">
        <v>0</v>
      </c>
      <c r="CB70" s="268">
        <v>1645</v>
      </c>
      <c r="CC70" s="269" t="s">
        <v>0</v>
      </c>
      <c r="CD70" s="269" t="s">
        <v>0</v>
      </c>
      <c r="CE70" s="269" t="s">
        <v>0</v>
      </c>
      <c r="CF70" s="269" t="s">
        <v>0</v>
      </c>
      <c r="CG70" s="269">
        <v>493</v>
      </c>
      <c r="CH70" s="269" t="s">
        <v>0</v>
      </c>
      <c r="CI70" s="268">
        <v>729112</v>
      </c>
      <c r="CJ70" s="269" t="s">
        <v>0</v>
      </c>
      <c r="CK70" s="269" t="s">
        <v>0</v>
      </c>
      <c r="CL70" s="269">
        <v>185</v>
      </c>
      <c r="CM70" s="269" t="s">
        <v>0</v>
      </c>
      <c r="CN70" s="269" t="s">
        <v>0</v>
      </c>
      <c r="CO70" s="269" t="s">
        <v>0</v>
      </c>
      <c r="CP70" s="269">
        <v>719</v>
      </c>
      <c r="CQ70" s="269" t="s">
        <v>0</v>
      </c>
      <c r="CR70" s="269" t="s">
        <v>0</v>
      </c>
      <c r="CS70" s="268">
        <v>52453</v>
      </c>
      <c r="CT70" s="269" t="s">
        <v>0</v>
      </c>
      <c r="CU70" s="269" t="s">
        <v>0</v>
      </c>
      <c r="CV70" s="269">
        <v>69</v>
      </c>
      <c r="CW70" s="275">
        <v>56</v>
      </c>
    </row>
    <row r="71" spans="2:101" ht="13.5" customHeight="1" x14ac:dyDescent="0.2">
      <c r="B71" s="10">
        <v>22</v>
      </c>
      <c r="C71" s="34" t="s">
        <v>40</v>
      </c>
      <c r="D71" s="35">
        <f>SUMIF($O$8:$O$34,C71,$Q$8:$Q$34)</f>
        <v>0</v>
      </c>
      <c r="E71" s="135">
        <f>SUMIF($O$8:$O$34,C71,$BH$8:$BH$34)</f>
        <v>0</v>
      </c>
      <c r="F71" s="156">
        <f t="shared" si="10"/>
        <v>0</v>
      </c>
      <c r="G71" s="9"/>
      <c r="H71" s="44">
        <v>22</v>
      </c>
      <c r="I71" s="34" t="s">
        <v>40</v>
      </c>
      <c r="J71" s="35">
        <f>SUMIF($O$47:$O$73,I71,$Q$47:$Q$73)</f>
        <v>0</v>
      </c>
      <c r="K71" s="135">
        <f>SUMIF($O$47:$O$73,I71,$BH$47:$BH$73)</f>
        <v>0</v>
      </c>
      <c r="L71" s="156">
        <f t="shared" si="11"/>
        <v>0</v>
      </c>
      <c r="M71" s="2"/>
      <c r="O71" s="274" t="s">
        <v>39</v>
      </c>
      <c r="P71" s="268">
        <v>13783063</v>
      </c>
      <c r="Q71" s="268">
        <v>590511</v>
      </c>
      <c r="R71" s="269">
        <v>5</v>
      </c>
      <c r="S71" s="269">
        <v>160</v>
      </c>
      <c r="T71" s="268">
        <v>187817</v>
      </c>
      <c r="U71" s="269" t="s">
        <v>0</v>
      </c>
      <c r="V71" s="269" t="s">
        <v>0</v>
      </c>
      <c r="W71" s="269" t="s">
        <v>0</v>
      </c>
      <c r="X71" s="268">
        <v>10401</v>
      </c>
      <c r="Y71" s="268">
        <v>199518</v>
      </c>
      <c r="Z71" s="268">
        <v>29922</v>
      </c>
      <c r="AA71" s="268">
        <v>85505</v>
      </c>
      <c r="AB71" s="269">
        <v>350</v>
      </c>
      <c r="AC71" s="268">
        <v>55379</v>
      </c>
      <c r="AD71" s="268">
        <v>3515227</v>
      </c>
      <c r="AE71" s="268">
        <v>8983683</v>
      </c>
      <c r="AF71" s="268">
        <v>124585</v>
      </c>
      <c r="AG71" s="269" t="s">
        <v>0</v>
      </c>
      <c r="AH71" s="269" t="s">
        <v>0</v>
      </c>
      <c r="AI71" s="268">
        <v>1638</v>
      </c>
      <c r="AJ71" s="269" t="s">
        <v>0</v>
      </c>
      <c r="AK71" s="268">
        <v>6426</v>
      </c>
      <c r="AL71" s="269" t="s">
        <v>0</v>
      </c>
      <c r="AM71" s="269" t="s">
        <v>0</v>
      </c>
      <c r="AN71" s="269" t="s">
        <v>0</v>
      </c>
      <c r="AO71" s="269">
        <v>953</v>
      </c>
      <c r="AP71" s="269">
        <v>111</v>
      </c>
      <c r="AQ71" s="268">
        <v>20078</v>
      </c>
      <c r="AR71" s="268">
        <v>291100</v>
      </c>
      <c r="AS71" s="269">
        <v>763</v>
      </c>
      <c r="AT71" s="269" t="s">
        <v>0</v>
      </c>
      <c r="AU71" s="269">
        <v>987</v>
      </c>
      <c r="AV71" s="269" t="s">
        <v>0</v>
      </c>
      <c r="AW71" s="269">
        <v>325</v>
      </c>
      <c r="AX71" s="269" t="s">
        <v>0</v>
      </c>
      <c r="AY71" s="269">
        <v>592</v>
      </c>
      <c r="AZ71" s="269" t="s">
        <v>0</v>
      </c>
      <c r="BA71" s="269" t="s">
        <v>0</v>
      </c>
      <c r="BB71" s="268">
        <v>20489</v>
      </c>
      <c r="BC71" s="269">
        <v>22</v>
      </c>
      <c r="BD71" s="269" t="s">
        <v>0</v>
      </c>
      <c r="BE71" s="269">
        <v>232</v>
      </c>
      <c r="BF71" s="269">
        <v>51</v>
      </c>
      <c r="BG71" s="268">
        <v>14190706</v>
      </c>
      <c r="BH71" s="268">
        <v>606314</v>
      </c>
      <c r="BI71" s="269">
        <v>5</v>
      </c>
      <c r="BJ71" s="269">
        <v>129</v>
      </c>
      <c r="BK71" s="268">
        <v>174263</v>
      </c>
      <c r="BL71" s="269" t="s">
        <v>0</v>
      </c>
      <c r="BM71" s="269" t="s">
        <v>0</v>
      </c>
      <c r="BN71" s="269" t="s">
        <v>0</v>
      </c>
      <c r="BO71" s="268">
        <v>8414</v>
      </c>
      <c r="BP71" s="268">
        <v>213440</v>
      </c>
      <c r="BQ71" s="268">
        <v>29818</v>
      </c>
      <c r="BR71" s="268">
        <v>29192</v>
      </c>
      <c r="BS71" s="269">
        <v>550</v>
      </c>
      <c r="BT71" s="268">
        <v>45077</v>
      </c>
      <c r="BU71" s="268">
        <v>3855191</v>
      </c>
      <c r="BV71" s="268">
        <v>9148013</v>
      </c>
      <c r="BW71" s="268">
        <v>80300</v>
      </c>
      <c r="BX71" s="269" t="s">
        <v>0</v>
      </c>
      <c r="BY71" s="269" t="s">
        <v>0</v>
      </c>
      <c r="BZ71" s="268">
        <v>1582</v>
      </c>
      <c r="CA71" s="269" t="s">
        <v>0</v>
      </c>
      <c r="CB71" s="268">
        <v>7217</v>
      </c>
      <c r="CC71" s="269" t="s">
        <v>0</v>
      </c>
      <c r="CD71" s="269" t="s">
        <v>0</v>
      </c>
      <c r="CE71" s="269" t="s">
        <v>0</v>
      </c>
      <c r="CF71" s="269">
        <v>883</v>
      </c>
      <c r="CG71" s="269">
        <v>133</v>
      </c>
      <c r="CH71" s="268">
        <v>17968</v>
      </c>
      <c r="CI71" s="268">
        <v>282514</v>
      </c>
      <c r="CJ71" s="269">
        <v>782</v>
      </c>
      <c r="CK71" s="269" t="s">
        <v>0</v>
      </c>
      <c r="CL71" s="268">
        <v>1796</v>
      </c>
      <c r="CM71" s="269" t="s">
        <v>0</v>
      </c>
      <c r="CN71" s="269">
        <v>353</v>
      </c>
      <c r="CO71" s="269" t="s">
        <v>0</v>
      </c>
      <c r="CP71" s="269">
        <v>616</v>
      </c>
      <c r="CQ71" s="269" t="s">
        <v>0</v>
      </c>
      <c r="CR71" s="269" t="s">
        <v>0</v>
      </c>
      <c r="CS71" s="268">
        <v>21339</v>
      </c>
      <c r="CT71" s="269">
        <v>15</v>
      </c>
      <c r="CU71" s="269" t="s">
        <v>0</v>
      </c>
      <c r="CV71" s="269">
        <v>243</v>
      </c>
      <c r="CW71" s="275">
        <v>56</v>
      </c>
    </row>
    <row r="72" spans="2:101" ht="13.5" customHeight="1" x14ac:dyDescent="0.2">
      <c r="B72" s="10">
        <v>23</v>
      </c>
      <c r="C72" s="34" t="s">
        <v>16</v>
      </c>
      <c r="D72" s="35">
        <f>SUMIF($O$8:$O$34,C72,$Q$8:$Q$34)</f>
        <v>0</v>
      </c>
      <c r="E72" s="135">
        <f>SUMIF($O$8:$O$34,C72,$BH$8:$BH$34)</f>
        <v>0</v>
      </c>
      <c r="F72" s="156">
        <f t="shared" si="10"/>
        <v>0</v>
      </c>
      <c r="G72" s="9"/>
      <c r="H72" s="44">
        <v>23</v>
      </c>
      <c r="I72" s="34" t="s">
        <v>16</v>
      </c>
      <c r="J72" s="35">
        <f>SUMIF($O$47:$O$73,I72,$Q$47:$Q$73)</f>
        <v>0</v>
      </c>
      <c r="K72" s="135">
        <f>SUMIF($O$47:$O$73,I72,$BH$47:$BH$73)</f>
        <v>0</v>
      </c>
      <c r="L72" s="156">
        <f t="shared" si="11"/>
        <v>0</v>
      </c>
      <c r="M72" s="2"/>
      <c r="O72" s="274" t="s">
        <v>4</v>
      </c>
      <c r="P72" s="268">
        <v>5113649</v>
      </c>
      <c r="Q72" s="268">
        <v>32175</v>
      </c>
      <c r="R72" s="269">
        <v>90</v>
      </c>
      <c r="S72" s="269" t="s">
        <v>0</v>
      </c>
      <c r="T72" s="268">
        <v>25558</v>
      </c>
      <c r="U72" s="269">
        <v>100</v>
      </c>
      <c r="V72" s="269" t="s">
        <v>0</v>
      </c>
      <c r="W72" s="269" t="s">
        <v>0</v>
      </c>
      <c r="X72" s="268">
        <v>59919</v>
      </c>
      <c r="Y72" s="268">
        <v>21935</v>
      </c>
      <c r="Z72" s="268">
        <v>41198</v>
      </c>
      <c r="AA72" s="268">
        <v>7290</v>
      </c>
      <c r="AB72" s="269" t="s">
        <v>0</v>
      </c>
      <c r="AC72" s="268">
        <v>260157</v>
      </c>
      <c r="AD72" s="268">
        <v>1148945</v>
      </c>
      <c r="AE72" s="268">
        <v>3263118</v>
      </c>
      <c r="AF72" s="268">
        <v>243974</v>
      </c>
      <c r="AG72" s="268">
        <v>9190</v>
      </c>
      <c r="AH72" s="269" t="s">
        <v>0</v>
      </c>
      <c r="AI72" s="268">
        <v>2850</v>
      </c>
      <c r="AJ72" s="268">
        <v>2328</v>
      </c>
      <c r="AK72" s="268">
        <v>13011</v>
      </c>
      <c r="AL72" s="269" t="s">
        <v>0</v>
      </c>
      <c r="AM72" s="269" t="s">
        <v>0</v>
      </c>
      <c r="AN72" s="268">
        <v>5838</v>
      </c>
      <c r="AO72" s="269" t="s">
        <v>0</v>
      </c>
      <c r="AP72" s="268">
        <v>6747</v>
      </c>
      <c r="AQ72" s="269" t="s">
        <v>0</v>
      </c>
      <c r="AR72" s="268">
        <v>911847</v>
      </c>
      <c r="AS72" s="269" t="s">
        <v>0</v>
      </c>
      <c r="AT72" s="268">
        <v>2335</v>
      </c>
      <c r="AU72" s="269">
        <v>955</v>
      </c>
      <c r="AV72" s="269" t="s">
        <v>0</v>
      </c>
      <c r="AW72" s="269" t="s">
        <v>0</v>
      </c>
      <c r="AX72" s="269" t="s">
        <v>0</v>
      </c>
      <c r="AY72" s="268">
        <v>7273</v>
      </c>
      <c r="AZ72" s="269" t="s">
        <v>0</v>
      </c>
      <c r="BA72" s="269" t="s">
        <v>0</v>
      </c>
      <c r="BB72" s="268">
        <v>12721</v>
      </c>
      <c r="BC72" s="269" t="s">
        <v>0</v>
      </c>
      <c r="BD72" s="269" t="s">
        <v>0</v>
      </c>
      <c r="BE72" s="268">
        <v>10664</v>
      </c>
      <c r="BF72" s="269">
        <v>150</v>
      </c>
      <c r="BG72" s="268">
        <v>5342004</v>
      </c>
      <c r="BH72" s="268">
        <v>29273</v>
      </c>
      <c r="BI72" s="269">
        <v>90</v>
      </c>
      <c r="BJ72" s="269" t="s">
        <v>0</v>
      </c>
      <c r="BK72" s="268">
        <v>24607</v>
      </c>
      <c r="BL72" s="269">
        <v>100</v>
      </c>
      <c r="BM72" s="269" t="s">
        <v>0</v>
      </c>
      <c r="BN72" s="269" t="s">
        <v>0</v>
      </c>
      <c r="BO72" s="268">
        <v>59530</v>
      </c>
      <c r="BP72" s="268">
        <v>32185</v>
      </c>
      <c r="BQ72" s="268">
        <v>57724</v>
      </c>
      <c r="BR72" s="268">
        <v>16681</v>
      </c>
      <c r="BS72" s="269" t="s">
        <v>0</v>
      </c>
      <c r="BT72" s="268">
        <v>239062</v>
      </c>
      <c r="BU72" s="268">
        <v>1333473</v>
      </c>
      <c r="BV72" s="268">
        <v>3316201</v>
      </c>
      <c r="BW72" s="268">
        <v>220303</v>
      </c>
      <c r="BX72" s="268">
        <v>12775</v>
      </c>
      <c r="BY72" s="269" t="s">
        <v>0</v>
      </c>
      <c r="BZ72" s="268">
        <v>3387</v>
      </c>
      <c r="CA72" s="268">
        <v>2203</v>
      </c>
      <c r="CB72" s="268">
        <v>14883</v>
      </c>
      <c r="CC72" s="269" t="s">
        <v>0</v>
      </c>
      <c r="CD72" s="269" t="s">
        <v>0</v>
      </c>
      <c r="CE72" s="268">
        <v>5930</v>
      </c>
      <c r="CF72" s="269" t="s">
        <v>0</v>
      </c>
      <c r="CG72" s="268">
        <v>7988</v>
      </c>
      <c r="CH72" s="269" t="s">
        <v>0</v>
      </c>
      <c r="CI72" s="268">
        <v>1013787</v>
      </c>
      <c r="CJ72" s="269" t="s">
        <v>0</v>
      </c>
      <c r="CK72" s="268">
        <v>2549</v>
      </c>
      <c r="CL72" s="269">
        <v>791</v>
      </c>
      <c r="CM72" s="269" t="s">
        <v>0</v>
      </c>
      <c r="CN72" s="269" t="s">
        <v>0</v>
      </c>
      <c r="CO72" s="269" t="s">
        <v>0</v>
      </c>
      <c r="CP72" s="268">
        <v>7746</v>
      </c>
      <c r="CQ72" s="269" t="s">
        <v>0</v>
      </c>
      <c r="CR72" s="269" t="s">
        <v>0</v>
      </c>
      <c r="CS72" s="268">
        <v>20597</v>
      </c>
      <c r="CT72" s="269" t="s">
        <v>0</v>
      </c>
      <c r="CU72" s="269" t="s">
        <v>0</v>
      </c>
      <c r="CV72" s="268">
        <v>12002</v>
      </c>
      <c r="CW72" s="275">
        <v>106</v>
      </c>
    </row>
    <row r="73" spans="2:101" ht="13.5" customHeight="1" thickBot="1" x14ac:dyDescent="0.25">
      <c r="B73" s="10">
        <v>24</v>
      </c>
      <c r="C73" s="34" t="s">
        <v>32</v>
      </c>
      <c r="D73" s="35">
        <f>SUMIF($O$8:$O$34,C73,$Q$8:$Q$34)</f>
        <v>0</v>
      </c>
      <c r="E73" s="135">
        <f>SUMIF($O$8:$O$34,C73,$BH$8:$BH$34)</f>
        <v>0</v>
      </c>
      <c r="F73" s="156">
        <f t="shared" si="10"/>
        <v>0</v>
      </c>
      <c r="G73" s="9"/>
      <c r="H73" s="44">
        <v>24</v>
      </c>
      <c r="I73" s="34" t="s">
        <v>32</v>
      </c>
      <c r="J73" s="35">
        <f>SUMIF($O$47:$O$73,I73,$Q$47:$Q$73)</f>
        <v>0</v>
      </c>
      <c r="K73" s="135">
        <f>SUMIF($O$47:$O$73,I73,$BH$47:$BH$73)</f>
        <v>0</v>
      </c>
      <c r="L73" s="156">
        <f t="shared" si="11"/>
        <v>0</v>
      </c>
      <c r="M73" s="2"/>
      <c r="O73" s="277" t="s">
        <v>40</v>
      </c>
      <c r="P73" s="278">
        <v>155874</v>
      </c>
      <c r="Q73" s="279" t="s">
        <v>0</v>
      </c>
      <c r="R73" s="279">
        <v>6</v>
      </c>
      <c r="S73" s="279" t="s">
        <v>0</v>
      </c>
      <c r="T73" s="279" t="s">
        <v>0</v>
      </c>
      <c r="U73" s="279" t="s">
        <v>0</v>
      </c>
      <c r="V73" s="279" t="s">
        <v>0</v>
      </c>
      <c r="W73" s="279" t="s">
        <v>0</v>
      </c>
      <c r="X73" s="278">
        <v>13462</v>
      </c>
      <c r="Y73" s="278">
        <v>1029</v>
      </c>
      <c r="Z73" s="278">
        <v>1217</v>
      </c>
      <c r="AA73" s="279" t="s">
        <v>0</v>
      </c>
      <c r="AB73" s="279" t="s">
        <v>0</v>
      </c>
      <c r="AC73" s="278">
        <v>26800</v>
      </c>
      <c r="AD73" s="278">
        <v>38422</v>
      </c>
      <c r="AE73" s="278">
        <v>68862</v>
      </c>
      <c r="AF73" s="278">
        <v>4476</v>
      </c>
      <c r="AG73" s="278">
        <v>1600</v>
      </c>
      <c r="AH73" s="279" t="s">
        <v>0</v>
      </c>
      <c r="AI73" s="279">
        <v>5</v>
      </c>
      <c r="AJ73" s="279">
        <v>281</v>
      </c>
      <c r="AK73" s="279">
        <v>192</v>
      </c>
      <c r="AL73" s="279" t="s">
        <v>0</v>
      </c>
      <c r="AM73" s="279">
        <v>10</v>
      </c>
      <c r="AN73" s="279" t="s">
        <v>0</v>
      </c>
      <c r="AO73" s="279" t="s">
        <v>0</v>
      </c>
      <c r="AP73" s="279">
        <v>703</v>
      </c>
      <c r="AQ73" s="279" t="s">
        <v>0</v>
      </c>
      <c r="AR73" s="279">
        <v>456</v>
      </c>
      <c r="AS73" s="279" t="s">
        <v>0</v>
      </c>
      <c r="AT73" s="279">
        <v>141</v>
      </c>
      <c r="AU73" s="279" t="s">
        <v>0</v>
      </c>
      <c r="AV73" s="279" t="s">
        <v>0</v>
      </c>
      <c r="AW73" s="279" t="s">
        <v>0</v>
      </c>
      <c r="AX73" s="279" t="s">
        <v>0</v>
      </c>
      <c r="AY73" s="279">
        <v>442</v>
      </c>
      <c r="AZ73" s="279" t="s">
        <v>0</v>
      </c>
      <c r="BA73" s="279" t="s">
        <v>0</v>
      </c>
      <c r="BB73" s="279">
        <v>936</v>
      </c>
      <c r="BC73" s="279" t="s">
        <v>0</v>
      </c>
      <c r="BD73" s="279" t="s">
        <v>0</v>
      </c>
      <c r="BE73" s="279">
        <v>529</v>
      </c>
      <c r="BF73" s="279">
        <v>79</v>
      </c>
      <c r="BG73" s="278">
        <v>161637</v>
      </c>
      <c r="BH73" s="279" t="s">
        <v>0</v>
      </c>
      <c r="BI73" s="279">
        <v>6</v>
      </c>
      <c r="BJ73" s="279" t="s">
        <v>0</v>
      </c>
      <c r="BK73" s="279" t="s">
        <v>0</v>
      </c>
      <c r="BL73" s="279" t="s">
        <v>0</v>
      </c>
      <c r="BM73" s="279" t="s">
        <v>0</v>
      </c>
      <c r="BN73" s="279" t="s">
        <v>0</v>
      </c>
      <c r="BO73" s="278">
        <v>12100</v>
      </c>
      <c r="BP73" s="279">
        <v>900</v>
      </c>
      <c r="BQ73" s="278">
        <v>3100</v>
      </c>
      <c r="BR73" s="279" t="s">
        <v>0</v>
      </c>
      <c r="BS73" s="279" t="s">
        <v>0</v>
      </c>
      <c r="BT73" s="278">
        <v>28600</v>
      </c>
      <c r="BU73" s="278">
        <v>41563</v>
      </c>
      <c r="BV73" s="278">
        <v>70000</v>
      </c>
      <c r="BW73" s="278">
        <v>4948</v>
      </c>
      <c r="BX73" s="279">
        <v>420</v>
      </c>
      <c r="BY73" s="279" t="s">
        <v>0</v>
      </c>
      <c r="BZ73" s="279">
        <v>2</v>
      </c>
      <c r="CA73" s="279">
        <v>300</v>
      </c>
      <c r="CB73" s="279">
        <v>192</v>
      </c>
      <c r="CC73" s="279" t="s">
        <v>0</v>
      </c>
      <c r="CD73" s="279">
        <v>10</v>
      </c>
      <c r="CE73" s="279" t="s">
        <v>0</v>
      </c>
      <c r="CF73" s="279" t="s">
        <v>0</v>
      </c>
      <c r="CG73" s="279">
        <v>703</v>
      </c>
      <c r="CH73" s="279" t="s">
        <v>0</v>
      </c>
      <c r="CI73" s="279">
        <v>331</v>
      </c>
      <c r="CJ73" s="279" t="s">
        <v>0</v>
      </c>
      <c r="CK73" s="279">
        <v>183</v>
      </c>
      <c r="CL73" s="279" t="s">
        <v>0</v>
      </c>
      <c r="CM73" s="279" t="s">
        <v>0</v>
      </c>
      <c r="CN73" s="279" t="s">
        <v>0</v>
      </c>
      <c r="CO73" s="279" t="s">
        <v>0</v>
      </c>
      <c r="CP73" s="279">
        <v>155</v>
      </c>
      <c r="CQ73" s="279" t="s">
        <v>0</v>
      </c>
      <c r="CR73" s="279" t="s">
        <v>0</v>
      </c>
      <c r="CS73" s="278">
        <v>1356</v>
      </c>
      <c r="CT73" s="279" t="s">
        <v>0</v>
      </c>
      <c r="CU73" s="279" t="s">
        <v>0</v>
      </c>
      <c r="CV73" s="279">
        <v>356</v>
      </c>
      <c r="CW73" s="282">
        <v>65</v>
      </c>
    </row>
    <row r="74" spans="2:101" ht="13.5" customHeight="1" thickTop="1" x14ac:dyDescent="0.2">
      <c r="B74" s="10">
        <v>25</v>
      </c>
      <c r="C74" s="34" t="s">
        <v>17</v>
      </c>
      <c r="D74" s="35">
        <f>SUMIF($O$8:$O$34,C74,$Q$8:$Q$34)</f>
        <v>0</v>
      </c>
      <c r="E74" s="135">
        <f>SUMIF($O$8:$O$34,C74,$BH$8:$BH$34)</f>
        <v>0</v>
      </c>
      <c r="F74" s="156">
        <f t="shared" si="10"/>
        <v>0</v>
      </c>
      <c r="G74" s="9"/>
      <c r="H74" s="44">
        <v>25</v>
      </c>
      <c r="I74" s="34" t="s">
        <v>17</v>
      </c>
      <c r="J74" s="35">
        <f>SUMIF($O$47:$O$73,I74,$Q$47:$Q$73)</f>
        <v>0</v>
      </c>
      <c r="K74" s="135">
        <f>SUMIF($O$47:$O$73,I74,$BH$47:$BH$73)</f>
        <v>0</v>
      </c>
      <c r="L74" s="156">
        <f t="shared" si="11"/>
        <v>0</v>
      </c>
      <c r="M74" s="2"/>
      <c r="O74" s="281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2:101" ht="13.5" customHeight="1" x14ac:dyDescent="0.2">
      <c r="B75" s="10">
        <v>26</v>
      </c>
      <c r="C75" s="34" t="s">
        <v>33</v>
      </c>
      <c r="D75" s="35">
        <f>SUMIF($O$8:$O$34,C75,$Q$8:$Q$34)</f>
        <v>0</v>
      </c>
      <c r="E75" s="135">
        <f>SUMIF($O$8:$O$34,C75,$BH$8:$BH$34)</f>
        <v>0</v>
      </c>
      <c r="F75" s="156">
        <f t="shared" si="10"/>
        <v>0</v>
      </c>
      <c r="G75" s="9"/>
      <c r="H75" s="44">
        <v>26</v>
      </c>
      <c r="I75" s="34" t="s">
        <v>33</v>
      </c>
      <c r="J75" s="35">
        <f>SUMIF($O$47:$O$73,I75,$Q$47:$Q$73)</f>
        <v>0</v>
      </c>
      <c r="K75" s="135">
        <f>SUMIF($O$47:$O$73,I75,$BH$47:$BH$73)</f>
        <v>0</v>
      </c>
      <c r="L75" s="156">
        <f t="shared" si="11"/>
        <v>0</v>
      </c>
      <c r="M75" s="2"/>
      <c r="N75" s="161"/>
      <c r="O75" s="281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2:101" ht="13.5" customHeight="1" thickBot="1" x14ac:dyDescent="0.25">
      <c r="B76" s="10">
        <v>27</v>
      </c>
      <c r="C76" s="34" t="s">
        <v>20</v>
      </c>
      <c r="D76" s="35">
        <f>SUMIF($O$8:$O$34,C76,$Q$8:$Q$34)</f>
        <v>0</v>
      </c>
      <c r="E76" s="135">
        <f>SUMIF($O$8:$O$34,C76,$BH$8:$BH$34)</f>
        <v>0</v>
      </c>
      <c r="F76" s="156">
        <f t="shared" si="10"/>
        <v>0</v>
      </c>
      <c r="G76" s="9"/>
      <c r="H76" s="44">
        <v>27</v>
      </c>
      <c r="I76" s="34" t="s">
        <v>20</v>
      </c>
      <c r="J76" s="35">
        <f>SUMIF($O$47:$O$73,I76,$Q$47:$Q$73)</f>
        <v>0</v>
      </c>
      <c r="K76" s="135">
        <f>SUMIF($O$47:$O$73,I76,$BH$47:$BH$73)</f>
        <v>0</v>
      </c>
      <c r="L76" s="156">
        <f t="shared" si="11"/>
        <v>0</v>
      </c>
      <c r="M76" s="2"/>
      <c r="N76" s="161"/>
      <c r="O76" s="281" t="s">
        <v>209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2:101" ht="13.5" customHeight="1" thickTop="1" x14ac:dyDescent="0.2">
      <c r="B77" s="10"/>
      <c r="C77" s="34" t="s">
        <v>9</v>
      </c>
      <c r="D77" s="39">
        <f>SUM(D50:D76)</f>
        <v>4066791</v>
      </c>
      <c r="E77" s="39">
        <f>SUM(E50:E76)</f>
        <v>3373585</v>
      </c>
      <c r="F77" s="40">
        <f t="shared" ref="F77:F78" si="12">TRUNC(((E77/D77)-1)*100,2)</f>
        <v>-17.04</v>
      </c>
      <c r="G77" s="9"/>
      <c r="H77" s="44"/>
      <c r="I77" s="34" t="s">
        <v>9</v>
      </c>
      <c r="J77" s="39">
        <f>SUM(J50:J76)</f>
        <v>1047622</v>
      </c>
      <c r="K77" s="39">
        <f>SUM(K50:K76)</f>
        <v>976409</v>
      </c>
      <c r="L77" s="40">
        <f>TRUNC(((K77/J77)-1)*100,2)</f>
        <v>-6.79</v>
      </c>
      <c r="M77" s="2"/>
      <c r="O77" s="162"/>
      <c r="P77" s="9"/>
      <c r="Q77" s="9"/>
      <c r="R77" s="9"/>
      <c r="S77" s="9"/>
      <c r="BB77"/>
      <c r="BC77"/>
      <c r="BD77"/>
      <c r="BE77"/>
    </row>
    <row r="78" spans="2:101" ht="13.5" customHeight="1" x14ac:dyDescent="0.2">
      <c r="B78" s="49"/>
      <c r="C78" s="55" t="s">
        <v>83</v>
      </c>
      <c r="D78" s="52">
        <f>SUM($Q$8:$Q$34)</f>
        <v>4066791</v>
      </c>
      <c r="E78" s="52">
        <f>SUM(BH8:BH34)</f>
        <v>3373585</v>
      </c>
      <c r="F78" s="56">
        <f t="shared" si="12"/>
        <v>-17.04</v>
      </c>
      <c r="G78" s="1"/>
      <c r="H78" s="49"/>
      <c r="I78" s="55" t="s">
        <v>83</v>
      </c>
      <c r="J78" s="52">
        <f>SUM($Q$47:$Q$73)</f>
        <v>1047622</v>
      </c>
      <c r="K78" s="52">
        <f>SUM(BH47:BH73)</f>
        <v>976409</v>
      </c>
      <c r="L78" s="56">
        <f>TRUNC(((K78/J78)-1)*100,2)</f>
        <v>-6.79</v>
      </c>
      <c r="M78" s="9"/>
      <c r="N78" s="9"/>
      <c r="O78" s="9"/>
      <c r="P78" s="9"/>
      <c r="Q78" s="9"/>
      <c r="R78" s="9"/>
      <c r="S78" s="9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2:101" ht="13.5" customHeight="1" x14ac:dyDescent="0.2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2:101" ht="13.5" customHeight="1" x14ac:dyDescent="0.2"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"/>
      <c r="Z80" s="1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2:57" ht="13.5" customHeight="1" x14ac:dyDescent="0.2"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231" t="s">
        <v>205</v>
      </c>
      <c r="P81" s="232"/>
      <c r="Q81" s="232"/>
      <c r="R81" s="232"/>
      <c r="S81" s="233"/>
      <c r="T81" s="3"/>
      <c r="U81" s="178"/>
      <c r="V81" s="178"/>
      <c r="W81" s="178"/>
      <c r="X81" s="1"/>
      <c r="Y81" s="1"/>
      <c r="Z81" s="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2:57" ht="13.5" customHeight="1" x14ac:dyDescent="0.2">
      <c r="B82" s="6" t="s">
        <v>88</v>
      </c>
      <c r="C82" s="242" t="s">
        <v>41</v>
      </c>
      <c r="D82" s="243"/>
      <c r="E82" s="244"/>
      <c r="F82" s="9"/>
      <c r="G82" s="9"/>
      <c r="H82" s="6" t="s">
        <v>88</v>
      </c>
      <c r="I82" s="239" t="s">
        <v>5</v>
      </c>
      <c r="J82" s="240"/>
      <c r="K82" s="241"/>
      <c r="L82" s="6" t="s">
        <v>89</v>
      </c>
      <c r="M82" s="9"/>
      <c r="N82" s="9"/>
      <c r="O82" s="189"/>
      <c r="P82" s="229" t="s">
        <v>2</v>
      </c>
      <c r="Q82" s="230"/>
      <c r="R82" s="229" t="s">
        <v>6</v>
      </c>
      <c r="S82" s="230"/>
      <c r="T82" s="3"/>
      <c r="U82" s="178"/>
      <c r="V82" s="178"/>
      <c r="W82" s="178"/>
      <c r="X82" s="1"/>
      <c r="Y82" s="1"/>
      <c r="Z82" s="1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2:57" ht="13.5" customHeight="1" x14ac:dyDescent="0.2">
      <c r="B83" s="6" t="s">
        <v>4</v>
      </c>
      <c r="C83" s="260" t="s">
        <v>199</v>
      </c>
      <c r="D83" s="261"/>
      <c r="E83" s="262"/>
      <c r="F83" s="9"/>
      <c r="G83" s="9"/>
      <c r="H83" s="6" t="s">
        <v>4</v>
      </c>
      <c r="I83" s="263" t="str">
        <f>C83</f>
        <v>Produto: Feijão Total</v>
      </c>
      <c r="J83" s="264"/>
      <c r="K83" s="265"/>
      <c r="L83" s="6" t="s">
        <v>90</v>
      </c>
      <c r="M83" s="9"/>
      <c r="N83" s="9"/>
      <c r="O83" s="177" t="s">
        <v>14</v>
      </c>
      <c r="P83" s="190">
        <f>D4</f>
        <v>2015</v>
      </c>
      <c r="Q83" s="190">
        <f>D5</f>
        <v>2016</v>
      </c>
      <c r="R83" s="190">
        <f>P83</f>
        <v>2015</v>
      </c>
      <c r="S83" s="190">
        <f>Q83</f>
        <v>2016</v>
      </c>
      <c r="T83" s="3"/>
      <c r="U83" s="178"/>
      <c r="V83" s="178"/>
      <c r="W83" s="178"/>
      <c r="X83" s="1"/>
      <c r="Y83" s="1"/>
      <c r="Z83" s="1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2:57" ht="13.5" customHeight="1" x14ac:dyDescent="0.2">
      <c r="B84" s="128">
        <f>SUMIF(C86:C112,"Goiás",B86:B112)</f>
        <v>3</v>
      </c>
      <c r="C84" s="237" t="s">
        <v>14</v>
      </c>
      <c r="D84" s="237" t="str">
        <f>D48</f>
        <v>Safra 2015 (dezembro)</v>
      </c>
      <c r="E84" s="245" t="str">
        <f>E48</f>
        <v>Safra 2016 (dezembro)</v>
      </c>
      <c r="F84" s="5">
        <f>COUNTIF(E86:E112,"&gt;0")</f>
        <v>27</v>
      </c>
      <c r="G84" s="9"/>
      <c r="H84" s="128">
        <f>SUMIF(I86:I112,"Goiás",H86:H112)</f>
        <v>8</v>
      </c>
      <c r="I84" s="237" t="s">
        <v>14</v>
      </c>
      <c r="J84" s="237" t="str">
        <f>D84</f>
        <v>Safra 2015 (dezembro)</v>
      </c>
      <c r="K84" s="245" t="str">
        <f>E84</f>
        <v>Safra 2016 (dezembro)</v>
      </c>
      <c r="L84" s="129">
        <f>COUNTIF(K86:K112,"&gt;0")</f>
        <v>27</v>
      </c>
      <c r="M84" s="9"/>
      <c r="N84" s="9"/>
      <c r="O84" s="164" t="s">
        <v>15</v>
      </c>
      <c r="P84" s="165">
        <f>SUM(Q8:AH8)</f>
        <v>1677360</v>
      </c>
      <c r="Q84" s="165">
        <f>SUM(BH8:BY8)</f>
        <v>1515379</v>
      </c>
      <c r="R84" s="165">
        <f>SUM(Q47:AH47)</f>
        <v>475478</v>
      </c>
      <c r="S84" s="165">
        <f>SUM(BH47:BY47)</f>
        <v>476321</v>
      </c>
      <c r="T84" s="3"/>
      <c r="U84" s="178"/>
      <c r="V84" s="178"/>
      <c r="W84" s="178"/>
      <c r="X84" s="1"/>
      <c r="Y84" s="1"/>
      <c r="Z84" s="1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2:57" ht="13.5" customHeight="1" x14ac:dyDescent="0.2">
      <c r="B85" s="6" t="s">
        <v>67</v>
      </c>
      <c r="C85" s="238"/>
      <c r="D85" s="238"/>
      <c r="E85" s="246"/>
      <c r="F85" s="37" t="s">
        <v>66</v>
      </c>
      <c r="G85" s="9"/>
      <c r="H85" s="37" t="s">
        <v>67</v>
      </c>
      <c r="I85" s="238"/>
      <c r="J85" s="238"/>
      <c r="K85" s="246"/>
      <c r="L85" s="37" t="s">
        <v>66</v>
      </c>
      <c r="M85" s="9"/>
      <c r="N85" s="9"/>
      <c r="O85" s="164" t="s">
        <v>16</v>
      </c>
      <c r="P85" s="165">
        <f t="shared" ref="P85:P110" si="13">SUM(Q9:AH9)</f>
        <v>106297</v>
      </c>
      <c r="Q85" s="165">
        <f t="shared" ref="Q85:Q110" si="14">SUM(BH9:BY9)</f>
        <v>93259</v>
      </c>
      <c r="R85" s="165">
        <f t="shared" ref="R85:R110" si="15">SUM(Q48:AH48)</f>
        <v>55786</v>
      </c>
      <c r="S85" s="165">
        <f t="shared" ref="S85:S110" si="16">SUM(BH48:BY48)</f>
        <v>48409</v>
      </c>
      <c r="T85" s="3"/>
      <c r="U85" s="178"/>
      <c r="V85" s="178"/>
      <c r="W85" s="178"/>
      <c r="X85" s="1"/>
      <c r="Y85" s="1"/>
      <c r="Z85" s="1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2:57" ht="13.5" customHeight="1" x14ac:dyDescent="0.2">
      <c r="B86" s="10">
        <v>1</v>
      </c>
      <c r="C86" s="34" t="s">
        <v>35</v>
      </c>
      <c r="D86" s="35">
        <f>SUMIF($O$8:$O$34,C86,$X$8:$X$34)+SUMIF($O$8:$O$34,C86,$Y$8:$Y$34)+SUMIF($O$8:$O$34,C86,$Z$8:$Z$34)</f>
        <v>726213</v>
      </c>
      <c r="E86" s="38">
        <f>SUMIF($O$8:$O$34,C86,$BO$8:$BO$34)+SUMIF($O$8:$O$34,C86,$BP$8:$BP$34)+SUMIF($O$8:$O$34,C86,$BQ$8:$BQ$34)</f>
        <v>600108</v>
      </c>
      <c r="F86" s="156">
        <f t="shared" ref="F86:F101" si="17">IF(E86=0,0,TRUNC(((E86/D86)-1)*100,2))</f>
        <v>-17.36</v>
      </c>
      <c r="G86" s="9"/>
      <c r="H86" s="44">
        <v>1</v>
      </c>
      <c r="I86" s="34" t="s">
        <v>35</v>
      </c>
      <c r="J86" s="35">
        <f>SUMIF($O$47:$O$73,I86,$X$47:$X$73)+SUMIF($O$47:$O$73,I86,$Y$47:$Y$73)+SUMIF($O$47:$O$73,I86,$Z$47:$Z$73)</f>
        <v>422093</v>
      </c>
      <c r="K86" s="38">
        <f>SUMIF($O$47:$O$73,I86,$BO$47:$BO$73)+SUMIF($O$47:$O$73,I86,$BP$47:$BP$73)+SUMIF($O$47:$O$73,I86,$BQ$47:$BQ$73)</f>
        <v>393694</v>
      </c>
      <c r="L86" s="156">
        <f t="shared" ref="L86:L101" si="18">IF(K86=0,0,TRUNC(((K86/J86)-1)*100,2))</f>
        <v>-6.72</v>
      </c>
      <c r="M86" s="2"/>
      <c r="N86" s="4"/>
      <c r="O86" s="164" t="s">
        <v>17</v>
      </c>
      <c r="P86" s="165">
        <f t="shared" si="13"/>
        <v>23349</v>
      </c>
      <c r="Q86" s="165">
        <f t="shared" si="14"/>
        <v>38819</v>
      </c>
      <c r="R86" s="165">
        <f t="shared" si="15"/>
        <v>11054</v>
      </c>
      <c r="S86" s="165">
        <f t="shared" si="16"/>
        <v>22529</v>
      </c>
      <c r="T86" s="3"/>
      <c r="U86" s="178"/>
      <c r="V86" s="178"/>
      <c r="W86" s="178"/>
      <c r="X86" s="1"/>
      <c r="Y86" s="1"/>
      <c r="Z86" s="1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2:57" ht="13.5" customHeight="1" x14ac:dyDescent="0.2">
      <c r="B87" s="10">
        <v>2</v>
      </c>
      <c r="C87" s="34" t="s">
        <v>31</v>
      </c>
      <c r="D87" s="35">
        <f>SUMIF($O$8:$O$34,C87,$X$8:$X$34)+SUMIF($O$8:$O$34,C87,$Y$8:$Y$34)+SUMIF($O$8:$O$34,C87,$Z$8:$Z$34)</f>
        <v>509164</v>
      </c>
      <c r="E87" s="38">
        <f>SUMIF($O$8:$O$34,C87,$BO$8:$BO$34)+SUMIF($O$8:$O$34,C87,$BP$8:$BP$34)+SUMIF($O$8:$O$34,C87,$BQ$8:$BQ$34)</f>
        <v>522388</v>
      </c>
      <c r="F87" s="156">
        <f t="shared" si="17"/>
        <v>2.59</v>
      </c>
      <c r="G87" s="9"/>
      <c r="H87" s="44">
        <v>2</v>
      </c>
      <c r="I87" s="34" t="s">
        <v>24</v>
      </c>
      <c r="J87" s="35">
        <f>SUMIF($O$47:$O$73,I87,$X$47:$X$73)+SUMIF($O$47:$O$73,I87,$Y$47:$Y$73)+SUMIF($O$47:$O$73,I87,$Z$47:$Z$73)</f>
        <v>404701</v>
      </c>
      <c r="K87" s="38">
        <f>SUMIF($O$47:$O$73,I87,$BO$47:$BO$73)+SUMIF($O$47:$O$73,I87,$BP$47:$BP$73)+SUMIF($O$47:$O$73,I87,$BQ$47:$BQ$73)</f>
        <v>383700</v>
      </c>
      <c r="L87" s="156">
        <f t="shared" si="18"/>
        <v>-5.18</v>
      </c>
      <c r="M87" s="2"/>
      <c r="N87" s="4"/>
      <c r="O87" s="164" t="s">
        <v>18</v>
      </c>
      <c r="P87" s="165">
        <f t="shared" si="13"/>
        <v>127505</v>
      </c>
      <c r="Q87" s="165">
        <f t="shared" si="14"/>
        <v>127334</v>
      </c>
      <c r="R87" s="165">
        <f t="shared" si="15"/>
        <v>40593</v>
      </c>
      <c r="S87" s="165">
        <f t="shared" si="16"/>
        <v>42357</v>
      </c>
      <c r="T87" s="3"/>
      <c r="U87" s="178"/>
      <c r="V87" s="178"/>
      <c r="W87" s="178"/>
      <c r="X87" s="1"/>
      <c r="Y87" s="1"/>
      <c r="Z87" s="1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2:57" ht="13.5" customHeight="1" x14ac:dyDescent="0.2">
      <c r="B88" s="10">
        <v>3</v>
      </c>
      <c r="C88" s="34" t="s">
        <v>4</v>
      </c>
      <c r="D88" s="35">
        <f>SUMIF($O$8:$O$34,C88,$X$8:$X$34)+SUMIF($O$8:$O$34,C88,$Y$8:$Y$34)+SUMIF($O$8:$O$34,C88,$Z$8:$Z$34)</f>
        <v>289463</v>
      </c>
      <c r="E88" s="38">
        <f>SUMIF($O$8:$O$34,C88,$BO$8:$BO$34)+SUMIF($O$8:$O$34,C88,$BP$8:$BP$34)+SUMIF($O$8:$O$34,C88,$BQ$8:$BQ$34)</f>
        <v>345458</v>
      </c>
      <c r="F88" s="156">
        <f t="shared" si="17"/>
        <v>19.34</v>
      </c>
      <c r="G88" s="9"/>
      <c r="H88" s="44">
        <v>3</v>
      </c>
      <c r="I88" s="34" t="s">
        <v>30</v>
      </c>
      <c r="J88" s="35">
        <f>SUMIF($O$47:$O$73,I88,$X$47:$X$73)+SUMIF($O$47:$O$73,I88,$Y$47:$Y$73)+SUMIF($O$47:$O$73,I88,$Z$47:$Z$73)</f>
        <v>565164</v>
      </c>
      <c r="K88" s="38">
        <f>SUMIF($O$47:$O$73,I88,$BO$47:$BO$73)+SUMIF($O$47:$O$73,I88,$BP$47:$BP$73)+SUMIF($O$47:$O$73,I88,$BQ$47:$BQ$73)</f>
        <v>361573</v>
      </c>
      <c r="L88" s="156">
        <f t="shared" si="18"/>
        <v>-36.020000000000003</v>
      </c>
      <c r="M88" s="2"/>
      <c r="N88" s="50"/>
      <c r="O88" s="164" t="s">
        <v>19</v>
      </c>
      <c r="P88" s="165">
        <f t="shared" si="13"/>
        <v>1990621</v>
      </c>
      <c r="Q88" s="165">
        <f t="shared" si="14"/>
        <v>2166910</v>
      </c>
      <c r="R88" s="165">
        <f t="shared" si="15"/>
        <v>673634</v>
      </c>
      <c r="S88" s="165">
        <f t="shared" si="16"/>
        <v>742239</v>
      </c>
      <c r="T88" s="3"/>
      <c r="U88" s="178"/>
      <c r="V88" s="178"/>
      <c r="W88" s="178"/>
      <c r="X88" s="1"/>
      <c r="Y88" s="1"/>
      <c r="Z88" s="1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2:57" ht="13.5" customHeight="1" x14ac:dyDescent="0.2">
      <c r="B89" s="10">
        <v>4</v>
      </c>
      <c r="C89" s="34" t="s">
        <v>39</v>
      </c>
      <c r="D89" s="35">
        <f>SUMIF($O$8:$O$34,C89,$X$8:$X$34)+SUMIF($O$8:$O$34,C89,$Y$8:$Y$34)+SUMIF($O$8:$O$34,C89,$Z$8:$Z$34)</f>
        <v>318881</v>
      </c>
      <c r="E89" s="38">
        <f>SUMIF($O$8:$O$34,C89,$BO$8:$BO$34)+SUMIF($O$8:$O$34,C89,$BP$8:$BP$34)+SUMIF($O$8:$O$34,C89,$BQ$8:$BQ$34)</f>
        <v>230897</v>
      </c>
      <c r="F89" s="156">
        <f t="shared" si="17"/>
        <v>-27.59</v>
      </c>
      <c r="G89" s="9"/>
      <c r="H89" s="44">
        <v>4</v>
      </c>
      <c r="I89" s="34" t="s">
        <v>31</v>
      </c>
      <c r="J89" s="35">
        <f>SUMIF($O$47:$O$73,I89,$X$47:$X$73)+SUMIF($O$47:$O$73,I89,$Y$47:$Y$73)+SUMIF($O$47:$O$73,I89,$Z$47:$Z$73)</f>
        <v>346758</v>
      </c>
      <c r="K89" s="38">
        <f>SUMIF($O$47:$O$73,I89,$BO$47:$BO$73)+SUMIF($O$47:$O$73,I89,$BP$47:$BP$73)+SUMIF($O$47:$O$73,I89,$BQ$47:$BQ$73)</f>
        <v>339947</v>
      </c>
      <c r="L89" s="156">
        <f t="shared" si="18"/>
        <v>-1.96</v>
      </c>
      <c r="M89" s="2"/>
      <c r="N89" s="50"/>
      <c r="O89" s="164" t="s">
        <v>20</v>
      </c>
      <c r="P89" s="165">
        <f t="shared" si="13"/>
        <v>33600</v>
      </c>
      <c r="Q89" s="165">
        <f t="shared" si="14"/>
        <v>46280</v>
      </c>
      <c r="R89" s="165">
        <f t="shared" si="15"/>
        <v>15907</v>
      </c>
      <c r="S89" s="165">
        <f t="shared" si="16"/>
        <v>19884</v>
      </c>
      <c r="T89" s="3"/>
      <c r="U89" s="178"/>
      <c r="V89" s="178"/>
      <c r="W89" s="178"/>
      <c r="X89" s="1"/>
      <c r="Y89" s="1"/>
      <c r="Z89" s="1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2:57" ht="13.5" customHeight="1" x14ac:dyDescent="0.2">
      <c r="B90" s="10">
        <v>5</v>
      </c>
      <c r="C90" s="34" t="s">
        <v>34</v>
      </c>
      <c r="D90" s="35">
        <f>SUMIF($O$8:$O$34,C90,$X$8:$X$34)+SUMIF($O$8:$O$34,C90,$Y$8:$Y$34)+SUMIF($O$8:$O$34,C90,$Z$8:$Z$34)</f>
        <v>235999</v>
      </c>
      <c r="E90" s="38">
        <f>SUMIF($O$8:$O$34,C90,$BO$8:$BO$34)+SUMIF($O$8:$O$34,C90,$BP$8:$BP$34)+SUMIF($O$8:$O$34,C90,$BQ$8:$BQ$34)</f>
        <v>212877</v>
      </c>
      <c r="F90" s="156">
        <f t="shared" si="17"/>
        <v>-9.7899999999999991</v>
      </c>
      <c r="G90" s="9"/>
      <c r="H90" s="44">
        <v>5</v>
      </c>
      <c r="I90" s="34" t="s">
        <v>39</v>
      </c>
      <c r="J90" s="35">
        <f>SUMIF($O$47:$O$73,I90,$X$47:$X$73)+SUMIF($O$47:$O$73,I90,$Y$47:$Y$73)+SUMIF($O$47:$O$73,I90,$Z$47:$Z$73)</f>
        <v>239841</v>
      </c>
      <c r="K90" s="38">
        <f>SUMIF($O$47:$O$73,I90,$BO$47:$BO$73)+SUMIF($O$47:$O$73,I90,$BP$47:$BP$73)+SUMIF($O$47:$O$73,I90,$BQ$47:$BQ$73)</f>
        <v>251672</v>
      </c>
      <c r="L90" s="156">
        <f t="shared" si="18"/>
        <v>4.93</v>
      </c>
      <c r="M90" s="2"/>
      <c r="N90" s="50"/>
      <c r="O90" s="164" t="s">
        <v>21</v>
      </c>
      <c r="P90" s="165">
        <f t="shared" si="13"/>
        <v>3726475</v>
      </c>
      <c r="Q90" s="165">
        <f t="shared" si="14"/>
        <v>2737194</v>
      </c>
      <c r="R90" s="165">
        <f t="shared" si="15"/>
        <v>1134508</v>
      </c>
      <c r="S90" s="165">
        <f t="shared" si="16"/>
        <v>1036245</v>
      </c>
      <c r="T90" s="3"/>
      <c r="U90" s="178"/>
      <c r="V90" s="178"/>
      <c r="W90" s="178"/>
      <c r="X90" s="1"/>
      <c r="Y90" s="1"/>
      <c r="Z90" s="1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2:57" ht="13.5" customHeight="1" x14ac:dyDescent="0.2">
      <c r="B91" s="10">
        <v>6</v>
      </c>
      <c r="C91" s="34" t="s">
        <v>30</v>
      </c>
      <c r="D91" s="35">
        <f>SUMIF($O$8:$O$34,C91,$X$8:$X$34)+SUMIF($O$8:$O$34,C91,$Y$8:$Y$34)+SUMIF($O$8:$O$34,C91,$Z$8:$Z$34)</f>
        <v>414665</v>
      </c>
      <c r="E91" s="38">
        <f>SUMIF($O$8:$O$34,C91,$BO$8:$BO$34)+SUMIF($O$8:$O$34,C91,$BP$8:$BP$34)+SUMIF($O$8:$O$34,C91,$BQ$8:$BQ$34)</f>
        <v>171121</v>
      </c>
      <c r="F91" s="156">
        <f t="shared" si="17"/>
        <v>-58.73</v>
      </c>
      <c r="G91" s="9"/>
      <c r="H91" s="44">
        <v>6</v>
      </c>
      <c r="I91" s="34" t="s">
        <v>23</v>
      </c>
      <c r="J91" s="35">
        <f>SUMIF($O$47:$O$73,I91,$X$47:$X$73)+SUMIF($O$47:$O$73,I91,$Y$47:$Y$73)+SUMIF($O$47:$O$73,I91,$Z$47:$Z$73)</f>
        <v>211609</v>
      </c>
      <c r="K91" s="38">
        <f>SUMIF($O$47:$O$73,I91,$BO$47:$BO$73)+SUMIF($O$47:$O$73,I91,$BP$47:$BP$73)+SUMIF($O$47:$O$73,I91,$BQ$47:$BQ$73)</f>
        <v>219687</v>
      </c>
      <c r="L91" s="156">
        <f t="shared" si="18"/>
        <v>3.81</v>
      </c>
      <c r="M91" s="2"/>
      <c r="N91" s="50"/>
      <c r="O91" s="164" t="s">
        <v>22</v>
      </c>
      <c r="P91" s="165">
        <f t="shared" si="13"/>
        <v>3967576</v>
      </c>
      <c r="Q91" s="165">
        <f t="shared" si="14"/>
        <v>2208893</v>
      </c>
      <c r="R91" s="165">
        <f t="shared" si="15"/>
        <v>1576348</v>
      </c>
      <c r="S91" s="165">
        <f t="shared" si="16"/>
        <v>1399512</v>
      </c>
      <c r="T91" s="3"/>
      <c r="U91" s="178"/>
      <c r="V91" s="178"/>
      <c r="W91" s="178"/>
      <c r="X91" s="1"/>
      <c r="Y91" s="1"/>
      <c r="Z91" s="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2:57" ht="13.5" customHeight="1" x14ac:dyDescent="0.2">
      <c r="B92" s="10">
        <v>7</v>
      </c>
      <c r="C92" s="34" t="s">
        <v>36</v>
      </c>
      <c r="D92" s="35">
        <f>SUMIF($O$8:$O$34,C92,$X$8:$X$34)+SUMIF($O$8:$O$34,C92,$Y$8:$Y$34)+SUMIF($O$8:$O$34,C92,$Z$8:$Z$34)</f>
        <v>138776</v>
      </c>
      <c r="E92" s="38">
        <f>SUMIF($O$8:$O$34,C92,$BO$8:$BO$34)+SUMIF($O$8:$O$34,C92,$BP$8:$BP$34)+SUMIF($O$8:$O$34,C92,$BQ$8:$BQ$34)</f>
        <v>123623</v>
      </c>
      <c r="F92" s="156">
        <f t="shared" si="17"/>
        <v>-10.91</v>
      </c>
      <c r="G92" s="9"/>
      <c r="H92" s="44">
        <v>7</v>
      </c>
      <c r="I92" s="34" t="s">
        <v>27</v>
      </c>
      <c r="J92" s="35">
        <f>SUMIF($O$47:$O$73,I92,$X$47:$X$73)+SUMIF($O$47:$O$73,I92,$Y$47:$Y$73)+SUMIF($O$47:$O$73,I92,$Z$47:$Z$73)</f>
        <v>189123</v>
      </c>
      <c r="K92" s="38">
        <f>SUMIF($O$47:$O$73,I92,$BO$47:$BO$73)+SUMIF($O$47:$O$73,I92,$BP$47:$BP$73)+SUMIF($O$47:$O$73,I92,$BQ$47:$BQ$73)</f>
        <v>209676</v>
      </c>
      <c r="L92" s="156">
        <f t="shared" si="18"/>
        <v>10.86</v>
      </c>
      <c r="M92" s="2"/>
      <c r="N92" s="50"/>
      <c r="O92" s="164" t="s">
        <v>23</v>
      </c>
      <c r="P92" s="165">
        <f t="shared" si="13"/>
        <v>3096917</v>
      </c>
      <c r="Q92" s="165">
        <f t="shared" si="14"/>
        <v>1341900</v>
      </c>
      <c r="R92" s="165">
        <f t="shared" si="15"/>
        <v>1408868</v>
      </c>
      <c r="S92" s="165">
        <f t="shared" si="16"/>
        <v>1361412</v>
      </c>
      <c r="T92" s="3"/>
      <c r="U92" s="178"/>
      <c r="V92" s="178"/>
      <c r="W92" s="178"/>
      <c r="X92" s="1"/>
      <c r="Y92" s="1"/>
      <c r="Z92" s="1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2:57" ht="13.5" customHeight="1" x14ac:dyDescent="0.2">
      <c r="B93" s="10">
        <v>8</v>
      </c>
      <c r="C93" s="34" t="s">
        <v>37</v>
      </c>
      <c r="D93" s="35">
        <f>SUMIF($O$8:$O$34,C93,$X$8:$X$34)+SUMIF($O$8:$O$34,C93,$Y$8:$Y$34)+SUMIF($O$8:$O$34,C93,$Z$8:$Z$34)</f>
        <v>95349</v>
      </c>
      <c r="E93" s="38">
        <f>SUMIF($O$8:$O$34,C93,$BO$8:$BO$34)+SUMIF($O$8:$O$34,C93,$BP$8:$BP$34)+SUMIF($O$8:$O$34,C93,$BQ$8:$BQ$34)</f>
        <v>87731</v>
      </c>
      <c r="F93" s="156">
        <f t="shared" si="17"/>
        <v>-7.98</v>
      </c>
      <c r="G93" s="9"/>
      <c r="H93" s="44">
        <v>8</v>
      </c>
      <c r="I93" s="34" t="s">
        <v>4</v>
      </c>
      <c r="J93" s="35">
        <f>SUMIF($O$47:$O$73,I93,$X$47:$X$73)+SUMIF($O$47:$O$73,I93,$Y$47:$Y$73)+SUMIF($O$47:$O$73,I93,$Z$47:$Z$73)</f>
        <v>123052</v>
      </c>
      <c r="K93" s="38">
        <f>SUMIF($O$47:$O$73,I93,$BO$47:$BO$73)+SUMIF($O$47:$O$73,I93,$BP$47:$BP$73)+SUMIF($O$47:$O$73,I93,$BQ$47:$BQ$73)</f>
        <v>149439</v>
      </c>
      <c r="L93" s="156">
        <f t="shared" si="18"/>
        <v>21.44</v>
      </c>
      <c r="M93" s="2"/>
      <c r="N93" s="50"/>
      <c r="O93" s="164" t="s">
        <v>24</v>
      </c>
      <c r="P93" s="165">
        <f t="shared" si="13"/>
        <v>225039</v>
      </c>
      <c r="Q93" s="165">
        <f t="shared" si="14"/>
        <v>187182</v>
      </c>
      <c r="R93" s="165">
        <f t="shared" si="15"/>
        <v>918391</v>
      </c>
      <c r="S93" s="165">
        <f t="shared" si="16"/>
        <v>871184</v>
      </c>
      <c r="T93" s="3"/>
      <c r="U93" s="178"/>
      <c r="V93" s="178"/>
      <c r="W93" s="178"/>
      <c r="X93" s="1"/>
      <c r="Y93" s="1"/>
      <c r="Z93" s="1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2:57" ht="13.5" customHeight="1" x14ac:dyDescent="0.2">
      <c r="B94" s="10">
        <v>9</v>
      </c>
      <c r="C94" s="34" t="s">
        <v>24</v>
      </c>
      <c r="D94" s="35">
        <f>SUMIF($O$8:$O$34,C94,$X$8:$X$34)+SUMIF($O$8:$O$34,C94,$Y$8:$Y$34)+SUMIF($O$8:$O$34,C94,$Z$8:$Z$34)</f>
        <v>67350</v>
      </c>
      <c r="E94" s="38">
        <f>SUMIF($O$8:$O$34,C94,$BO$8:$BO$34)+SUMIF($O$8:$O$34,C94,$BP$8:$BP$34)+SUMIF($O$8:$O$34,C94,$BQ$8:$BQ$34)</f>
        <v>56680</v>
      </c>
      <c r="F94" s="156">
        <f t="shared" si="17"/>
        <v>-15.84</v>
      </c>
      <c r="G94" s="9"/>
      <c r="H94" s="44">
        <v>9</v>
      </c>
      <c r="I94" s="34" t="s">
        <v>34</v>
      </c>
      <c r="J94" s="35">
        <f>SUMIF($O$47:$O$73,I94,$X$47:$X$73)+SUMIF($O$47:$O$73,I94,$Y$47:$Y$73)+SUMIF($O$47:$O$73,I94,$Z$47:$Z$73)</f>
        <v>94734</v>
      </c>
      <c r="K94" s="38">
        <f>SUMIF($O$47:$O$73,I94,$BO$47:$BO$73)+SUMIF($O$47:$O$73,I94,$BP$47:$BP$73)+SUMIF($O$47:$O$73,I94,$BQ$47:$BQ$73)</f>
        <v>90968</v>
      </c>
      <c r="L94" s="156">
        <f t="shared" si="18"/>
        <v>-3.97</v>
      </c>
      <c r="M94" s="2"/>
      <c r="N94" s="50"/>
      <c r="O94" s="164" t="s">
        <v>25</v>
      </c>
      <c r="P94" s="165">
        <f t="shared" si="13"/>
        <v>11253</v>
      </c>
      <c r="Q94" s="165">
        <f t="shared" si="14"/>
        <v>12007</v>
      </c>
      <c r="R94" s="165">
        <f t="shared" si="15"/>
        <v>88201</v>
      </c>
      <c r="S94" s="165">
        <f t="shared" si="16"/>
        <v>75498</v>
      </c>
      <c r="T94" s="3"/>
      <c r="U94" s="178"/>
      <c r="V94" s="178"/>
      <c r="W94" s="178"/>
      <c r="X94" s="1"/>
      <c r="Y94" s="1"/>
      <c r="Z94" s="1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2:57" ht="13.5" customHeight="1" x14ac:dyDescent="0.2">
      <c r="B95" s="10">
        <v>10</v>
      </c>
      <c r="C95" s="34" t="s">
        <v>22</v>
      </c>
      <c r="D95" s="35">
        <f>SUMIF($O$8:$O$34,C95,$X$8:$X$34)+SUMIF($O$8:$O$34,C95,$Y$8:$Y$34)+SUMIF($O$8:$O$34,C95,$Z$8:$Z$34)</f>
        <v>45918</v>
      </c>
      <c r="E95" s="38">
        <f>SUMIF($O$8:$O$34,C95,$BO$8:$BO$34)+SUMIF($O$8:$O$34,C95,$BP$8:$BP$34)+SUMIF($O$8:$O$34,C95,$BQ$8:$BQ$34)</f>
        <v>34934</v>
      </c>
      <c r="F95" s="156">
        <f t="shared" si="17"/>
        <v>-23.92</v>
      </c>
      <c r="G95" s="9"/>
      <c r="H95" s="44">
        <v>10</v>
      </c>
      <c r="I95" s="34" t="s">
        <v>26</v>
      </c>
      <c r="J95" s="35">
        <f>SUMIF($O$47:$O$73,I95,$X$47:$X$73)+SUMIF($O$47:$O$73,I95,$Y$47:$Y$73)+SUMIF($O$47:$O$73,I95,$Z$47:$Z$73)</f>
        <v>64350</v>
      </c>
      <c r="K95" s="38">
        <f>SUMIF($O$47:$O$73,I95,$BO$47:$BO$73)+SUMIF($O$47:$O$73,I95,$BP$47:$BP$73)+SUMIF($O$47:$O$73,I95,$BQ$47:$BQ$73)</f>
        <v>81496</v>
      </c>
      <c r="L95" s="156">
        <f t="shared" si="18"/>
        <v>26.64</v>
      </c>
      <c r="M95" s="2"/>
      <c r="N95" s="50"/>
      <c r="O95" s="164" t="s">
        <v>26</v>
      </c>
      <c r="P95" s="165">
        <f t="shared" si="13"/>
        <v>18793</v>
      </c>
      <c r="Q95" s="165">
        <f t="shared" si="14"/>
        <v>22412</v>
      </c>
      <c r="R95" s="165">
        <f t="shared" si="15"/>
        <v>131479</v>
      </c>
      <c r="S95" s="165">
        <f t="shared" si="16"/>
        <v>166861</v>
      </c>
      <c r="T95" s="3"/>
      <c r="U95" s="178"/>
      <c r="V95" s="178"/>
      <c r="W95" s="178"/>
      <c r="X95" s="1"/>
      <c r="Y95" s="1"/>
      <c r="Z95" s="1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2:57" ht="13.5" customHeight="1" x14ac:dyDescent="0.2">
      <c r="B96" s="10">
        <v>11</v>
      </c>
      <c r="C96" s="34" t="s">
        <v>40</v>
      </c>
      <c r="D96" s="35">
        <f>SUMIF($O$8:$O$34,C96,$X$8:$X$34)+SUMIF($O$8:$O$34,C96,$Y$8:$Y$34)+SUMIF($O$8:$O$34,C96,$Z$8:$Z$34)</f>
        <v>33496</v>
      </c>
      <c r="E96" s="38">
        <f>SUMIF($O$8:$O$34,C96,$BO$8:$BO$34)+SUMIF($O$8:$O$34,C96,$BP$8:$BP$34)+SUMIF($O$8:$O$34,C96,$BQ$8:$BQ$34)</f>
        <v>25795</v>
      </c>
      <c r="F96" s="156">
        <f t="shared" si="17"/>
        <v>-22.99</v>
      </c>
      <c r="G96" s="51"/>
      <c r="H96" s="44">
        <v>11</v>
      </c>
      <c r="I96" s="34" t="s">
        <v>36</v>
      </c>
      <c r="J96" s="35">
        <f>SUMIF($O$47:$O$73,I96,$X$47:$X$73)+SUMIF($O$47:$O$73,I96,$Y$47:$Y$73)+SUMIF($O$47:$O$73,I96,$Z$47:$Z$73)</f>
        <v>77051</v>
      </c>
      <c r="K96" s="38">
        <f>SUMIF($O$47:$O$73,I96,$BO$47:$BO$73)+SUMIF($O$47:$O$73,I96,$BP$47:$BP$73)+SUMIF($O$47:$O$73,I96,$BQ$47:$BQ$73)</f>
        <v>73723</v>
      </c>
      <c r="L96" s="156">
        <f t="shared" si="18"/>
        <v>-4.3099999999999996</v>
      </c>
      <c r="M96" s="2"/>
      <c r="N96" s="50"/>
      <c r="O96" s="164" t="s">
        <v>27</v>
      </c>
      <c r="P96" s="165">
        <f t="shared" si="13"/>
        <v>61589</v>
      </c>
      <c r="Q96" s="165">
        <f t="shared" si="14"/>
        <v>38505</v>
      </c>
      <c r="R96" s="165">
        <f t="shared" si="15"/>
        <v>386409</v>
      </c>
      <c r="S96" s="165">
        <f t="shared" si="16"/>
        <v>398554</v>
      </c>
      <c r="T96" s="3"/>
      <c r="U96" s="178"/>
      <c r="V96" s="178"/>
      <c r="W96" s="178"/>
      <c r="X96" s="1"/>
      <c r="Y96" s="1"/>
      <c r="Z96" s="1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2:57" ht="13.5" customHeight="1" x14ac:dyDescent="0.2">
      <c r="B97" s="10">
        <v>12</v>
      </c>
      <c r="C97" s="34" t="s">
        <v>27</v>
      </c>
      <c r="D97" s="35">
        <f>SUMIF($O$8:$O$34,C97,$X$8:$X$34)+SUMIF($O$8:$O$34,C97,$Y$8:$Y$34)+SUMIF($O$8:$O$34,C97,$Z$8:$Z$34)</f>
        <v>33560</v>
      </c>
      <c r="E97" s="38">
        <f>SUMIF($O$8:$O$34,C97,$BO$8:$BO$34)+SUMIF($O$8:$O$34,C97,$BP$8:$BP$34)+SUMIF($O$8:$O$34,C97,$BQ$8:$BQ$34)</f>
        <v>25153</v>
      </c>
      <c r="F97" s="156">
        <f t="shared" si="17"/>
        <v>-25.05</v>
      </c>
      <c r="G97" s="9"/>
      <c r="H97" s="44">
        <v>12</v>
      </c>
      <c r="I97" s="34" t="s">
        <v>22</v>
      </c>
      <c r="J97" s="35">
        <f>SUMIF($O$47:$O$73,I97,$X$47:$X$73)+SUMIF($O$47:$O$73,I97,$Y$47:$Y$73)+SUMIF($O$47:$O$73,I97,$Z$47:$Z$73)</f>
        <v>86748</v>
      </c>
      <c r="K97" s="38">
        <f>SUMIF($O$47:$O$73,I97,$BO$47:$BO$73)+SUMIF($O$47:$O$73,I97,$BP$47:$BP$73)+SUMIF($O$47:$O$73,I97,$BQ$47:$BQ$73)</f>
        <v>73692</v>
      </c>
      <c r="L97" s="156">
        <f t="shared" si="18"/>
        <v>-15.05</v>
      </c>
      <c r="M97" s="2"/>
      <c r="N97" s="50"/>
      <c r="O97" s="164" t="s">
        <v>28</v>
      </c>
      <c r="P97" s="165">
        <f t="shared" si="13"/>
        <v>46061</v>
      </c>
      <c r="Q97" s="165">
        <f t="shared" si="14"/>
        <v>38102</v>
      </c>
      <c r="R97" s="165">
        <f t="shared" si="15"/>
        <v>88251</v>
      </c>
      <c r="S97" s="165">
        <f t="shared" si="16"/>
        <v>71565</v>
      </c>
      <c r="T97" s="3"/>
      <c r="U97" s="178"/>
      <c r="V97" s="178"/>
      <c r="W97" s="178"/>
      <c r="X97" s="1"/>
      <c r="Y97" s="1"/>
      <c r="Z97" s="1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2:57" ht="13.5" customHeight="1" x14ac:dyDescent="0.2">
      <c r="B98" s="10">
        <v>13</v>
      </c>
      <c r="C98" s="34" t="s">
        <v>19</v>
      </c>
      <c r="D98" s="35">
        <f>SUMIF($O$8:$O$34,C98,$X$8:$X$34)+SUMIF($O$8:$O$34,C98,$Y$8:$Y$34)+SUMIF($O$8:$O$34,C98,$Z$8:$Z$34)</f>
        <v>24800</v>
      </c>
      <c r="E98" s="38">
        <f>SUMIF($O$8:$O$34,C98,$BO$8:$BO$34)+SUMIF($O$8:$O$34,C98,$BP$8:$BP$34)+SUMIF($O$8:$O$34,C98,$BQ$8:$BQ$34)</f>
        <v>24978</v>
      </c>
      <c r="F98" s="156">
        <f t="shared" si="17"/>
        <v>0.71</v>
      </c>
      <c r="G98" s="9"/>
      <c r="H98" s="44">
        <v>13</v>
      </c>
      <c r="I98" s="34" t="s">
        <v>37</v>
      </c>
      <c r="J98" s="35">
        <f>SUMIF($O$47:$O$73,I98,$X$47:$X$73)+SUMIF($O$47:$O$73,I98,$Y$47:$Y$73)+SUMIF($O$47:$O$73,I98,$Z$47:$Z$73)</f>
        <v>67248</v>
      </c>
      <c r="K98" s="38">
        <f>SUMIF($O$47:$O$73,I98,$BO$47:$BO$73)+SUMIF($O$47:$O$73,I98,$BP$47:$BP$73)+SUMIF($O$47:$O$73,I98,$BQ$47:$BQ$73)</f>
        <v>61340</v>
      </c>
      <c r="L98" s="156">
        <f t="shared" si="18"/>
        <v>-8.7799999999999994</v>
      </c>
      <c r="M98" s="2"/>
      <c r="N98" s="50"/>
      <c r="O98" s="164" t="s">
        <v>29</v>
      </c>
      <c r="P98" s="165">
        <f t="shared" si="13"/>
        <v>530797</v>
      </c>
      <c r="Q98" s="165">
        <f t="shared" si="14"/>
        <v>176331</v>
      </c>
      <c r="R98" s="165">
        <f t="shared" si="15"/>
        <v>195830</v>
      </c>
      <c r="S98" s="165">
        <f t="shared" si="16"/>
        <v>190715</v>
      </c>
      <c r="T98" s="3"/>
      <c r="U98" s="178"/>
      <c r="V98" s="178"/>
      <c r="W98" s="178"/>
      <c r="X98" s="1"/>
      <c r="Y98" s="1"/>
      <c r="Z98" s="1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2:57" ht="13.5" customHeight="1" x14ac:dyDescent="0.2">
      <c r="B99" s="10">
        <v>14</v>
      </c>
      <c r="C99" s="34" t="s">
        <v>23</v>
      </c>
      <c r="D99" s="35">
        <f>SUMIF($O$8:$O$34,C99,$X$8:$X$34)+SUMIF($O$8:$O$34,C99,$Y$8:$Y$34)+SUMIF($O$8:$O$34,C99,$Z$8:$Z$34)</f>
        <v>47531</v>
      </c>
      <c r="E99" s="38">
        <f>SUMIF($O$8:$O$34,C99,$BO$8:$BO$34)+SUMIF($O$8:$O$34,C99,$BP$8:$BP$34)+SUMIF($O$8:$O$34,C99,$BQ$8:$BQ$34)</f>
        <v>21959</v>
      </c>
      <c r="F99" s="156">
        <f t="shared" si="17"/>
        <v>-53.8</v>
      </c>
      <c r="G99" s="9"/>
      <c r="H99" s="44">
        <v>14</v>
      </c>
      <c r="I99" s="34" t="s">
        <v>28</v>
      </c>
      <c r="J99" s="35">
        <f>SUMIF($O$47:$O$73,I99,$X$47:$X$73)+SUMIF($O$47:$O$73,I99,$Y$47:$Y$73)+SUMIF($O$47:$O$73,I99,$Z$47:$Z$73)</f>
        <v>49587</v>
      </c>
      <c r="K99" s="38">
        <f>SUMIF($O$47:$O$73,I99,$BO$47:$BO$73)+SUMIF($O$47:$O$73,I99,$BP$47:$BP$73)+SUMIF($O$47:$O$73,I99,$BQ$47:$BQ$73)</f>
        <v>37733</v>
      </c>
      <c r="L99" s="156">
        <f t="shared" si="18"/>
        <v>-23.9</v>
      </c>
      <c r="M99" s="2"/>
      <c r="N99" s="50"/>
      <c r="O99" s="164" t="s">
        <v>30</v>
      </c>
      <c r="P99" s="165">
        <f t="shared" si="13"/>
        <v>9005999</v>
      </c>
      <c r="Q99" s="165">
        <f t="shared" si="14"/>
        <v>5850147</v>
      </c>
      <c r="R99" s="165">
        <f t="shared" si="15"/>
        <v>3362156</v>
      </c>
      <c r="S99" s="165">
        <f t="shared" si="16"/>
        <v>2985903</v>
      </c>
      <c r="T99" s="3"/>
      <c r="U99" s="178"/>
      <c r="V99" s="178"/>
      <c r="W99" s="178"/>
      <c r="X99" s="1"/>
      <c r="Y99" s="1"/>
      <c r="Z99" s="1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2:57" ht="13.5" customHeight="1" x14ac:dyDescent="0.2">
      <c r="B100" s="10">
        <v>15</v>
      </c>
      <c r="C100" s="34" t="s">
        <v>38</v>
      </c>
      <c r="D100" s="35">
        <f>SUMIF($O$8:$O$34,C100,$X$8:$X$34)+SUMIF($O$8:$O$34,C100,$Y$8:$Y$34)+SUMIF($O$8:$O$34,C100,$Z$8:$Z$34)</f>
        <v>27057</v>
      </c>
      <c r="E100" s="38">
        <f>SUMIF($O$8:$O$34,C100,$BO$8:$BO$34)+SUMIF($O$8:$O$34,C100,$BP$8:$BP$34)+SUMIF($O$8:$O$34,C100,$BQ$8:$BQ$34)</f>
        <v>16446</v>
      </c>
      <c r="F100" s="156">
        <f t="shared" si="17"/>
        <v>-39.21</v>
      </c>
      <c r="G100" s="9"/>
      <c r="H100" s="44">
        <v>15</v>
      </c>
      <c r="I100" s="34" t="s">
        <v>25</v>
      </c>
      <c r="J100" s="35">
        <f>SUMIF($O$47:$O$73,I100,$X$47:$X$73)+SUMIF($O$47:$O$73,I100,$Y$47:$Y$73)+SUMIF($O$47:$O$73,I100,$Z$47:$Z$73)</f>
        <v>43712</v>
      </c>
      <c r="K100" s="38">
        <f>SUMIF($O$47:$O$73,I100,$BO$47:$BO$73)+SUMIF($O$47:$O$73,I100,$BP$47:$BP$73)+SUMIF($O$47:$O$73,I100,$BQ$47:$BQ$73)</f>
        <v>36693</v>
      </c>
      <c r="L100" s="156">
        <f t="shared" si="18"/>
        <v>-16.05</v>
      </c>
      <c r="M100" s="2"/>
      <c r="N100" s="50"/>
      <c r="O100" s="164" t="s">
        <v>31</v>
      </c>
      <c r="P100" s="165">
        <f t="shared" si="13"/>
        <v>11762241</v>
      </c>
      <c r="Q100" s="165">
        <f t="shared" si="14"/>
        <v>11778119</v>
      </c>
      <c r="R100" s="165">
        <f t="shared" si="15"/>
        <v>3252189</v>
      </c>
      <c r="S100" s="165">
        <f t="shared" si="16"/>
        <v>3325297</v>
      </c>
      <c r="T100" s="3"/>
      <c r="U100" s="178"/>
      <c r="V100" s="178"/>
      <c r="W100" s="178"/>
      <c r="X100" s="1"/>
      <c r="Y100" s="1"/>
      <c r="Z100" s="1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2:57" ht="13.5" customHeight="1" x14ac:dyDescent="0.2">
      <c r="B101" s="10">
        <v>16</v>
      </c>
      <c r="C101" s="34" t="s">
        <v>15</v>
      </c>
      <c r="D101" s="35">
        <f>SUMIF($O$8:$O$34,C101,$X$8:$X$34)+SUMIF($O$8:$O$34,C101,$Y$8:$Y$34)+SUMIF($O$8:$O$34,C101,$Z$8:$Z$34)</f>
        <v>19475</v>
      </c>
      <c r="E101" s="38">
        <f>SUMIF($O$8:$O$34,C101,$BO$8:$BO$34)+SUMIF($O$8:$O$34,C101,$BP$8:$BP$34)+SUMIF($O$8:$O$34,C101,$BQ$8:$BQ$34)</f>
        <v>13323</v>
      </c>
      <c r="F101" s="156">
        <f t="shared" si="17"/>
        <v>-31.58</v>
      </c>
      <c r="G101" s="9"/>
      <c r="H101" s="44">
        <v>16</v>
      </c>
      <c r="I101" s="34" t="s">
        <v>19</v>
      </c>
      <c r="J101" s="35">
        <f>SUMIF($O$47:$O$73,I101,$X$47:$X$73)+SUMIF($O$47:$O$73,I101,$Y$47:$Y$73)+SUMIF($O$47:$O$73,I101,$Z$47:$Z$73)</f>
        <v>36365</v>
      </c>
      <c r="K101" s="38">
        <f>SUMIF($O$47:$O$73,I101,$BO$47:$BO$73)+SUMIF($O$47:$O$73,I101,$BP$47:$BP$73)+SUMIF($O$47:$O$73,I101,$BQ$47:$BQ$73)</f>
        <v>32106</v>
      </c>
      <c r="L101" s="156">
        <f t="shared" si="18"/>
        <v>-11.71</v>
      </c>
      <c r="M101" s="2"/>
      <c r="N101" s="50"/>
      <c r="O101" s="164" t="s">
        <v>32</v>
      </c>
      <c r="P101" s="165">
        <f t="shared" si="13"/>
        <v>44412</v>
      </c>
      <c r="Q101" s="165">
        <f t="shared" si="14"/>
        <v>49279</v>
      </c>
      <c r="R101" s="165">
        <f t="shared" si="15"/>
        <v>33374</v>
      </c>
      <c r="S101" s="165">
        <f t="shared" si="16"/>
        <v>24006</v>
      </c>
      <c r="T101" s="3"/>
      <c r="U101" s="178"/>
      <c r="V101" s="178"/>
      <c r="W101" s="178"/>
      <c r="X101" s="1"/>
      <c r="Y101" s="1"/>
      <c r="Z101" s="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2:57" ht="13.5" customHeight="1" x14ac:dyDescent="0.2">
      <c r="B102" s="10">
        <v>17</v>
      </c>
      <c r="C102" s="34" t="s">
        <v>32</v>
      </c>
      <c r="D102" s="35">
        <f>SUMIF($O$8:$O$34,C102,$X$8:$X$34)+SUMIF($O$8:$O$34,C102,$Y$8:$Y$34)+SUMIF($O$8:$O$34,C102,$Z$8:$Z$34)</f>
        <v>13483</v>
      </c>
      <c r="E102" s="38">
        <f>SUMIF($O$8:$O$34,C102,$BO$8:$BO$34)+SUMIF($O$8:$O$34,C102,$BP$8:$BP$34)+SUMIF($O$8:$O$34,C102,$BQ$8:$BQ$34)</f>
        <v>10849</v>
      </c>
      <c r="F102" s="156">
        <f>IF(E102=0,0,TRUNC(((E102/D102)-1)*100,2))</f>
        <v>-19.53</v>
      </c>
      <c r="G102" s="9"/>
      <c r="H102" s="44">
        <v>17</v>
      </c>
      <c r="I102" s="34" t="s">
        <v>15</v>
      </c>
      <c r="J102" s="35">
        <f>SUMIF($O$47:$O$73,I102,$X$47:$X$73)+SUMIF($O$47:$O$73,I102,$Y$47:$Y$73)+SUMIF($O$47:$O$73,I102,$Z$47:$Z$73)</f>
        <v>22285</v>
      </c>
      <c r="K102" s="38">
        <f>SUMIF($O$47:$O$73,I102,$BO$47:$BO$73)+SUMIF($O$47:$O$73,I102,$BP$47:$BP$73)+SUMIF($O$47:$O$73,I102,$BQ$47:$BQ$73)</f>
        <v>18790</v>
      </c>
      <c r="L102" s="156">
        <f>IF(K102=0,0,TRUNC(((K102/J102)-1)*100,2))</f>
        <v>-15.68</v>
      </c>
      <c r="M102" s="2"/>
      <c r="N102" s="50"/>
      <c r="O102" s="164" t="s">
        <v>33</v>
      </c>
      <c r="P102" s="165">
        <f t="shared" si="13"/>
        <v>8671</v>
      </c>
      <c r="Q102" s="165">
        <f t="shared" si="14"/>
        <v>8606</v>
      </c>
      <c r="R102" s="165">
        <f t="shared" si="15"/>
        <v>4501</v>
      </c>
      <c r="S102" s="165">
        <f t="shared" si="16"/>
        <v>4822</v>
      </c>
      <c r="T102" s="3"/>
      <c r="U102" s="178"/>
      <c r="V102" s="178"/>
      <c r="W102" s="178"/>
      <c r="X102" s="1"/>
      <c r="Y102" s="1"/>
      <c r="Z102" s="1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2:57" ht="13.5" customHeight="1" x14ac:dyDescent="0.2">
      <c r="B103" s="10">
        <v>19</v>
      </c>
      <c r="C103" s="34" t="s">
        <v>26</v>
      </c>
      <c r="D103" s="35">
        <f>SUMIF($O$8:$O$34,C103,$X$8:$X$34)+SUMIF($O$8:$O$34,C103,$Y$8:$Y$34)+SUMIF($O$8:$O$34,C103,$Z$8:$Z$34)</f>
        <v>7019</v>
      </c>
      <c r="E103" s="38">
        <f>SUMIF($O$8:$O$34,C103,$BO$8:$BO$34)+SUMIF($O$8:$O$34,C103,$BP$8:$BP$34)+SUMIF($O$8:$O$34,C103,$BQ$8:$BQ$34)</f>
        <v>9309</v>
      </c>
      <c r="F103" s="156">
        <f t="shared" ref="F103:F112" si="19">IF(E103=0,0,TRUNC(((E103/D103)-1)*100,2))</f>
        <v>32.619999999999997</v>
      </c>
      <c r="G103" s="9"/>
      <c r="H103" s="44">
        <v>18</v>
      </c>
      <c r="I103" s="34" t="s">
        <v>40</v>
      </c>
      <c r="J103" s="35">
        <f>SUMIF($O$47:$O$73,I103,$X$47:$X$73)+SUMIF($O$47:$O$73,I103,$Y$47:$Y$73)+SUMIF($O$47:$O$73,I103,$Z$47:$Z$73)</f>
        <v>15708</v>
      </c>
      <c r="K103" s="38">
        <f>SUMIF($O$47:$O$73,I103,$BO$47:$BO$73)+SUMIF($O$47:$O$73,I103,$BP$47:$BP$73)+SUMIF($O$47:$O$73,I103,$BQ$47:$BQ$73)</f>
        <v>16100</v>
      </c>
      <c r="L103" s="156">
        <f t="shared" ref="L103:L112" si="20">IF(K103=0,0,TRUNC(((K103/J103)-1)*100,2))</f>
        <v>2.4900000000000002</v>
      </c>
      <c r="M103" s="2"/>
      <c r="N103" s="50"/>
      <c r="O103" s="164" t="s">
        <v>34</v>
      </c>
      <c r="P103" s="165">
        <f t="shared" si="13"/>
        <v>8291923</v>
      </c>
      <c r="Q103" s="165">
        <f t="shared" si="14"/>
        <v>7845184</v>
      </c>
      <c r="R103" s="165">
        <f t="shared" si="15"/>
        <v>1979513</v>
      </c>
      <c r="S103" s="165">
        <f t="shared" si="16"/>
        <v>2059213</v>
      </c>
      <c r="T103" s="3"/>
      <c r="U103" s="178"/>
      <c r="V103" s="178"/>
      <c r="W103" s="178"/>
      <c r="X103" s="1"/>
      <c r="Y103" s="1"/>
      <c r="Z103" s="1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2:57" ht="13.5" customHeight="1" x14ac:dyDescent="0.2">
      <c r="B104" s="10">
        <v>20</v>
      </c>
      <c r="C104" s="34" t="s">
        <v>17</v>
      </c>
      <c r="D104" s="35">
        <f>SUMIF($O$8:$O$34,C104,$X$8:$X$34)+SUMIF($O$8:$O$34,C104,$Y$8:$Y$34)+SUMIF($O$8:$O$34,C104,$Z$8:$Z$34)</f>
        <v>2434</v>
      </c>
      <c r="E104" s="38">
        <f>SUMIF($O$8:$O$34,C104,$BO$8:$BO$34)+SUMIF($O$8:$O$34,C104,$BP$8:$BP$34)+SUMIF($O$8:$O$34,C104,$BQ$8:$BQ$34)</f>
        <v>9129</v>
      </c>
      <c r="F104" s="156">
        <f t="shared" si="19"/>
        <v>275.06</v>
      </c>
      <c r="G104" s="9"/>
      <c r="H104" s="44">
        <v>19</v>
      </c>
      <c r="I104" s="34" t="s">
        <v>38</v>
      </c>
      <c r="J104" s="35">
        <f>SUMIF($O$47:$O$73,I104,$X$47:$X$73)+SUMIF($O$47:$O$73,I104,$Y$47:$Y$73)+SUMIF($O$47:$O$73,I104,$Z$47:$Z$73)</f>
        <v>16452</v>
      </c>
      <c r="K104" s="38">
        <f>SUMIF($O$47:$O$73,I104,$BO$47:$BO$73)+SUMIF($O$47:$O$73,I104,$BP$47:$BP$73)+SUMIF($O$47:$O$73,I104,$BQ$47:$BQ$73)</f>
        <v>15935</v>
      </c>
      <c r="L104" s="156">
        <f t="shared" si="20"/>
        <v>-3.14</v>
      </c>
      <c r="M104" s="2"/>
      <c r="N104" s="50"/>
      <c r="O104" s="164" t="s">
        <v>35</v>
      </c>
      <c r="P104" s="165">
        <f t="shared" si="13"/>
        <v>37524777</v>
      </c>
      <c r="Q104" s="165">
        <f t="shared" si="14"/>
        <v>35031589</v>
      </c>
      <c r="R104" s="165">
        <f t="shared" si="15"/>
        <v>9585204</v>
      </c>
      <c r="S104" s="165">
        <f t="shared" si="16"/>
        <v>9679898</v>
      </c>
      <c r="T104" s="3"/>
      <c r="U104" s="178"/>
      <c r="V104" s="178"/>
      <c r="W104" s="178"/>
      <c r="X104" s="1"/>
      <c r="Y104" s="1"/>
      <c r="Z104" s="1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2:57" ht="13.5" customHeight="1" x14ac:dyDescent="0.2">
      <c r="B105" s="10">
        <v>21</v>
      </c>
      <c r="C105" s="34" t="s">
        <v>21</v>
      </c>
      <c r="D105" s="35">
        <f>SUMIF($O$8:$O$34,C105,$X$8:$X$34)+SUMIF($O$8:$O$34,C105,$Y$8:$Y$34)+SUMIF($O$8:$O$34,C105,$Z$8:$Z$34)</f>
        <v>7651</v>
      </c>
      <c r="E105" s="38">
        <f>SUMIF($O$8:$O$34,C105,$BO$8:$BO$34)+SUMIF($O$8:$O$34,C105,$BP$8:$BP$34)+SUMIF($O$8:$O$34,C105,$BQ$8:$BQ$34)</f>
        <v>7348</v>
      </c>
      <c r="F105" s="156">
        <f t="shared" si="19"/>
        <v>-3.96</v>
      </c>
      <c r="G105" s="9"/>
      <c r="H105" s="44">
        <v>20</v>
      </c>
      <c r="I105" s="34" t="s">
        <v>29</v>
      </c>
      <c r="J105" s="35">
        <f>SUMIF($O$47:$O$73,I105,$X$47:$X$73)+SUMIF($O$47:$O$73,I105,$Y$47:$Y$73)+SUMIF($O$47:$O$73,I105,$Z$47:$Z$73)</f>
        <v>14913</v>
      </c>
      <c r="K105" s="38">
        <f>SUMIF($O$47:$O$73,I105,$BO$47:$BO$73)+SUMIF($O$47:$O$73,I105,$BP$47:$BP$73)+SUMIF($O$47:$O$73,I105,$BQ$47:$BQ$73)</f>
        <v>13380</v>
      </c>
      <c r="L105" s="156">
        <f t="shared" si="20"/>
        <v>-10.27</v>
      </c>
      <c r="M105" s="2"/>
      <c r="N105" s="50"/>
      <c r="O105" s="164" t="s">
        <v>36</v>
      </c>
      <c r="P105" s="165">
        <f t="shared" si="13"/>
        <v>6450352</v>
      </c>
      <c r="Q105" s="165">
        <f t="shared" si="14"/>
        <v>6090849</v>
      </c>
      <c r="R105" s="165">
        <f t="shared" si="15"/>
        <v>1334480</v>
      </c>
      <c r="S105" s="165">
        <f t="shared" si="16"/>
        <v>1325430</v>
      </c>
      <c r="T105" s="3"/>
      <c r="U105" s="178"/>
      <c r="V105" s="178"/>
      <c r="W105" s="178"/>
      <c r="X105" s="1"/>
      <c r="Y105" s="1"/>
      <c r="Z105" s="1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2:57" ht="13.5" customHeight="1" x14ac:dyDescent="0.2">
      <c r="B106" s="10">
        <v>18</v>
      </c>
      <c r="C106" s="34" t="s">
        <v>28</v>
      </c>
      <c r="D106" s="35">
        <f>SUMIF($O$8:$O$34,C106,$X$8:$X$34)+SUMIF($O$8:$O$34,C106,$Y$8:$Y$34)+SUMIF($O$8:$O$34,C106,$Z$8:$Z$34)</f>
        <v>10652</v>
      </c>
      <c r="E106" s="38">
        <f>SUMIF($O$8:$O$34,C106,$BO$8:$BO$34)+SUMIF($O$8:$O$34,C106,$BP$8:$BP$34)+SUMIF($O$8:$O$34,C106,$BQ$8:$BQ$34)</f>
        <v>5964</v>
      </c>
      <c r="F106" s="156">
        <f t="shared" si="19"/>
        <v>-44.01</v>
      </c>
      <c r="G106" s="9"/>
      <c r="H106" s="44">
        <v>21</v>
      </c>
      <c r="I106" s="34" t="s">
        <v>32</v>
      </c>
      <c r="J106" s="35">
        <f>SUMIF($O$47:$O$73,I106,$X$47:$X$73)+SUMIF($O$47:$O$73,I106,$Y$47:$Y$73)+SUMIF($O$47:$O$73,I106,$Z$47:$Z$73)</f>
        <v>14383</v>
      </c>
      <c r="K106" s="38">
        <f>SUMIF($O$47:$O$73,I106,$BO$47:$BO$73)+SUMIF($O$47:$O$73,I106,$BP$47:$BP$73)+SUMIF($O$47:$O$73,I106,$BQ$47:$BQ$73)</f>
        <v>10503</v>
      </c>
      <c r="L106" s="156">
        <f t="shared" si="20"/>
        <v>-26.97</v>
      </c>
      <c r="M106" s="2"/>
      <c r="N106" s="50"/>
      <c r="O106" s="164" t="s">
        <v>37</v>
      </c>
      <c r="P106" s="165">
        <f t="shared" si="13"/>
        <v>31820894</v>
      </c>
      <c r="Q106" s="165">
        <f t="shared" si="14"/>
        <v>31909823</v>
      </c>
      <c r="R106" s="165">
        <f t="shared" si="15"/>
        <v>8428788</v>
      </c>
      <c r="S106" s="165">
        <f t="shared" si="16"/>
        <v>8422852</v>
      </c>
      <c r="T106" s="3"/>
      <c r="U106" s="178"/>
      <c r="V106" s="178"/>
      <c r="W106" s="178"/>
      <c r="X106" s="1"/>
      <c r="Y106" s="1"/>
      <c r="Z106" s="1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2:57" ht="13.5" customHeight="1" x14ac:dyDescent="0.2">
      <c r="B107" s="10">
        <v>22</v>
      </c>
      <c r="C107" s="34" t="s">
        <v>16</v>
      </c>
      <c r="D107" s="35">
        <f>SUMIF($O$8:$O$34,C107,$X$8:$X$34)+SUMIF($O$8:$O$34,C107,$Y$8:$Y$34)+SUMIF($O$8:$O$34,C107,$Z$8:$Z$34)</f>
        <v>4226</v>
      </c>
      <c r="E107" s="38">
        <f>SUMIF($O$8:$O$34,C107,$BO$8:$BO$34)+SUMIF($O$8:$O$34,C107,$BP$8:$BP$34)+SUMIF($O$8:$O$34,C107,$BQ$8:$BQ$34)</f>
        <v>4286</v>
      </c>
      <c r="F107" s="156">
        <f t="shared" si="19"/>
        <v>1.41</v>
      </c>
      <c r="G107" s="9"/>
      <c r="H107" s="44">
        <v>22</v>
      </c>
      <c r="I107" s="34" t="s">
        <v>17</v>
      </c>
      <c r="J107" s="35">
        <f>SUMIF($O$47:$O$73,I107,$X$47:$X$73)+SUMIF($O$47:$O$73,I107,$Y$47:$Y$73)+SUMIF($O$47:$O$73,I107,$Z$47:$Z$73)</f>
        <v>2486</v>
      </c>
      <c r="K107" s="38">
        <f>SUMIF($O$47:$O$73,I107,$BO$47:$BO$73)+SUMIF($O$47:$O$73,I107,$BP$47:$BP$73)+SUMIF($O$47:$O$73,I107,$BQ$47:$BQ$73)</f>
        <v>9421</v>
      </c>
      <c r="L107" s="156">
        <f t="shared" si="20"/>
        <v>278.95999999999998</v>
      </c>
      <c r="M107" s="2"/>
      <c r="N107" s="50"/>
      <c r="O107" s="164" t="s">
        <v>38</v>
      </c>
      <c r="P107" s="165">
        <f t="shared" si="13"/>
        <v>17404877</v>
      </c>
      <c r="Q107" s="165">
        <f t="shared" si="14"/>
        <v>13729169</v>
      </c>
      <c r="R107" s="165">
        <f t="shared" si="15"/>
        <v>4147886</v>
      </c>
      <c r="S107" s="165">
        <f t="shared" si="16"/>
        <v>4249379</v>
      </c>
      <c r="T107" s="3"/>
      <c r="U107" s="178"/>
      <c r="V107" s="178"/>
      <c r="W107" s="178"/>
      <c r="X107" s="1"/>
      <c r="Y107" s="1"/>
      <c r="Z107" s="1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2:57" ht="13.5" customHeight="1" x14ac:dyDescent="0.2">
      <c r="B108" s="10">
        <v>23</v>
      </c>
      <c r="C108" s="34" t="s">
        <v>25</v>
      </c>
      <c r="D108" s="35">
        <f>SUMIF($O$8:$O$34,C108,$X$8:$X$34)+SUMIF($O$8:$O$34,C108,$Y$8:$Y$34)+SUMIF($O$8:$O$34,C108,$Z$8:$Z$34)</f>
        <v>4169</v>
      </c>
      <c r="E108" s="38">
        <f>SUMIF($O$8:$O$34,C108,$BO$8:$BO$34)+SUMIF($O$8:$O$34,C108,$BP$8:$BP$34)+SUMIF($O$8:$O$34,C108,$BQ$8:$BQ$34)</f>
        <v>3899</v>
      </c>
      <c r="F108" s="156">
        <f t="shared" si="19"/>
        <v>-6.47</v>
      </c>
      <c r="G108" s="9"/>
      <c r="H108" s="44">
        <v>23</v>
      </c>
      <c r="I108" s="34" t="s">
        <v>21</v>
      </c>
      <c r="J108" s="35">
        <f>SUMIF($O$47:$O$73,I108,$X$47:$X$73)+SUMIF($O$47:$O$73,I108,$Y$47:$Y$73)+SUMIF($O$47:$O$73,I108,$Z$47:$Z$73)</f>
        <v>8570</v>
      </c>
      <c r="K108" s="38">
        <f>SUMIF($O$47:$O$73,I108,$BO$47:$BO$73)+SUMIF($O$47:$O$73,I108,$BP$47:$BP$73)+SUMIF($O$47:$O$73,I108,$BQ$47:$BQ$73)</f>
        <v>8293</v>
      </c>
      <c r="L108" s="156">
        <f t="shared" si="20"/>
        <v>-3.23</v>
      </c>
      <c r="M108" s="2"/>
      <c r="N108" s="50"/>
      <c r="O108" s="164" t="s">
        <v>39</v>
      </c>
      <c r="P108" s="165">
        <f t="shared" si="13"/>
        <v>52952205</v>
      </c>
      <c r="Q108" s="165">
        <f t="shared" si="14"/>
        <v>44784260</v>
      </c>
      <c r="R108" s="165">
        <f t="shared" si="15"/>
        <v>13783063</v>
      </c>
      <c r="S108" s="165">
        <f t="shared" si="16"/>
        <v>14190706</v>
      </c>
      <c r="T108" s="3"/>
      <c r="U108" s="178"/>
      <c r="V108" s="178"/>
      <c r="W108" s="178"/>
      <c r="X108" s="1"/>
      <c r="Y108" s="1"/>
      <c r="Z108" s="1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2:57" ht="13.5" customHeight="1" x14ac:dyDescent="0.2">
      <c r="B109" s="10">
        <v>24</v>
      </c>
      <c r="C109" s="34" t="s">
        <v>29</v>
      </c>
      <c r="D109" s="35">
        <f>SUMIF($O$8:$O$34,C109,$X$8:$X$34)+SUMIF($O$8:$O$34,C109,$Y$8:$Y$34)+SUMIF($O$8:$O$34,C109,$Z$8:$Z$34)</f>
        <v>7992</v>
      </c>
      <c r="E109" s="38">
        <f>SUMIF($O$8:$O$34,C109,$BO$8:$BO$34)+SUMIF($O$8:$O$34,C109,$BP$8:$BP$34)+SUMIF($O$8:$O$34,C109,$BQ$8:$BQ$34)</f>
        <v>2691</v>
      </c>
      <c r="F109" s="156">
        <f t="shared" si="19"/>
        <v>-66.319999999999993</v>
      </c>
      <c r="G109" s="9"/>
      <c r="H109" s="44">
        <v>24</v>
      </c>
      <c r="I109" s="34" t="s">
        <v>16</v>
      </c>
      <c r="J109" s="35">
        <f>SUMIF($O$47:$O$73,I109,$X$47:$X$73)+SUMIF($O$47:$O$73,I109,$Y$47:$Y$73)+SUMIF($O$47:$O$73,I109,$Z$47:$Z$73)</f>
        <v>7579</v>
      </c>
      <c r="K109" s="38">
        <f>SUMIF($O$47:$O$73,I109,$BO$47:$BO$73)+SUMIF($O$47:$O$73,I109,$BP$47:$BP$73)+SUMIF($O$47:$O$73,I109,$BQ$47:$BQ$73)</f>
        <v>7444</v>
      </c>
      <c r="L109" s="156">
        <f t="shared" si="20"/>
        <v>-1.78</v>
      </c>
      <c r="M109" s="2"/>
      <c r="N109" s="50"/>
      <c r="O109" s="164" t="s">
        <v>4</v>
      </c>
      <c r="P109" s="165">
        <f t="shared" si="13"/>
        <v>19602602</v>
      </c>
      <c r="Q109" s="165">
        <f t="shared" si="14"/>
        <v>16950466</v>
      </c>
      <c r="R109" s="165">
        <f t="shared" si="15"/>
        <v>5113649</v>
      </c>
      <c r="S109" s="165">
        <f t="shared" si="16"/>
        <v>5342004</v>
      </c>
      <c r="T109" s="3"/>
      <c r="U109" s="178"/>
      <c r="V109" s="178"/>
      <c r="W109" s="178"/>
      <c r="X109" s="179"/>
      <c r="Y109" s="179"/>
      <c r="Z109" s="17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2:57" ht="13.5" customHeight="1" x14ac:dyDescent="0.2">
      <c r="B110" s="10">
        <v>25</v>
      </c>
      <c r="C110" s="34" t="s">
        <v>18</v>
      </c>
      <c r="D110" s="35">
        <f>SUMIF($O$8:$O$34,C110,$X$8:$X$34)+SUMIF($O$8:$O$34,C110,$Y$8:$Y$34)+SUMIF($O$8:$O$34,C110,$Z$8:$Z$34)</f>
        <v>1964</v>
      </c>
      <c r="E110" s="38">
        <f>SUMIF($O$8:$O$34,C110,$BO$8:$BO$34)+SUMIF($O$8:$O$34,C110,$BP$8:$BP$34)+SUMIF($O$8:$O$34,C110,$BQ$8:$BQ$34)</f>
        <v>1955</v>
      </c>
      <c r="F110" s="156">
        <f t="shared" si="19"/>
        <v>-0.45</v>
      </c>
      <c r="G110" s="9"/>
      <c r="H110" s="44">
        <v>25</v>
      </c>
      <c r="I110" s="34" t="s">
        <v>18</v>
      </c>
      <c r="J110" s="35">
        <f>SUMIF($O$47:$O$73,I110,$X$47:$X$73)+SUMIF($O$47:$O$73,I110,$Y$47:$Y$73)+SUMIF($O$47:$O$73,I110,$Z$47:$Z$73)</f>
        <v>2688</v>
      </c>
      <c r="K110" s="38">
        <f>SUMIF($O$47:$O$73,I110,$BO$47:$BO$73)+SUMIF($O$47:$O$73,I110,$BP$47:$BP$73)+SUMIF($O$47:$O$73,I110,$BQ$47:$BQ$73)</f>
        <v>2688</v>
      </c>
      <c r="L110" s="156">
        <f t="shared" si="20"/>
        <v>0</v>
      </c>
      <c r="M110" s="2"/>
      <c r="N110" s="50"/>
      <c r="O110" s="164" t="s">
        <v>40</v>
      </c>
      <c r="P110" s="165">
        <f t="shared" si="13"/>
        <v>778248</v>
      </c>
      <c r="Q110" s="165">
        <f t="shared" si="14"/>
        <v>575985</v>
      </c>
      <c r="R110" s="165">
        <f t="shared" si="15"/>
        <v>155874</v>
      </c>
      <c r="S110" s="165">
        <f t="shared" si="16"/>
        <v>161637</v>
      </c>
      <c r="T110" s="3"/>
      <c r="U110" s="178"/>
      <c r="V110" s="178"/>
      <c r="W110" s="178"/>
      <c r="X110" s="1"/>
      <c r="Y110" s="1"/>
      <c r="Z110" s="1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</row>
    <row r="111" spans="2:57" ht="13.5" customHeight="1" x14ac:dyDescent="0.2">
      <c r="B111" s="10">
        <v>26</v>
      </c>
      <c r="C111" s="34" t="s">
        <v>33</v>
      </c>
      <c r="D111" s="35">
        <f>SUMIF($O$8:$O$34,C111,$X$8:$X$34)+SUMIF($O$8:$O$34,C111,$Y$8:$Y$34)+SUMIF($O$8:$O$34,C111,$Z$8:$Z$34)</f>
        <v>1747</v>
      </c>
      <c r="E111" s="38">
        <f>SUMIF($O$8:$O$34,C111,$BO$8:$BO$34)+SUMIF($O$8:$O$34,C111,$BP$8:$BP$34)+SUMIF($O$8:$O$34,C111,$BQ$8:$BQ$34)</f>
        <v>1664</v>
      </c>
      <c r="F111" s="156">
        <f t="shared" si="19"/>
        <v>-4.75</v>
      </c>
      <c r="G111" s="9"/>
      <c r="H111" s="44">
        <v>26</v>
      </c>
      <c r="I111" s="34" t="s">
        <v>33</v>
      </c>
      <c r="J111" s="35">
        <f>SUMIF($O$47:$O$73,I111,$X$47:$X$73)+SUMIF($O$47:$O$73,I111,$Y$47:$Y$73)+SUMIF($O$47:$O$73,I111,$Z$47:$Z$73)</f>
        <v>1707</v>
      </c>
      <c r="K111" s="38">
        <f>SUMIF($O$47:$O$73,I111,$BO$47:$BO$73)+SUMIF($O$47:$O$73,I111,$BP$47:$BP$73)+SUMIF($O$47:$O$73,I111,$BQ$47:$BQ$73)</f>
        <v>1730</v>
      </c>
      <c r="L111" s="156">
        <f t="shared" si="20"/>
        <v>1.34</v>
      </c>
      <c r="M111" s="2"/>
      <c r="N111" s="50"/>
      <c r="O111" s="191" t="s">
        <v>9</v>
      </c>
      <c r="P111" s="192">
        <f>SUM(P84:P110)</f>
        <v>211290433</v>
      </c>
      <c r="Q111" s="192">
        <f t="shared" ref="Q111:S111" si="21">SUM(Q84:Q110)</f>
        <v>185353983</v>
      </c>
      <c r="R111" s="192">
        <f t="shared" si="21"/>
        <v>58381414</v>
      </c>
      <c r="S111" s="192">
        <f t="shared" si="21"/>
        <v>58694432</v>
      </c>
      <c r="T111" s="3"/>
      <c r="U111" s="178"/>
      <c r="V111" s="178"/>
      <c r="W111" s="178"/>
      <c r="X111" s="1"/>
      <c r="Y111" s="1"/>
      <c r="Z111" s="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</row>
    <row r="112" spans="2:57" ht="13.5" customHeight="1" x14ac:dyDescent="0.2">
      <c r="B112" s="10">
        <v>27</v>
      </c>
      <c r="C112" s="34" t="s">
        <v>20</v>
      </c>
      <c r="D112" s="35">
        <f>SUMIF($O$8:$O$34,C112,$X$8:$X$34)+SUMIF($O$8:$O$34,C112,$Y$8:$Y$34)+SUMIF($O$8:$O$34,C112,$Z$8:$Z$34)</f>
        <v>980</v>
      </c>
      <c r="E112" s="38">
        <f>SUMIF($O$8:$O$34,C112,$BO$8:$BO$34)+SUMIF($O$8:$O$34,C112,$BP$8:$BP$34)+SUMIF($O$8:$O$34,C112,$BQ$8:$BQ$34)</f>
        <v>1100</v>
      </c>
      <c r="F112" s="156">
        <f t="shared" si="19"/>
        <v>12.24</v>
      </c>
      <c r="G112" s="9"/>
      <c r="H112" s="44">
        <v>27</v>
      </c>
      <c r="I112" s="34" t="s">
        <v>20</v>
      </c>
      <c r="J112" s="35">
        <f>SUMIF($O$47:$O$73,I112,$X$47:$X$73)+SUMIF($O$47:$O$73,I112,$Y$47:$Y$73)+SUMIF($O$47:$O$73,I112,$Z$47:$Z$73)</f>
        <v>1129</v>
      </c>
      <c r="K112" s="38">
        <f>SUMIF($O$47:$O$73,I112,$BO$47:$BO$73)+SUMIF($O$47:$O$73,I112,$BP$47:$BP$73)+SUMIF($O$47:$O$73,I112,$BQ$47:$BQ$73)</f>
        <v>1300</v>
      </c>
      <c r="L112" s="156">
        <f t="shared" si="20"/>
        <v>15.14</v>
      </c>
      <c r="M112" s="2"/>
      <c r="N112" s="50"/>
      <c r="O112" s="178"/>
      <c r="P112" s="178"/>
      <c r="Q112" s="178"/>
      <c r="T112"/>
      <c r="U112" s="178"/>
      <c r="V112" s="178"/>
      <c r="W112" s="178"/>
      <c r="X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</row>
    <row r="113" spans="2:57" ht="13.5" customHeight="1" x14ac:dyDescent="0.2">
      <c r="B113" s="10"/>
      <c r="C113" s="34" t="s">
        <v>9</v>
      </c>
      <c r="D113" s="39">
        <f>SUM(D86:D112)</f>
        <v>3090014</v>
      </c>
      <c r="E113" s="39">
        <f>SUM(E86:E112)</f>
        <v>2571665</v>
      </c>
      <c r="F113" s="40">
        <f t="shared" ref="F113:F114" si="22">TRUNC(((E113/D113)-1)*100,2)</f>
        <v>-16.77</v>
      </c>
      <c r="G113" s="9"/>
      <c r="H113" s="44"/>
      <c r="I113" s="34" t="s">
        <v>9</v>
      </c>
      <c r="J113" s="39">
        <f>SUM(J86:J112)</f>
        <v>3130036</v>
      </c>
      <c r="K113" s="39">
        <f>SUM(K86:K112)</f>
        <v>2902723</v>
      </c>
      <c r="L113" s="40">
        <f>TRUNC(((K113/J113)-1)*100,2)</f>
        <v>-7.26</v>
      </c>
      <c r="M113" s="2"/>
      <c r="N113" s="50"/>
      <c r="O113" s="178"/>
      <c r="P113" s="178"/>
      <c r="Q113" s="178"/>
      <c r="R113" s="9"/>
      <c r="S113" s="9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</row>
    <row r="114" spans="2:57" ht="13.5" customHeight="1" x14ac:dyDescent="0.2">
      <c r="B114" s="49"/>
      <c r="C114" s="55" t="s">
        <v>83</v>
      </c>
      <c r="D114" s="52">
        <f>SUM(X8:Z34)</f>
        <v>3090014</v>
      </c>
      <c r="E114" s="52">
        <f>SUM(BO8:BQ34)</f>
        <v>2571665</v>
      </c>
      <c r="F114" s="56">
        <f t="shared" si="22"/>
        <v>-16.77</v>
      </c>
      <c r="G114" s="1"/>
      <c r="H114" s="49"/>
      <c r="I114" s="55" t="s">
        <v>83</v>
      </c>
      <c r="J114" s="52">
        <f>SUM(X47:Z73)</f>
        <v>3130036</v>
      </c>
      <c r="K114" s="52">
        <f>SUM(BO47:BQ73)</f>
        <v>2902723</v>
      </c>
      <c r="L114" s="56">
        <f>TRUNC(((K114/J114)-1)*100,2)</f>
        <v>-7.26</v>
      </c>
      <c r="M114" s="9"/>
      <c r="N114" s="50"/>
      <c r="O114" s="51"/>
      <c r="P114" s="9"/>
      <c r="Q114" s="9"/>
      <c r="R114" s="9"/>
      <c r="S114" s="9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</row>
    <row r="115" spans="2:57" ht="13.5" customHeight="1" x14ac:dyDescent="0.2"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50"/>
      <c r="O115" s="51"/>
      <c r="P115" s="9"/>
      <c r="Q115" s="9"/>
      <c r="R115" s="9"/>
      <c r="S115" s="9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</row>
    <row r="116" spans="2:57" ht="13.5" customHeight="1" x14ac:dyDescent="0.2"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50"/>
      <c r="O116" s="9"/>
      <c r="P116" s="9"/>
      <c r="Q116" s="9"/>
      <c r="R116" s="9"/>
      <c r="S116" s="9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</row>
    <row r="117" spans="2:57" ht="13.5" customHeight="1" x14ac:dyDescent="0.2"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</row>
    <row r="118" spans="2:57" ht="13.5" customHeight="1" x14ac:dyDescent="0.2">
      <c r="B118" s="6" t="s">
        <v>88</v>
      </c>
      <c r="C118" s="242" t="s">
        <v>41</v>
      </c>
      <c r="D118" s="243"/>
      <c r="E118" s="244"/>
      <c r="F118" s="9"/>
      <c r="G118" s="9"/>
      <c r="H118" s="6" t="s">
        <v>88</v>
      </c>
      <c r="I118" s="239" t="s">
        <v>5</v>
      </c>
      <c r="J118" s="240"/>
      <c r="K118" s="241"/>
      <c r="L118" s="6" t="s">
        <v>89</v>
      </c>
      <c r="M118" s="9"/>
      <c r="N118" s="9"/>
      <c r="O118" s="9"/>
      <c r="P118" s="9"/>
      <c r="Q118" s="9"/>
      <c r="R118" s="9"/>
      <c r="S118" s="9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</row>
    <row r="119" spans="2:57" ht="13.5" customHeight="1" x14ac:dyDescent="0.2">
      <c r="B119" s="6" t="s">
        <v>4</v>
      </c>
      <c r="C119" s="260" t="s">
        <v>201</v>
      </c>
      <c r="D119" s="261"/>
      <c r="E119" s="262"/>
      <c r="F119" s="9"/>
      <c r="G119" s="9"/>
      <c r="H119" s="6" t="s">
        <v>4</v>
      </c>
      <c r="I119" s="263" t="str">
        <f>C119</f>
        <v>Produto: Milho total</v>
      </c>
      <c r="J119" s="264"/>
      <c r="K119" s="265"/>
      <c r="L119" s="6" t="s">
        <v>90</v>
      </c>
      <c r="M119" s="9"/>
      <c r="N119" s="9"/>
      <c r="O119" s="9"/>
      <c r="P119" s="9"/>
      <c r="Q119" s="9"/>
      <c r="R119" s="9"/>
      <c r="S119" s="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</row>
    <row r="120" spans="2:57" ht="13.5" customHeight="1" x14ac:dyDescent="0.2">
      <c r="B120" s="128">
        <f>SUMIF(C122:C148,"Goiás",B122:B148)</f>
        <v>5</v>
      </c>
      <c r="C120" s="237" t="s">
        <v>14</v>
      </c>
      <c r="D120" s="237" t="str">
        <f>D84</f>
        <v>Safra 2015 (dezembro)</v>
      </c>
      <c r="E120" s="245" t="str">
        <f>E84</f>
        <v>Safra 2016 (dezembro)</v>
      </c>
      <c r="F120" s="5">
        <f>COUNTIF(E122:E148,"&gt;0")</f>
        <v>27</v>
      </c>
      <c r="G120" s="9"/>
      <c r="H120" s="128">
        <f>SUMIF(I122:I148,"Goiás",H122:H148)</f>
        <v>4</v>
      </c>
      <c r="I120" s="237" t="s">
        <v>14</v>
      </c>
      <c r="J120" s="237" t="str">
        <f>D120</f>
        <v>Safra 2015 (dezembro)</v>
      </c>
      <c r="K120" s="245" t="str">
        <f>E120</f>
        <v>Safra 2016 (dezembro)</v>
      </c>
      <c r="L120" s="129">
        <f>COUNTIF(K122:K148,"&gt;0")</f>
        <v>27</v>
      </c>
      <c r="M120" s="9"/>
      <c r="N120" s="9"/>
      <c r="O120" s="9"/>
      <c r="P120" s="9"/>
      <c r="Q120" s="9"/>
      <c r="R120" s="9"/>
      <c r="S120" s="9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</row>
    <row r="121" spans="2:57" ht="13.5" customHeight="1" x14ac:dyDescent="0.2">
      <c r="B121" s="6" t="s">
        <v>67</v>
      </c>
      <c r="C121" s="238"/>
      <c r="D121" s="238"/>
      <c r="E121" s="246"/>
      <c r="F121" s="37" t="s">
        <v>66</v>
      </c>
      <c r="G121" s="9"/>
      <c r="H121" s="37" t="s">
        <v>67</v>
      </c>
      <c r="I121" s="238"/>
      <c r="J121" s="238"/>
      <c r="K121" s="246"/>
      <c r="L121" s="37" t="s">
        <v>66</v>
      </c>
      <c r="M121" s="9"/>
      <c r="N121" s="9"/>
      <c r="O121" s="9"/>
      <c r="P121" s="9"/>
      <c r="Q121" s="9"/>
      <c r="R121" s="9"/>
      <c r="S121" s="9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</row>
    <row r="122" spans="2:57" ht="13.5" customHeight="1" x14ac:dyDescent="0.2">
      <c r="B122" s="10">
        <v>1</v>
      </c>
      <c r="C122" s="34" t="s">
        <v>39</v>
      </c>
      <c r="D122" s="35">
        <f>SUMIF($O$8:$O$34,C122,$AC$8:$AC$34)+SUMIF($O$8:$O$34,C122,$AD$8:$AD$34)</f>
        <v>21353295</v>
      </c>
      <c r="E122" s="38">
        <f>SUMIF($O$8:$O$34,C122,$BT$8:$BT$34)+SUMIF($O$8:$O$34,C122,$BU$8:$BU$34)</f>
        <v>15339785</v>
      </c>
      <c r="F122" s="156">
        <f t="shared" ref="F122:F137" si="23">IF(E122=0,0,TRUNC(((E122/D122)-1)*100,2))</f>
        <v>-28.16</v>
      </c>
      <c r="G122" s="9"/>
      <c r="H122" s="44">
        <v>1</v>
      </c>
      <c r="I122" s="34" t="s">
        <v>39</v>
      </c>
      <c r="J122" s="35">
        <f>SUMIF($O$47:$O$73,I122,$AC$47:$AC$73)+SUMIF($O$47:$O$73,I122,$AD$47:$AD$73)</f>
        <v>3570606</v>
      </c>
      <c r="K122" s="38">
        <f>SUMIF($O$47:$O$73,I122,$BT$47:$BT$73)+SUMIF($O$47:$O$73,I122,$BU$47:$BU$73)</f>
        <v>3900268</v>
      </c>
      <c r="L122" s="156">
        <f t="shared" ref="L122:L137" si="24">IF(K122=0,0,TRUNC(((K122/J122)-1)*100,2))</f>
        <v>9.23</v>
      </c>
      <c r="M122" s="2"/>
      <c r="N122" s="4"/>
      <c r="O122" s="9"/>
      <c r="P122" s="9"/>
      <c r="Q122" s="9"/>
      <c r="R122" s="9"/>
      <c r="S122" s="9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</row>
    <row r="123" spans="2:57" ht="13.5" customHeight="1" x14ac:dyDescent="0.2">
      <c r="B123" s="10">
        <v>2</v>
      </c>
      <c r="C123" s="34" t="s">
        <v>35</v>
      </c>
      <c r="D123" s="35">
        <f>SUMIF($O$8:$O$34,C123,$AC$8:$AC$34)+SUMIF($O$8:$O$34,C123,$AD$8:$AD$34)</f>
        <v>15777409</v>
      </c>
      <c r="E123" s="38">
        <f>SUMIF($O$8:$O$34,C123,$BT$8:$BT$34)+SUMIF($O$8:$O$34,C123,$BU$8:$BU$34)</f>
        <v>13724174</v>
      </c>
      <c r="F123" s="156">
        <f t="shared" si="23"/>
        <v>-13.01</v>
      </c>
      <c r="G123" s="9"/>
      <c r="H123" s="44">
        <v>2</v>
      </c>
      <c r="I123" s="34" t="s">
        <v>35</v>
      </c>
      <c r="J123" s="35">
        <f>SUMIF($O$47:$O$73,I123,$AC$47:$AC$73)+SUMIF($O$47:$O$73,I123,$AD$47:$AD$73)</f>
        <v>2439400</v>
      </c>
      <c r="K123" s="38">
        <f>SUMIF($O$47:$O$73,I123,$BT$47:$BT$73)+SUMIF($O$47:$O$73,I123,$BU$47:$BU$73)</f>
        <v>2611333</v>
      </c>
      <c r="L123" s="156">
        <f t="shared" si="24"/>
        <v>7.04</v>
      </c>
      <c r="M123" s="2"/>
      <c r="N123" s="4"/>
      <c r="O123" s="9"/>
      <c r="P123" s="9"/>
      <c r="Q123" s="9"/>
      <c r="R123" s="9"/>
      <c r="S123" s="9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</row>
    <row r="124" spans="2:57" ht="13.5" customHeight="1" x14ac:dyDescent="0.2">
      <c r="B124" s="10">
        <v>3</v>
      </c>
      <c r="C124" s="34" t="s">
        <v>38</v>
      </c>
      <c r="D124" s="35">
        <f>SUMIF($O$8:$O$34,C124,$AC$8:$AC$34)+SUMIF($O$8:$O$34,C124,$AD$8:$AD$34)</f>
        <v>9727809</v>
      </c>
      <c r="E124" s="38">
        <f>SUMIF($O$8:$O$34,C124,$BT$8:$BT$34)+SUMIF($O$8:$O$34,C124,$BU$8:$BU$34)</f>
        <v>6029756</v>
      </c>
      <c r="F124" s="156">
        <f t="shared" si="23"/>
        <v>-38.01</v>
      </c>
      <c r="G124" s="9"/>
      <c r="H124" s="44">
        <v>3</v>
      </c>
      <c r="I124" s="34" t="s">
        <v>38</v>
      </c>
      <c r="J124" s="35">
        <f>SUMIF($O$47:$O$73,I124,$AC$47:$AC$73)+SUMIF($O$47:$O$73,I124,$AD$47:$AD$73)</f>
        <v>1681672</v>
      </c>
      <c r="K124" s="38">
        <f>SUMIF($O$47:$O$73,I124,$BT$47:$BT$73)+SUMIF($O$47:$O$73,I124,$BU$47:$BU$73)</f>
        <v>1686337</v>
      </c>
      <c r="L124" s="156">
        <f t="shared" si="24"/>
        <v>0.27</v>
      </c>
      <c r="M124" s="2"/>
      <c r="N124" s="50"/>
      <c r="O124" s="51"/>
      <c r="P124" s="9"/>
      <c r="Q124" s="9"/>
      <c r="R124" s="9"/>
      <c r="S124" s="9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</row>
    <row r="125" spans="2:57" ht="13.5" customHeight="1" x14ac:dyDescent="0.2">
      <c r="B125" s="10">
        <v>4</v>
      </c>
      <c r="C125" s="34" t="s">
        <v>31</v>
      </c>
      <c r="D125" s="35">
        <f>SUMIF($O$8:$O$34,C125,$AC$8:$AC$34)+SUMIF($O$8:$O$34,C125,$AD$8:$AD$34)</f>
        <v>6839297</v>
      </c>
      <c r="E125" s="38">
        <f>SUMIF($O$8:$O$34,C125,$BT$8:$BT$34)+SUMIF($O$8:$O$34,C125,$BU$8:$BU$34)</f>
        <v>5843579</v>
      </c>
      <c r="F125" s="156">
        <f t="shared" si="23"/>
        <v>-14.55</v>
      </c>
      <c r="G125" s="9"/>
      <c r="H125" s="44">
        <v>4</v>
      </c>
      <c r="I125" s="34" t="s">
        <v>4</v>
      </c>
      <c r="J125" s="35">
        <f>SUMIF($O$47:$O$73,I125,$AC$47:$AC$73)+SUMIF($O$47:$O$73,I125,$AD$47:$AD$73)</f>
        <v>1409102</v>
      </c>
      <c r="K125" s="38">
        <f>SUMIF($O$47:$O$73,I125,$BT$47:$BT$73)+SUMIF($O$47:$O$73,I125,$BU$47:$BU$73)</f>
        <v>1572535</v>
      </c>
      <c r="L125" s="156">
        <f t="shared" si="24"/>
        <v>11.59</v>
      </c>
      <c r="M125" s="2"/>
      <c r="N125" s="50"/>
      <c r="O125" s="51"/>
      <c r="P125" s="9"/>
      <c r="Q125" s="9"/>
      <c r="R125" s="9"/>
      <c r="S125" s="9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</row>
    <row r="126" spans="2:57" ht="13.5" customHeight="1" x14ac:dyDescent="0.2">
      <c r="B126" s="10">
        <v>5</v>
      </c>
      <c r="C126" s="34" t="s">
        <v>4</v>
      </c>
      <c r="D126" s="35">
        <f>SUMIF($O$8:$O$34,C126,$AC$8:$AC$34)+SUMIF($O$8:$O$34,C126,$AD$8:$AD$34)</f>
        <v>9512503</v>
      </c>
      <c r="E126" s="38">
        <f>SUMIF($O$8:$O$34,C126,$BT$8:$BT$34)+SUMIF($O$8:$O$34,C126,$BU$8:$BU$34)</f>
        <v>5743008</v>
      </c>
      <c r="F126" s="156">
        <f t="shared" si="23"/>
        <v>-39.619999999999997</v>
      </c>
      <c r="G126" s="9"/>
      <c r="H126" s="44">
        <v>5</v>
      </c>
      <c r="I126" s="34" t="s">
        <v>31</v>
      </c>
      <c r="J126" s="35">
        <f>SUMIF($O$47:$O$73,I126,$AC$47:$AC$73)+SUMIF($O$47:$O$73,I126,$AD$47:$AD$73)</f>
        <v>1281452</v>
      </c>
      <c r="K126" s="38">
        <f>SUMIF($O$47:$O$73,I126,$BT$47:$BT$73)+SUMIF($O$47:$O$73,I126,$BU$47:$BU$73)</f>
        <v>1219262</v>
      </c>
      <c r="L126" s="156">
        <f t="shared" si="24"/>
        <v>-4.8499999999999996</v>
      </c>
      <c r="M126" s="2"/>
      <c r="N126" s="50"/>
      <c r="O126" s="51"/>
      <c r="P126" s="9"/>
      <c r="Q126" s="9"/>
      <c r="R126" s="9"/>
      <c r="S126" s="9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</row>
    <row r="127" spans="2:57" ht="13.5" customHeight="1" x14ac:dyDescent="0.2">
      <c r="B127" s="10">
        <v>6</v>
      </c>
      <c r="C127" s="34" t="s">
        <v>37</v>
      </c>
      <c r="D127" s="35">
        <f>SUMIF($O$8:$O$34,C127,$AC$8:$AC$34)+SUMIF($O$8:$O$34,C127,$AD$8:$AD$34)</f>
        <v>5563555</v>
      </c>
      <c r="E127" s="38">
        <f>SUMIF($O$8:$O$34,C127,$BT$8:$BT$34)+SUMIF($O$8:$O$34,C127,$BU$8:$BU$34)</f>
        <v>4729948</v>
      </c>
      <c r="F127" s="156">
        <f t="shared" si="23"/>
        <v>-14.98</v>
      </c>
      <c r="G127" s="9"/>
      <c r="H127" s="44">
        <v>6</v>
      </c>
      <c r="I127" s="34" t="s">
        <v>34</v>
      </c>
      <c r="J127" s="35">
        <f>SUMIF($O$47:$O$73,I127,$AC$47:$AC$73)+SUMIF($O$47:$O$73,I127,$AD$47:$AD$73)</f>
        <v>808374</v>
      </c>
      <c r="K127" s="38">
        <f>SUMIF($O$47:$O$73,I127,$BT$47:$BT$73)+SUMIF($O$47:$O$73,I127,$BU$47:$BU$73)</f>
        <v>884860</v>
      </c>
      <c r="L127" s="156">
        <f t="shared" si="24"/>
        <v>9.4600000000000009</v>
      </c>
      <c r="M127" s="2"/>
      <c r="N127" s="50"/>
      <c r="O127" s="51"/>
      <c r="P127" s="9"/>
      <c r="Q127" s="9"/>
      <c r="R127" s="9"/>
      <c r="S127" s="9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</row>
    <row r="128" spans="2:57" ht="13.5" customHeight="1" x14ac:dyDescent="0.2">
      <c r="B128" s="10">
        <v>7</v>
      </c>
      <c r="C128" s="34" t="s">
        <v>34</v>
      </c>
      <c r="D128" s="35">
        <f>SUMIF($O$8:$O$34,C128,$AC$8:$AC$34)+SUMIF($O$8:$O$34,C128,$AD$8:$AD$34)</f>
        <v>4688951</v>
      </c>
      <c r="E128" s="38">
        <f>SUMIF($O$8:$O$34,C128,$BT$8:$BT$34)+SUMIF($O$8:$O$34,C128,$BU$8:$BU$34)</f>
        <v>4179900</v>
      </c>
      <c r="F128" s="156">
        <f t="shared" si="23"/>
        <v>-10.85</v>
      </c>
      <c r="G128" s="9"/>
      <c r="H128" s="44">
        <v>7</v>
      </c>
      <c r="I128" s="34" t="s">
        <v>37</v>
      </c>
      <c r="J128" s="35">
        <f>SUMIF($O$47:$O$73,I128,$AC$47:$AC$73)+SUMIF($O$47:$O$73,I128,$AD$47:$AD$73)</f>
        <v>854793</v>
      </c>
      <c r="K128" s="38">
        <f>SUMIF($O$47:$O$73,I128,$BT$47:$BT$73)+SUMIF($O$47:$O$73,I128,$BU$47:$BU$73)</f>
        <v>740510</v>
      </c>
      <c r="L128" s="156">
        <f t="shared" si="24"/>
        <v>-13.36</v>
      </c>
      <c r="M128" s="2"/>
      <c r="N128" s="50"/>
      <c r="O128" s="51"/>
      <c r="P128" s="9"/>
      <c r="Q128" s="9"/>
      <c r="R128" s="9"/>
      <c r="S128" s="9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</row>
    <row r="129" spans="2:57" ht="13.5" customHeight="1" x14ac:dyDescent="0.2">
      <c r="B129" s="10">
        <v>8</v>
      </c>
      <c r="C129" s="34" t="s">
        <v>36</v>
      </c>
      <c r="D129" s="35">
        <f>SUMIF($O$8:$O$34,C129,$AC$8:$AC$34)+SUMIF($O$8:$O$34,C129,$AD$8:$AD$34)</f>
        <v>3076480</v>
      </c>
      <c r="E129" s="38">
        <f>SUMIF($O$8:$O$34,C129,$BT$8:$BT$34)+SUMIF($O$8:$O$34,C129,$BU$8:$BU$34)</f>
        <v>2530363</v>
      </c>
      <c r="F129" s="156">
        <f t="shared" si="23"/>
        <v>-17.75</v>
      </c>
      <c r="G129" s="9"/>
      <c r="H129" s="44">
        <v>8</v>
      </c>
      <c r="I129" s="34" t="s">
        <v>30</v>
      </c>
      <c r="J129" s="35">
        <f>SUMIF($O$47:$O$73,I129,$AC$47:$AC$73)+SUMIF($O$47:$O$73,I129,$AD$47:$AD$73)</f>
        <v>814311</v>
      </c>
      <c r="K129" s="38">
        <f>SUMIF($O$47:$O$73,I129,$BT$47:$BT$73)+SUMIF($O$47:$O$73,I129,$BU$47:$BU$73)</f>
        <v>696655</v>
      </c>
      <c r="L129" s="156">
        <f t="shared" si="24"/>
        <v>-14.44</v>
      </c>
      <c r="M129" s="2"/>
      <c r="N129" s="50"/>
      <c r="O129" s="51"/>
      <c r="P129" s="9"/>
      <c r="Q129" s="9"/>
      <c r="R129" s="9"/>
      <c r="S129" s="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</row>
    <row r="130" spans="2:57" ht="13.5" customHeight="1" x14ac:dyDescent="0.2">
      <c r="B130" s="10">
        <v>9</v>
      </c>
      <c r="C130" s="34" t="s">
        <v>30</v>
      </c>
      <c r="D130" s="35">
        <f>SUMIF($O$8:$O$34,C130,$AC$8:$AC$34)+SUMIF($O$8:$O$34,C130,$AD$8:$AD$34)</f>
        <v>2683111</v>
      </c>
      <c r="E130" s="38">
        <f>SUMIF($O$8:$O$34,C130,$BT$8:$BT$34)+SUMIF($O$8:$O$34,C130,$BU$8:$BU$34)</f>
        <v>1545690</v>
      </c>
      <c r="F130" s="156">
        <f t="shared" si="23"/>
        <v>-42.39</v>
      </c>
      <c r="G130" s="9"/>
      <c r="H130" s="44">
        <v>9</v>
      </c>
      <c r="I130" s="34" t="s">
        <v>23</v>
      </c>
      <c r="J130" s="35">
        <f>SUMIF($O$47:$O$73,I130,$AC$47:$AC$73)+SUMIF($O$47:$O$73,I130,$AD$47:$AD$73)</f>
        <v>409277</v>
      </c>
      <c r="K130" s="38">
        <f>SUMIF($O$47:$O$73,I130,$BT$47:$BT$73)+SUMIF($O$47:$O$73,I130,$BU$47:$BU$73)</f>
        <v>483738</v>
      </c>
      <c r="L130" s="156">
        <f t="shared" si="24"/>
        <v>18.190000000000001</v>
      </c>
      <c r="M130" s="2"/>
      <c r="N130" s="50"/>
      <c r="O130" s="51"/>
      <c r="P130" s="9"/>
      <c r="Q130" s="9"/>
      <c r="R130" s="9"/>
      <c r="S130" s="9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</row>
    <row r="131" spans="2:57" ht="13.5" customHeight="1" x14ac:dyDescent="0.2">
      <c r="B131" s="10">
        <v>10</v>
      </c>
      <c r="C131" s="34" t="s">
        <v>22</v>
      </c>
      <c r="D131" s="35">
        <f>SUMIF($O$8:$O$34,C131,$AC$8:$AC$34)+SUMIF($O$8:$O$34,C131,$AD$8:$AD$34)</f>
        <v>1397831</v>
      </c>
      <c r="E131" s="38">
        <f>SUMIF($O$8:$O$34,C131,$BT$8:$BT$34)+SUMIF($O$8:$O$34,C131,$BU$8:$BU$34)</f>
        <v>683983</v>
      </c>
      <c r="F131" s="156">
        <f t="shared" si="23"/>
        <v>-51.06</v>
      </c>
      <c r="G131" s="9"/>
      <c r="H131" s="44">
        <v>10</v>
      </c>
      <c r="I131" s="34" t="s">
        <v>24</v>
      </c>
      <c r="J131" s="35">
        <f>SUMIF($O$47:$O$73,I131,$AC$47:$AC$73)+SUMIF($O$47:$O$73,I131,$AD$47:$AD$73)</f>
        <v>495927</v>
      </c>
      <c r="K131" s="38">
        <f>SUMIF($O$47:$O$73,I131,$BT$47:$BT$73)+SUMIF($O$47:$O$73,I131,$BU$47:$BU$73)</f>
        <v>475716</v>
      </c>
      <c r="L131" s="156">
        <f t="shared" si="24"/>
        <v>-4.07</v>
      </c>
      <c r="M131" s="2"/>
      <c r="N131" s="50"/>
      <c r="O131" s="51"/>
      <c r="P131" s="9"/>
      <c r="Q131" s="9"/>
      <c r="R131" s="9"/>
      <c r="S131" s="9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</row>
    <row r="132" spans="2:57" ht="13.5" customHeight="1" x14ac:dyDescent="0.2">
      <c r="B132" s="10">
        <v>11</v>
      </c>
      <c r="C132" s="34" t="s">
        <v>19</v>
      </c>
      <c r="D132" s="35">
        <f>SUMIF($O$8:$O$34,C132,$AC$8:$AC$34)+SUMIF($O$8:$O$34,C132,$AD$8:$AD$34)</f>
        <v>759662</v>
      </c>
      <c r="E132" s="38">
        <f>SUMIF($O$8:$O$34,C132,$BT$8:$BT$34)+SUMIF($O$8:$O$34,C132,$BU$8:$BU$34)</f>
        <v>641929</v>
      </c>
      <c r="F132" s="156">
        <f t="shared" si="23"/>
        <v>-15.49</v>
      </c>
      <c r="G132" s="51"/>
      <c r="H132" s="44">
        <v>11</v>
      </c>
      <c r="I132" s="34" t="s">
        <v>36</v>
      </c>
      <c r="J132" s="35">
        <f>SUMIF($O$47:$O$73,I132,$AC$47:$AC$73)+SUMIF($O$47:$O$73,I132,$AD$47:$AD$73)</f>
        <v>404487</v>
      </c>
      <c r="K132" s="38">
        <f>SUMIF($O$47:$O$73,I132,$BT$47:$BT$73)+SUMIF($O$47:$O$73,I132,$BU$47:$BU$73)</f>
        <v>360341</v>
      </c>
      <c r="L132" s="156">
        <f t="shared" si="24"/>
        <v>-10.91</v>
      </c>
      <c r="M132" s="2"/>
      <c r="N132" s="50"/>
      <c r="O132" s="51"/>
      <c r="P132" s="9"/>
      <c r="Q132" s="9"/>
      <c r="R132" s="9"/>
      <c r="S132" s="9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</row>
    <row r="133" spans="2:57" ht="13.5" customHeight="1" x14ac:dyDescent="0.2">
      <c r="B133" s="10">
        <v>12</v>
      </c>
      <c r="C133" s="34" t="s">
        <v>15</v>
      </c>
      <c r="D133" s="35">
        <f>SUMIF($O$8:$O$34,C133,$AC$8:$AC$34)+SUMIF($O$8:$O$34,C133,$AD$8:$AD$34)</f>
        <v>787093</v>
      </c>
      <c r="E133" s="38">
        <f>SUMIF($O$8:$O$34,C133,$BT$8:$BT$34)+SUMIF($O$8:$O$34,C133,$BU$8:$BU$34)</f>
        <v>602411</v>
      </c>
      <c r="F133" s="156">
        <f t="shared" si="23"/>
        <v>-23.46</v>
      </c>
      <c r="G133" s="9"/>
      <c r="H133" s="44">
        <v>12</v>
      </c>
      <c r="I133" s="34" t="s">
        <v>22</v>
      </c>
      <c r="J133" s="35">
        <f>SUMIF($O$47:$O$73,I133,$AC$47:$AC$73)+SUMIF($O$47:$O$73,I133,$AD$47:$AD$73)</f>
        <v>456746</v>
      </c>
      <c r="K133" s="38">
        <f>SUMIF($O$47:$O$73,I133,$BT$47:$BT$73)+SUMIF($O$47:$O$73,I133,$BU$47:$BU$73)</f>
        <v>337479</v>
      </c>
      <c r="L133" s="156">
        <f t="shared" si="24"/>
        <v>-26.11</v>
      </c>
      <c r="M133" s="2"/>
      <c r="N133" s="50"/>
      <c r="O133" s="51"/>
      <c r="P133" s="9"/>
      <c r="Q133" s="9"/>
      <c r="R133" s="9"/>
      <c r="S133" s="9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</row>
    <row r="134" spans="2:57" ht="13.5" customHeight="1" x14ac:dyDescent="0.2">
      <c r="B134" s="10">
        <v>13</v>
      </c>
      <c r="C134" s="34" t="s">
        <v>23</v>
      </c>
      <c r="D134" s="35">
        <f>SUMIF($O$8:$O$34,C134,$AC$8:$AC$34)+SUMIF($O$8:$O$34,C134,$AD$8:$AD$34)</f>
        <v>1101439</v>
      </c>
      <c r="E134" s="38">
        <f>SUMIF($O$8:$O$34,C134,$BT$8:$BT$34)+SUMIF($O$8:$O$34,C134,$BU$8:$BU$34)</f>
        <v>600690</v>
      </c>
      <c r="F134" s="156">
        <f t="shared" si="23"/>
        <v>-45.46</v>
      </c>
      <c r="G134" s="9"/>
      <c r="H134" s="44">
        <v>13</v>
      </c>
      <c r="I134" s="34" t="s">
        <v>19</v>
      </c>
      <c r="J134" s="35">
        <f>SUMIF($O$47:$O$73,I134,$AC$47:$AC$73)+SUMIF($O$47:$O$73,I134,$AD$47:$AD$73)</f>
        <v>228871</v>
      </c>
      <c r="K134" s="38">
        <f>SUMIF($O$47:$O$73,I134,$BT$47:$BT$73)+SUMIF($O$47:$O$73,I134,$BU$47:$BU$73)</f>
        <v>198231</v>
      </c>
      <c r="L134" s="156">
        <f t="shared" si="24"/>
        <v>-13.38</v>
      </c>
      <c r="M134" s="2"/>
      <c r="N134" s="50"/>
      <c r="O134" s="51"/>
      <c r="P134" s="9"/>
      <c r="Q134" s="9"/>
      <c r="R134" s="9"/>
      <c r="S134" s="9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</row>
    <row r="135" spans="2:57" ht="13.5" customHeight="1" x14ac:dyDescent="0.2">
      <c r="B135" s="10">
        <v>14</v>
      </c>
      <c r="C135" s="34" t="s">
        <v>21</v>
      </c>
      <c r="D135" s="35">
        <f>SUMIF($O$8:$O$34,C135,$AC$8:$AC$34)+SUMIF($O$8:$O$34,C135,$AD$8:$AD$34)</f>
        <v>639736</v>
      </c>
      <c r="E135" s="38">
        <f>SUMIF($O$8:$O$34,C135,$BT$8:$BT$34)+SUMIF($O$8:$O$34,C135,$BU$8:$BU$34)</f>
        <v>398048</v>
      </c>
      <c r="F135" s="156">
        <f t="shared" si="23"/>
        <v>-37.770000000000003</v>
      </c>
      <c r="G135" s="9"/>
      <c r="H135" s="44">
        <v>14</v>
      </c>
      <c r="I135" s="34" t="s">
        <v>27</v>
      </c>
      <c r="J135" s="35">
        <f>SUMIF($O$47:$O$73,I135,$AC$47:$AC$73)+SUMIF($O$47:$O$73,I135,$AD$47:$AD$73)</f>
        <v>194147</v>
      </c>
      <c r="K135" s="38">
        <f>SUMIF($O$47:$O$73,I135,$BT$47:$BT$73)+SUMIF($O$47:$O$73,I135,$BU$47:$BU$73)</f>
        <v>188362</v>
      </c>
      <c r="L135" s="156">
        <f t="shared" si="24"/>
        <v>-2.97</v>
      </c>
      <c r="M135" s="2"/>
      <c r="N135" s="50"/>
      <c r="O135" s="51"/>
      <c r="P135" s="9"/>
      <c r="Q135" s="9"/>
      <c r="R135" s="9"/>
      <c r="S135" s="9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</row>
    <row r="136" spans="2:57" ht="13.5" customHeight="1" x14ac:dyDescent="0.2">
      <c r="B136" s="10">
        <v>15</v>
      </c>
      <c r="C136" s="34" t="s">
        <v>40</v>
      </c>
      <c r="D136" s="35">
        <f>SUMIF($O$8:$O$34,C136,$AC$8:$AC$34)+SUMIF($O$8:$O$34,C136,$AD$8:$AD$34)</f>
        <v>528188</v>
      </c>
      <c r="E136" s="38">
        <f>SUMIF($O$8:$O$34,C136,$BT$8:$BT$34)+SUMIF($O$8:$O$34,C136,$BU$8:$BU$34)</f>
        <v>292461</v>
      </c>
      <c r="F136" s="156">
        <f t="shared" si="23"/>
        <v>-44.62</v>
      </c>
      <c r="G136" s="9"/>
      <c r="H136" s="44">
        <v>15</v>
      </c>
      <c r="I136" s="34" t="s">
        <v>29</v>
      </c>
      <c r="J136" s="35">
        <f>SUMIF($O$47:$O$73,I136,$AC$47:$AC$73)+SUMIF($O$47:$O$73,I136,$AD$47:$AD$73)</f>
        <v>175135</v>
      </c>
      <c r="K136" s="38">
        <f>SUMIF($O$47:$O$73,I136,$BT$47:$BT$73)+SUMIF($O$47:$O$73,I136,$BU$47:$BU$73)</f>
        <v>172145</v>
      </c>
      <c r="L136" s="156">
        <f t="shared" si="24"/>
        <v>-1.7</v>
      </c>
      <c r="M136" s="2"/>
      <c r="N136" s="50"/>
      <c r="O136" s="51"/>
      <c r="P136" s="9"/>
      <c r="Q136" s="9"/>
      <c r="R136" s="9"/>
      <c r="S136" s="9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</row>
    <row r="137" spans="2:57" ht="13.5" customHeight="1" x14ac:dyDescent="0.2">
      <c r="B137" s="10">
        <v>16</v>
      </c>
      <c r="C137" s="34" t="s">
        <v>29</v>
      </c>
      <c r="D137" s="35">
        <f>SUMIF($O$8:$O$34,C137,$AC$8:$AC$34)+SUMIF($O$8:$O$34,C137,$AD$8:$AD$34)</f>
        <v>495729</v>
      </c>
      <c r="E137" s="38">
        <f>SUMIF($O$8:$O$34,C137,$BT$8:$BT$34)+SUMIF($O$8:$O$34,C137,$BU$8:$BU$34)</f>
        <v>139933</v>
      </c>
      <c r="F137" s="156">
        <f t="shared" si="23"/>
        <v>-71.77</v>
      </c>
      <c r="G137" s="9"/>
      <c r="H137" s="44">
        <v>16</v>
      </c>
      <c r="I137" s="34" t="s">
        <v>15</v>
      </c>
      <c r="J137" s="35">
        <f>SUMIF($O$47:$O$73,I137,$AC$47:$AC$73)+SUMIF($O$47:$O$73,I137,$AD$47:$AD$73)</f>
        <v>175952</v>
      </c>
      <c r="K137" s="38">
        <f>SUMIF($O$47:$O$73,I137,$BT$47:$BT$73)+SUMIF($O$47:$O$73,I137,$BU$47:$BU$73)</f>
        <v>166818</v>
      </c>
      <c r="L137" s="156">
        <f t="shared" si="24"/>
        <v>-5.19</v>
      </c>
      <c r="M137" s="2"/>
      <c r="N137" s="50"/>
      <c r="O137" s="51"/>
      <c r="P137" s="9"/>
      <c r="Q137" s="9"/>
      <c r="R137" s="9"/>
      <c r="S137" s="9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</row>
    <row r="138" spans="2:57" ht="13.5" customHeight="1" x14ac:dyDescent="0.2">
      <c r="B138" s="10">
        <v>17</v>
      </c>
      <c r="C138" s="34" t="s">
        <v>24</v>
      </c>
      <c r="D138" s="35">
        <f>SUMIF($O$8:$O$34,C138,$AC$8:$AC$34)+SUMIF($O$8:$O$34,C138,$AD$8:$AD$34)</f>
        <v>130887</v>
      </c>
      <c r="E138" s="38">
        <f>SUMIF($O$8:$O$34,C138,$BT$8:$BT$34)+SUMIF($O$8:$O$34,C138,$BU$8:$BU$34)</f>
        <v>114668</v>
      </c>
      <c r="F138" s="156">
        <f>IF(E138=0,0,TRUNC(((E138/D138)-1)*100,2))</f>
        <v>-12.39</v>
      </c>
      <c r="G138" s="9"/>
      <c r="H138" s="44">
        <v>17</v>
      </c>
      <c r="I138" s="34" t="s">
        <v>21</v>
      </c>
      <c r="J138" s="35">
        <f>SUMIF($O$47:$O$73,I138,$AC$47:$AC$73)+SUMIF($O$47:$O$73,I138,$AD$47:$AD$73)</f>
        <v>162078</v>
      </c>
      <c r="K138" s="38">
        <f>SUMIF($O$47:$O$73,I138,$BT$47:$BT$73)+SUMIF($O$47:$O$73,I138,$BU$47:$BU$73)</f>
        <v>121663</v>
      </c>
      <c r="L138" s="156">
        <f>IF(K138=0,0,TRUNC(((K138/J138)-1)*100,2))</f>
        <v>-24.93</v>
      </c>
      <c r="M138" s="2"/>
      <c r="N138" s="50"/>
      <c r="O138" s="51"/>
      <c r="P138" s="9"/>
      <c r="Q138" s="9"/>
      <c r="R138" s="9"/>
      <c r="S138" s="9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</row>
    <row r="139" spans="2:57" ht="13.5" customHeight="1" x14ac:dyDescent="0.2">
      <c r="B139" s="10">
        <v>18</v>
      </c>
      <c r="C139" s="34" t="s">
        <v>16</v>
      </c>
      <c r="D139" s="35">
        <f>SUMIF($O$8:$O$34,C139,$AC$8:$AC$34)+SUMIF($O$8:$O$34,C139,$AD$8:$AD$34)</f>
        <v>94483</v>
      </c>
      <c r="E139" s="38">
        <f>SUMIF($O$8:$O$34,C139,$BT$8:$BT$34)+SUMIF($O$8:$O$34,C139,$BU$8:$BU$34)</f>
        <v>82063</v>
      </c>
      <c r="F139" s="156">
        <f t="shared" ref="F139:F148" si="25">IF(E139=0,0,TRUNC(((E139/D139)-1)*100,2))</f>
        <v>-13.14</v>
      </c>
      <c r="G139" s="9"/>
      <c r="H139" s="44">
        <v>18</v>
      </c>
      <c r="I139" s="34" t="s">
        <v>26</v>
      </c>
      <c r="J139" s="35">
        <f>SUMIF($O$47:$O$73,I139,$AC$47:$AC$73)+SUMIF($O$47:$O$73,I139,$AD$47:$AD$73)</f>
        <v>65286</v>
      </c>
      <c r="K139" s="38">
        <f>SUMIF($O$47:$O$73,I139,$BT$47:$BT$73)+SUMIF($O$47:$O$73,I139,$BU$47:$BU$73)</f>
        <v>83798</v>
      </c>
      <c r="L139" s="156">
        <f t="shared" ref="L139:L148" si="26">IF(K139=0,0,TRUNC(((K139/J139)-1)*100,2))</f>
        <v>28.35</v>
      </c>
      <c r="M139" s="2"/>
      <c r="N139" s="50"/>
      <c r="O139" s="51"/>
      <c r="P139" s="9"/>
      <c r="Q139" s="9"/>
      <c r="R139" s="9"/>
      <c r="S139" s="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</row>
    <row r="140" spans="2:57" ht="13.5" customHeight="1" x14ac:dyDescent="0.2">
      <c r="B140" s="10">
        <v>19</v>
      </c>
      <c r="C140" s="34" t="s">
        <v>32</v>
      </c>
      <c r="D140" s="35">
        <f>SUMIF($O$8:$O$34,C140,$AC$8:$AC$34)+SUMIF($O$8:$O$34,C140,$AD$8:$AD$34)</f>
        <v>30147</v>
      </c>
      <c r="E140" s="38">
        <f>SUMIF($O$8:$O$34,C140,$BT$8:$BT$34)+SUMIF($O$8:$O$34,C140,$BU$8:$BU$34)</f>
        <v>37939</v>
      </c>
      <c r="F140" s="156">
        <f t="shared" si="25"/>
        <v>25.84</v>
      </c>
      <c r="G140" s="9"/>
      <c r="H140" s="44">
        <v>19</v>
      </c>
      <c r="I140" s="34" t="s">
        <v>40</v>
      </c>
      <c r="J140" s="35">
        <f>SUMIF($O$47:$O$73,I140,$AC$47:$AC$73)+SUMIF($O$47:$O$73,I140,$AD$47:$AD$73)</f>
        <v>65222</v>
      </c>
      <c r="K140" s="38">
        <f>SUMIF($O$47:$O$73,I140,$BT$47:$BT$73)+SUMIF($O$47:$O$73,I140,$BU$47:$BU$73)</f>
        <v>70163</v>
      </c>
      <c r="L140" s="156">
        <f t="shared" si="26"/>
        <v>7.57</v>
      </c>
      <c r="M140" s="2"/>
      <c r="N140" s="50"/>
      <c r="O140" s="51"/>
      <c r="P140" s="9"/>
      <c r="Q140" s="9"/>
      <c r="R140" s="9"/>
      <c r="S140" s="9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</row>
    <row r="141" spans="2:57" ht="13.5" customHeight="1" x14ac:dyDescent="0.2">
      <c r="B141" s="10">
        <v>20</v>
      </c>
      <c r="C141" s="34" t="s">
        <v>17</v>
      </c>
      <c r="D141" s="35">
        <f>SUMIF($O$8:$O$34,C141,$AC$8:$AC$34)+SUMIF($O$8:$O$34,C141,$AD$8:$AD$34)</f>
        <v>16816</v>
      </c>
      <c r="E141" s="38">
        <f>SUMIF($O$8:$O$34,C141,$BT$8:$BT$34)+SUMIF($O$8:$O$34,C141,$BU$8:$BU$34)</f>
        <v>25174</v>
      </c>
      <c r="F141" s="156">
        <f t="shared" si="25"/>
        <v>49.7</v>
      </c>
      <c r="G141" s="9"/>
      <c r="H141" s="44">
        <v>20</v>
      </c>
      <c r="I141" s="34" t="s">
        <v>25</v>
      </c>
      <c r="J141" s="35">
        <f>SUMIF($O$47:$O$73,I141,$AC$47:$AC$73)+SUMIF($O$47:$O$73,I141,$AD$47:$AD$73)</f>
        <v>42915</v>
      </c>
      <c r="K141" s="38">
        <f>SUMIF($O$47:$O$73,I141,$BT$47:$BT$73)+SUMIF($O$47:$O$73,I141,$BU$47:$BU$73)</f>
        <v>36976</v>
      </c>
      <c r="L141" s="156">
        <f t="shared" si="26"/>
        <v>-13.83</v>
      </c>
      <c r="M141" s="2"/>
      <c r="N141" s="50"/>
      <c r="O141" s="51"/>
      <c r="P141" s="9"/>
      <c r="Q141" s="9"/>
      <c r="R141" s="9"/>
      <c r="S141" s="9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</row>
    <row r="142" spans="2:57" ht="13.5" customHeight="1" x14ac:dyDescent="0.2">
      <c r="B142" s="10">
        <v>21</v>
      </c>
      <c r="C142" s="34" t="s">
        <v>18</v>
      </c>
      <c r="D142" s="35">
        <f>SUMIF($O$8:$O$34,C142,$AC$8:$AC$34)+SUMIF($O$8:$O$34,C142,$AD$8:$AD$34)</f>
        <v>15528</v>
      </c>
      <c r="E142" s="38">
        <f>SUMIF($O$8:$O$34,C142,$BT$8:$BT$34)+SUMIF($O$8:$O$34,C142,$BU$8:$BU$34)</f>
        <v>16353</v>
      </c>
      <c r="F142" s="156">
        <f t="shared" si="25"/>
        <v>5.31</v>
      </c>
      <c r="G142" s="9"/>
      <c r="H142" s="44">
        <v>21</v>
      </c>
      <c r="I142" s="34" t="s">
        <v>16</v>
      </c>
      <c r="J142" s="35">
        <f>SUMIF($O$47:$O$73,I142,$AC$47:$AC$73)+SUMIF($O$47:$O$73,I142,$AD$47:$AD$73)</f>
        <v>41876</v>
      </c>
      <c r="K142" s="38">
        <f>SUMIF($O$47:$O$73,I142,$BT$47:$BT$73)+SUMIF($O$47:$O$73,I142,$BU$47:$BU$73)</f>
        <v>35647</v>
      </c>
      <c r="L142" s="156">
        <f t="shared" si="26"/>
        <v>-14.87</v>
      </c>
      <c r="M142" s="2"/>
      <c r="N142" s="50"/>
      <c r="O142" s="51"/>
      <c r="P142" s="9"/>
      <c r="Q142" s="9"/>
      <c r="R142" s="9"/>
      <c r="S142" s="9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</row>
    <row r="143" spans="2:57" ht="13.5" customHeight="1" x14ac:dyDescent="0.2">
      <c r="B143" s="10">
        <v>22</v>
      </c>
      <c r="C143" s="34" t="s">
        <v>28</v>
      </c>
      <c r="D143" s="35">
        <f>SUMIF($O$8:$O$34,C143,$AC$8:$AC$34)+SUMIF($O$8:$O$34,C143,$AD$8:$AD$34)</f>
        <v>15800</v>
      </c>
      <c r="E143" s="38">
        <f>SUMIF($O$8:$O$34,C143,$BT$8:$BT$34)+SUMIF($O$8:$O$34,C143,$BU$8:$BU$34)</f>
        <v>13810</v>
      </c>
      <c r="F143" s="156">
        <f t="shared" si="25"/>
        <v>-12.59</v>
      </c>
      <c r="G143" s="9"/>
      <c r="H143" s="44">
        <v>22</v>
      </c>
      <c r="I143" s="34" t="s">
        <v>28</v>
      </c>
      <c r="J143" s="35">
        <f>SUMIF($O$47:$O$73,I143,$AC$47:$AC$73)+SUMIF($O$47:$O$73,I143,$AD$47:$AD$73)</f>
        <v>34224</v>
      </c>
      <c r="K143" s="38">
        <f>SUMIF($O$47:$O$73,I143,$BT$47:$BT$73)+SUMIF($O$47:$O$73,I143,$BU$47:$BU$73)</f>
        <v>29349</v>
      </c>
      <c r="L143" s="156">
        <f t="shared" si="26"/>
        <v>-14.24</v>
      </c>
      <c r="M143" s="2"/>
      <c r="N143" s="50"/>
      <c r="O143" s="51"/>
      <c r="P143" s="9"/>
      <c r="Q143" s="9"/>
      <c r="R143" s="9"/>
      <c r="S143" s="9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</row>
    <row r="144" spans="2:57" ht="13.5" customHeight="1" x14ac:dyDescent="0.2">
      <c r="B144" s="10">
        <v>23</v>
      </c>
      <c r="C144" s="34" t="s">
        <v>26</v>
      </c>
      <c r="D144" s="35">
        <f>SUMIF($O$8:$O$34,C144,$AC$8:$AC$34)+SUMIF($O$8:$O$34,C144,$AD$8:$AD$34)</f>
        <v>10934</v>
      </c>
      <c r="E144" s="38">
        <f>SUMIF($O$8:$O$34,C144,$BT$8:$BT$34)+SUMIF($O$8:$O$34,C144,$BU$8:$BU$34)</f>
        <v>12613</v>
      </c>
      <c r="F144" s="156">
        <f t="shared" si="25"/>
        <v>15.35</v>
      </c>
      <c r="G144" s="9"/>
      <c r="H144" s="44">
        <v>23</v>
      </c>
      <c r="I144" s="34" t="s">
        <v>32</v>
      </c>
      <c r="J144" s="35">
        <f>SUMIF($O$47:$O$73,I144,$AC$47:$AC$73)+SUMIF($O$47:$O$73,I144,$AD$47:$AD$73)</f>
        <v>18642</v>
      </c>
      <c r="K144" s="38">
        <f>SUMIF($O$47:$O$73,I144,$BT$47:$BT$73)+SUMIF($O$47:$O$73,I144,$BU$47:$BU$73)</f>
        <v>13305</v>
      </c>
      <c r="L144" s="156">
        <f t="shared" si="26"/>
        <v>-28.62</v>
      </c>
      <c r="M144" s="2"/>
      <c r="N144" s="50"/>
      <c r="O144" s="51"/>
      <c r="P144" s="9"/>
      <c r="Q144" s="9"/>
      <c r="R144" s="9"/>
      <c r="S144" s="9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</row>
    <row r="145" spans="2:57" ht="13.5" customHeight="1" x14ac:dyDescent="0.2">
      <c r="B145" s="10">
        <v>24</v>
      </c>
      <c r="C145" s="34" t="s">
        <v>27</v>
      </c>
      <c r="D145" s="35">
        <f>SUMIF($O$8:$O$34,C145,$AC$8:$AC$34)+SUMIF($O$8:$O$34,C145,$AD$8:$AD$34)</f>
        <v>25867</v>
      </c>
      <c r="E145" s="38">
        <f>SUMIF($O$8:$O$34,C145,$BT$8:$BT$34)+SUMIF($O$8:$O$34,C145,$BU$8:$BU$34)</f>
        <v>11064</v>
      </c>
      <c r="F145" s="156">
        <f t="shared" si="25"/>
        <v>-57.22</v>
      </c>
      <c r="G145" s="9"/>
      <c r="H145" s="44">
        <v>24</v>
      </c>
      <c r="I145" s="34" t="s">
        <v>17</v>
      </c>
      <c r="J145" s="35">
        <f>SUMIF($O$47:$O$73,I145,$AC$47:$AC$73)+SUMIF($O$47:$O$73,I145,$AD$47:$AD$73)</f>
        <v>6604</v>
      </c>
      <c r="K145" s="38">
        <f>SUMIF($O$47:$O$73,I145,$BT$47:$BT$73)+SUMIF($O$47:$O$73,I145,$BU$47:$BU$73)</f>
        <v>10858</v>
      </c>
      <c r="L145" s="156">
        <f t="shared" si="26"/>
        <v>64.41</v>
      </c>
      <c r="M145" s="2"/>
      <c r="N145" s="50"/>
      <c r="O145" s="51"/>
      <c r="P145" s="9"/>
      <c r="Q145" s="9"/>
      <c r="R145" s="9"/>
      <c r="S145" s="9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</row>
    <row r="146" spans="2:57" ht="13.5" customHeight="1" x14ac:dyDescent="0.2">
      <c r="B146" s="10">
        <v>25</v>
      </c>
      <c r="C146" s="34" t="s">
        <v>33</v>
      </c>
      <c r="D146" s="35">
        <f>SUMIF($O$8:$O$34,C146,$AC$8:$AC$34)+SUMIF($O$8:$O$34,C146,$AD$8:$AD$34)</f>
        <v>6234</v>
      </c>
      <c r="E146" s="38">
        <f>SUMIF($O$8:$O$34,C146,$BT$8:$BT$34)+SUMIF($O$8:$O$34,C146,$BU$8:$BU$34)</f>
        <v>6080</v>
      </c>
      <c r="F146" s="156">
        <f t="shared" si="25"/>
        <v>-2.4700000000000002</v>
      </c>
      <c r="G146" s="9"/>
      <c r="H146" s="44">
        <v>25</v>
      </c>
      <c r="I146" s="34" t="s">
        <v>18</v>
      </c>
      <c r="J146" s="35">
        <f>SUMIF($O$47:$O$73,I146,$AC$47:$AC$73)+SUMIF($O$47:$O$73,I146,$AD$47:$AD$73)</f>
        <v>5221</v>
      </c>
      <c r="K146" s="38">
        <f>SUMIF($O$47:$O$73,I146,$BT$47:$BT$73)+SUMIF($O$47:$O$73,I146,$BU$47:$BU$73)</f>
        <v>5671</v>
      </c>
      <c r="L146" s="156">
        <f t="shared" si="26"/>
        <v>8.61</v>
      </c>
      <c r="M146" s="2"/>
      <c r="N146" s="50"/>
      <c r="O146" s="51"/>
      <c r="P146" s="9"/>
      <c r="Q146" s="9"/>
      <c r="R146" s="9"/>
      <c r="S146" s="9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</row>
    <row r="147" spans="2:57" ht="13.5" customHeight="1" x14ac:dyDescent="0.2">
      <c r="B147" s="10">
        <v>26</v>
      </c>
      <c r="C147" s="34" t="s">
        <v>25</v>
      </c>
      <c r="D147" s="35">
        <f>SUMIF($O$8:$O$34,C147,$AC$8:$AC$34)+SUMIF($O$8:$O$34,C147,$AD$8:$AD$34)</f>
        <v>4222</v>
      </c>
      <c r="E147" s="38">
        <f>SUMIF($O$8:$O$34,C147,$BT$8:$BT$34)+SUMIF($O$8:$O$34,C147,$BU$8:$BU$34)</f>
        <v>3548</v>
      </c>
      <c r="F147" s="156">
        <f t="shared" si="25"/>
        <v>-15.96</v>
      </c>
      <c r="G147" s="9"/>
      <c r="H147" s="44">
        <v>26</v>
      </c>
      <c r="I147" s="34" t="s">
        <v>33</v>
      </c>
      <c r="J147" s="35">
        <f>SUMIF($O$47:$O$73,I147,$AC$47:$AC$73)+SUMIF($O$47:$O$73,I147,$AD$47:$AD$73)</f>
        <v>2440</v>
      </c>
      <c r="K147" s="38">
        <f>SUMIF($O$47:$O$73,I147,$BT$47:$BT$73)+SUMIF($O$47:$O$73,I147,$BU$47:$BU$73)</f>
        <v>2839</v>
      </c>
      <c r="L147" s="156">
        <f t="shared" si="26"/>
        <v>16.350000000000001</v>
      </c>
      <c r="M147" s="2"/>
      <c r="N147" s="50"/>
      <c r="O147" s="51"/>
      <c r="P147" s="9"/>
      <c r="Q147" s="9"/>
      <c r="R147" s="9"/>
      <c r="S147" s="9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</row>
    <row r="148" spans="2:57" ht="13.5" customHeight="1" x14ac:dyDescent="0.2">
      <c r="B148" s="10">
        <v>27</v>
      </c>
      <c r="C148" s="34" t="s">
        <v>20</v>
      </c>
      <c r="D148" s="35">
        <f>SUMIF($O$8:$O$34,C148,$AC$8:$AC$34)+SUMIF($O$8:$O$34,C148,$AD$8:$AD$34)</f>
        <v>1650</v>
      </c>
      <c r="E148" s="38">
        <f>SUMIF($O$8:$O$34,C148,$BT$8:$BT$34)+SUMIF($O$8:$O$34,C148,$BU$8:$BU$34)</f>
        <v>1517</v>
      </c>
      <c r="F148" s="156">
        <f t="shared" si="25"/>
        <v>-8.06</v>
      </c>
      <c r="G148" s="9"/>
      <c r="H148" s="44">
        <v>27</v>
      </c>
      <c r="I148" s="34" t="s">
        <v>20</v>
      </c>
      <c r="J148" s="35">
        <f>SUMIF($O$47:$O$73,I148,$AC$47:$AC$73)+SUMIF($O$47:$O$73,I148,$AD$47:$AD$73)</f>
        <v>1757</v>
      </c>
      <c r="K148" s="38">
        <f>SUMIF($O$47:$O$73,I148,$BT$47:$BT$73)+SUMIF($O$47:$O$73,I148,$BU$47:$BU$73)</f>
        <v>1672</v>
      </c>
      <c r="L148" s="156">
        <f t="shared" si="26"/>
        <v>-4.83</v>
      </c>
      <c r="M148" s="2"/>
      <c r="N148" s="50"/>
      <c r="O148" s="51"/>
      <c r="P148" s="9"/>
      <c r="Q148" s="9"/>
      <c r="R148" s="9"/>
      <c r="S148" s="9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</row>
    <row r="149" spans="2:57" ht="13.5" customHeight="1" x14ac:dyDescent="0.2">
      <c r="B149" s="10"/>
      <c r="C149" s="34" t="s">
        <v>9</v>
      </c>
      <c r="D149" s="39">
        <f>SUM(D122:D148)</f>
        <v>85284656</v>
      </c>
      <c r="E149" s="39">
        <f>SUM(E122:E148)</f>
        <v>63350487</v>
      </c>
      <c r="F149" s="40">
        <f t="shared" ref="F149:F150" si="27">TRUNC(((E149/D149)-1)*100,2)</f>
        <v>-25.71</v>
      </c>
      <c r="G149" s="9"/>
      <c r="H149" s="44"/>
      <c r="I149" s="34" t="s">
        <v>9</v>
      </c>
      <c r="J149" s="39">
        <f>SUM(J122:J148)</f>
        <v>15846517</v>
      </c>
      <c r="K149" s="39">
        <f>SUM(K122:K148)</f>
        <v>16106531</v>
      </c>
      <c r="L149" s="40">
        <f>TRUNC(((K149/J149)-1)*100,2)</f>
        <v>1.64</v>
      </c>
      <c r="M149" s="2"/>
      <c r="N149" s="50"/>
      <c r="O149" s="51"/>
      <c r="P149" s="9"/>
      <c r="Q149" s="9"/>
      <c r="R149" s="9"/>
      <c r="S149" s="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</row>
    <row r="150" spans="2:57" ht="13.5" customHeight="1" x14ac:dyDescent="0.2">
      <c r="B150" s="49"/>
      <c r="C150" s="55" t="s">
        <v>83</v>
      </c>
      <c r="D150" s="52">
        <f>SUM(AC8:AD34)</f>
        <v>85284656</v>
      </c>
      <c r="E150" s="52">
        <f>SUM(BT8:BU34)</f>
        <v>63350487</v>
      </c>
      <c r="F150" s="56">
        <f t="shared" si="27"/>
        <v>-25.71</v>
      </c>
      <c r="G150" s="1"/>
      <c r="H150" s="49"/>
      <c r="I150" s="55" t="s">
        <v>83</v>
      </c>
      <c r="J150" s="52">
        <f>SUM(AC47:AD73)</f>
        <v>15846517</v>
      </c>
      <c r="K150" s="52">
        <f>SUM(BT47:BU73)</f>
        <v>16106531</v>
      </c>
      <c r="L150" s="56">
        <f>TRUNC(((K150/J150)-1)*100,2)</f>
        <v>1.64</v>
      </c>
      <c r="M150" s="9"/>
      <c r="N150" s="50"/>
      <c r="O150" s="51"/>
      <c r="P150" s="9"/>
      <c r="Q150" s="9"/>
      <c r="R150" s="9"/>
      <c r="S150" s="9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</row>
    <row r="151" spans="2:57" ht="13.5" customHeight="1" x14ac:dyDescent="0.2"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50"/>
      <c r="O151" s="51"/>
      <c r="P151" s="9"/>
      <c r="Q151" s="9"/>
      <c r="R151" s="9"/>
      <c r="S151" s="9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</row>
    <row r="152" spans="2:57" ht="13.5" customHeight="1" x14ac:dyDescent="0.2"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</row>
    <row r="153" spans="2:57" ht="13.5" customHeight="1" x14ac:dyDescent="0.2"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</row>
    <row r="154" spans="2:57" ht="13.5" customHeight="1" x14ac:dyDescent="0.2">
      <c r="B154" s="6" t="s">
        <v>88</v>
      </c>
      <c r="C154" s="242" t="s">
        <v>41</v>
      </c>
      <c r="D154" s="243"/>
      <c r="E154" s="244"/>
      <c r="F154" s="9"/>
      <c r="G154" s="9"/>
      <c r="H154" s="6" t="s">
        <v>88</v>
      </c>
      <c r="I154" s="239" t="s">
        <v>5</v>
      </c>
      <c r="J154" s="240"/>
      <c r="K154" s="241"/>
      <c r="L154" s="6" t="s">
        <v>89</v>
      </c>
      <c r="M154" s="9"/>
      <c r="N154" s="9"/>
      <c r="O154" s="9"/>
      <c r="P154" s="9"/>
      <c r="Q154" s="9"/>
      <c r="R154" s="9"/>
      <c r="S154" s="9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</row>
    <row r="155" spans="2:57" ht="13.5" customHeight="1" x14ac:dyDescent="0.2">
      <c r="B155" s="6" t="s">
        <v>4</v>
      </c>
      <c r="C155" s="260" t="s">
        <v>74</v>
      </c>
      <c r="D155" s="261"/>
      <c r="E155" s="262"/>
      <c r="F155" s="9"/>
      <c r="G155" s="9"/>
      <c r="H155" s="6" t="s">
        <v>4</v>
      </c>
      <c r="I155" s="263" t="str">
        <f>C155</f>
        <v>Produto: Soja</v>
      </c>
      <c r="J155" s="264"/>
      <c r="K155" s="265"/>
      <c r="L155" s="6" t="s">
        <v>90</v>
      </c>
      <c r="M155" s="9"/>
      <c r="N155" s="9"/>
      <c r="O155" s="9"/>
      <c r="P155" s="9"/>
      <c r="Q155" s="9"/>
      <c r="R155" s="9"/>
      <c r="S155" s="9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</row>
    <row r="156" spans="2:57" ht="13.5" customHeight="1" x14ac:dyDescent="0.2">
      <c r="B156" s="128">
        <f>SUMIF(C158:C184,"Goiás",B158:B184)</f>
        <v>4</v>
      </c>
      <c r="C156" s="237" t="s">
        <v>14</v>
      </c>
      <c r="D156" s="237" t="str">
        <f>D120</f>
        <v>Safra 2015 (dezembro)</v>
      </c>
      <c r="E156" s="245" t="str">
        <f>E120</f>
        <v>Safra 2016 (dezembro)</v>
      </c>
      <c r="F156" s="5">
        <f>COUNTIF(E158:E184,"&gt;0")</f>
        <v>19</v>
      </c>
      <c r="G156" s="9"/>
      <c r="H156" s="128">
        <f>SUMIF(I158:I184,"Goiás",H158:H184)</f>
        <v>4</v>
      </c>
      <c r="I156" s="237" t="s">
        <v>14</v>
      </c>
      <c r="J156" s="237" t="str">
        <f>D156</f>
        <v>Safra 2015 (dezembro)</v>
      </c>
      <c r="K156" s="245" t="str">
        <f>E156</f>
        <v>Safra 2016 (dezembro)</v>
      </c>
      <c r="L156" s="129">
        <f>COUNTIF(K158:K184,"&gt;0")</f>
        <v>19</v>
      </c>
      <c r="M156" s="9"/>
      <c r="N156" s="9"/>
      <c r="O156" s="9"/>
      <c r="P156" s="9"/>
      <c r="Q156" s="9"/>
      <c r="R156" s="9"/>
      <c r="S156" s="9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</row>
    <row r="157" spans="2:57" ht="13.5" customHeight="1" x14ac:dyDescent="0.2">
      <c r="B157" s="6" t="s">
        <v>67</v>
      </c>
      <c r="C157" s="238"/>
      <c r="D157" s="238"/>
      <c r="E157" s="246"/>
      <c r="F157" s="37" t="s">
        <v>66</v>
      </c>
      <c r="G157" s="9"/>
      <c r="H157" s="37" t="s">
        <v>67</v>
      </c>
      <c r="I157" s="238"/>
      <c r="J157" s="238"/>
      <c r="K157" s="246"/>
      <c r="L157" s="37" t="s">
        <v>66</v>
      </c>
      <c r="M157" s="9"/>
      <c r="N157" s="9"/>
      <c r="O157" s="9"/>
      <c r="P157" s="9"/>
      <c r="Q157" s="9"/>
      <c r="R157" s="9"/>
      <c r="S157" s="9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</row>
    <row r="158" spans="2:57" ht="13.5" customHeight="1" x14ac:dyDescent="0.2">
      <c r="B158" s="10">
        <v>1</v>
      </c>
      <c r="C158" s="34" t="s">
        <v>39</v>
      </c>
      <c r="D158" s="35">
        <f>SUMIF($O$8:$O$34,C158,$AE$8:$AE$34)</f>
        <v>27850954</v>
      </c>
      <c r="E158" s="38">
        <f>SUMIF($O$8:$O$34,C158,$BV$8:$BV$34)</f>
        <v>26277753</v>
      </c>
      <c r="F158" s="156">
        <f t="shared" ref="F158:F173" si="28">IF(E158=0,0,TRUNC(((E158/D158)-1)*100,2))</f>
        <v>-5.64</v>
      </c>
      <c r="G158" s="9"/>
      <c r="H158" s="44">
        <v>1</v>
      </c>
      <c r="I158" s="34" t="s">
        <v>39</v>
      </c>
      <c r="J158" s="35">
        <f>SUMIF($O$47:$O$73,I158,$AE$47:$AE$73)</f>
        <v>8983683</v>
      </c>
      <c r="K158" s="38">
        <f>SUMIF($O$47:$O$73,I158,$BV$47:$BV$73)</f>
        <v>9148013</v>
      </c>
      <c r="L158" s="156">
        <f t="shared" ref="L158:L173" si="29">IF(K158=0,0,TRUNC(((K158/J158)-1)*100,2))</f>
        <v>1.82</v>
      </c>
      <c r="M158" s="2"/>
      <c r="N158" s="4"/>
      <c r="O158" s="9"/>
      <c r="P158" s="9"/>
      <c r="Q158" s="9"/>
      <c r="R158" s="9"/>
      <c r="S158" s="9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</row>
    <row r="159" spans="2:57" ht="13.5" customHeight="1" x14ac:dyDescent="0.2">
      <c r="B159" s="10">
        <v>2</v>
      </c>
      <c r="C159" s="34" t="s">
        <v>35</v>
      </c>
      <c r="D159" s="35">
        <f>SUMIF($O$8:$O$34,C159,$AE$8:$AE$34)</f>
        <v>17229378</v>
      </c>
      <c r="E159" s="38">
        <f>SUMIF($O$8:$O$34,C159,$BV$8:$BV$34)</f>
        <v>16824385</v>
      </c>
      <c r="F159" s="156">
        <f t="shared" si="28"/>
        <v>-2.35</v>
      </c>
      <c r="G159" s="9"/>
      <c r="H159" s="44">
        <v>2</v>
      </c>
      <c r="I159" s="34" t="s">
        <v>37</v>
      </c>
      <c r="J159" s="35">
        <f>SUMIF($O$47:$O$73,I159,$AE$47:$AE$73)</f>
        <v>5263899</v>
      </c>
      <c r="K159" s="38">
        <f>SUMIF($O$47:$O$73,I159,$BV$47:$BV$73)</f>
        <v>5464084</v>
      </c>
      <c r="L159" s="156">
        <f t="shared" si="29"/>
        <v>3.8</v>
      </c>
      <c r="M159" s="2"/>
      <c r="N159" s="4"/>
      <c r="O159" s="9"/>
      <c r="P159" s="9"/>
      <c r="Q159" s="9"/>
      <c r="R159" s="9"/>
      <c r="S159" s="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</row>
    <row r="160" spans="2:57" ht="13.5" customHeight="1" x14ac:dyDescent="0.2">
      <c r="B160" s="10">
        <v>3</v>
      </c>
      <c r="C160" s="34" t="s">
        <v>37</v>
      </c>
      <c r="D160" s="35">
        <f>SUMIF($O$8:$O$34,C160,$AE$8:$AE$34)</f>
        <v>15700264</v>
      </c>
      <c r="E160" s="38">
        <f>SUMIF($O$8:$O$34,C160,$BV$8:$BV$34)</f>
        <v>16206334</v>
      </c>
      <c r="F160" s="156">
        <f t="shared" si="28"/>
        <v>3.22</v>
      </c>
      <c r="G160" s="9"/>
      <c r="H160" s="44">
        <v>3</v>
      </c>
      <c r="I160" s="34" t="s">
        <v>35</v>
      </c>
      <c r="J160" s="35">
        <f>SUMIF($O$47:$O$73,I160,$AE$47:$AE$73)</f>
        <v>5240402</v>
      </c>
      <c r="K160" s="38">
        <f>SUMIF($O$47:$O$73,I160,$BV$47:$BV$73)</f>
        <v>5449462</v>
      </c>
      <c r="L160" s="156">
        <f t="shared" si="29"/>
        <v>3.98</v>
      </c>
      <c r="M160" s="2"/>
      <c r="N160" s="50"/>
      <c r="O160" s="51"/>
      <c r="P160" s="9"/>
      <c r="Q160" s="9"/>
      <c r="R160" s="9"/>
      <c r="S160" s="9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</row>
    <row r="161" spans="2:57" ht="13.5" customHeight="1" x14ac:dyDescent="0.2">
      <c r="B161" s="10">
        <v>4</v>
      </c>
      <c r="C161" s="34" t="s">
        <v>4</v>
      </c>
      <c r="D161" s="35">
        <f>SUMIF($O$8:$O$34,C161,$AE$8:$AE$34)</f>
        <v>8606210</v>
      </c>
      <c r="E161" s="38">
        <f>SUMIF($O$8:$O$34,C161,$BV$8:$BV$34)</f>
        <v>10233537</v>
      </c>
      <c r="F161" s="156">
        <f t="shared" si="28"/>
        <v>18.899999999999999</v>
      </c>
      <c r="G161" s="9"/>
      <c r="H161" s="44">
        <v>4</v>
      </c>
      <c r="I161" s="34" t="s">
        <v>4</v>
      </c>
      <c r="J161" s="35">
        <f>SUMIF($O$47:$O$73,I161,$AE$47:$AE$73)</f>
        <v>3263118</v>
      </c>
      <c r="K161" s="38">
        <f>SUMIF($O$47:$O$73,I161,$BV$47:$BV$73)</f>
        <v>3316201</v>
      </c>
      <c r="L161" s="156">
        <f t="shared" si="29"/>
        <v>1.62</v>
      </c>
      <c r="M161" s="2"/>
      <c r="N161" s="50"/>
      <c r="O161" s="51"/>
      <c r="P161" s="9"/>
      <c r="Q161" s="9"/>
      <c r="R161" s="9"/>
      <c r="S161" s="9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</row>
    <row r="162" spans="2:57" ht="13.5" customHeight="1" x14ac:dyDescent="0.2">
      <c r="B162" s="10">
        <v>5</v>
      </c>
      <c r="C162" s="34" t="s">
        <v>38</v>
      </c>
      <c r="D162" s="35">
        <f>SUMIF($O$8:$O$34,C162,$AE$8:$AE$34)</f>
        <v>7305608</v>
      </c>
      <c r="E162" s="38">
        <f>SUMIF($O$8:$O$34,C162,$BV$8:$BV$34)</f>
        <v>7388360</v>
      </c>
      <c r="F162" s="156">
        <f t="shared" si="28"/>
        <v>1.1299999999999999</v>
      </c>
      <c r="G162" s="9"/>
      <c r="H162" s="44">
        <v>5</v>
      </c>
      <c r="I162" s="34" t="s">
        <v>38</v>
      </c>
      <c r="J162" s="35">
        <f>SUMIF($O$47:$O$73,I162,$AE$47:$AE$73)</f>
        <v>2350927</v>
      </c>
      <c r="K162" s="38">
        <f>SUMIF($O$47:$O$73,I162,$BV$47:$BV$73)</f>
        <v>2447770</v>
      </c>
      <c r="L162" s="156">
        <f t="shared" si="29"/>
        <v>4.1100000000000003</v>
      </c>
      <c r="M162" s="2"/>
      <c r="N162" s="50"/>
      <c r="O162" s="51"/>
      <c r="P162" s="9"/>
      <c r="Q162" s="9"/>
      <c r="R162" s="9"/>
      <c r="S162" s="9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</row>
    <row r="163" spans="2:57" ht="13.5" customHeight="1" x14ac:dyDescent="0.2">
      <c r="B163" s="10">
        <v>6</v>
      </c>
      <c r="C163" s="34" t="s">
        <v>31</v>
      </c>
      <c r="D163" s="35">
        <f>SUMIF($O$8:$O$34,C163,$AE$8:$AE$34)</f>
        <v>3524055</v>
      </c>
      <c r="E163" s="38">
        <f>SUMIF($O$8:$O$34,C163,$BV$8:$BV$34)</f>
        <v>4747494</v>
      </c>
      <c r="F163" s="156">
        <f t="shared" si="28"/>
        <v>34.71</v>
      </c>
      <c r="G163" s="9"/>
      <c r="H163" s="44">
        <v>6</v>
      </c>
      <c r="I163" s="34" t="s">
        <v>30</v>
      </c>
      <c r="J163" s="35">
        <f>SUMIF($O$47:$O$73,I163,$AE$47:$AE$73)</f>
        <v>1440135</v>
      </c>
      <c r="K163" s="38">
        <f>SUMIF($O$47:$O$73,I163,$BV$47:$BV$73)</f>
        <v>1527000</v>
      </c>
      <c r="L163" s="156">
        <f t="shared" si="29"/>
        <v>6.03</v>
      </c>
      <c r="M163" s="2"/>
      <c r="N163" s="50"/>
      <c r="O163" s="51"/>
      <c r="P163" s="9"/>
      <c r="Q163" s="9"/>
      <c r="R163" s="9"/>
      <c r="S163" s="9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</row>
    <row r="164" spans="2:57" ht="13.5" customHeight="1" x14ac:dyDescent="0.2">
      <c r="B164" s="10">
        <v>7</v>
      </c>
      <c r="C164" s="34" t="s">
        <v>30</v>
      </c>
      <c r="D164" s="35">
        <f>SUMIF($O$8:$O$34,C164,$AE$8:$AE$34)</f>
        <v>4513633</v>
      </c>
      <c r="E164" s="38">
        <f>SUMIF($O$8:$O$34,C164,$BV$8:$BV$34)</f>
        <v>3212600</v>
      </c>
      <c r="F164" s="156">
        <f t="shared" si="28"/>
        <v>-28.82</v>
      </c>
      <c r="G164" s="9"/>
      <c r="H164" s="44">
        <v>7</v>
      </c>
      <c r="I164" s="34" t="s">
        <v>31</v>
      </c>
      <c r="J164" s="35">
        <f>SUMIF($O$47:$O$73,I164,$AE$47:$AE$73)</f>
        <v>1328641</v>
      </c>
      <c r="K164" s="38">
        <f>SUMIF($O$47:$O$73,I164,$BV$47:$BV$73)</f>
        <v>1472224</v>
      </c>
      <c r="L164" s="156">
        <f t="shared" si="29"/>
        <v>10.8</v>
      </c>
      <c r="M164" s="2"/>
      <c r="N164" s="50"/>
      <c r="O164" s="51"/>
      <c r="P164" s="9"/>
      <c r="Q164" s="9"/>
      <c r="R164" s="9"/>
      <c r="S164" s="9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</row>
    <row r="165" spans="2:57" ht="13.5" customHeight="1" x14ac:dyDescent="0.2">
      <c r="B165" s="10">
        <v>8</v>
      </c>
      <c r="C165" s="34" t="s">
        <v>34</v>
      </c>
      <c r="D165" s="35">
        <f>SUMIF($O$8:$O$34,C165,$AE$8:$AE$34)</f>
        <v>2406262</v>
      </c>
      <c r="E165" s="38">
        <f>SUMIF($O$8:$O$34,C165,$BV$8:$BV$34)</f>
        <v>2627839</v>
      </c>
      <c r="F165" s="156">
        <f t="shared" si="28"/>
        <v>9.1999999999999993</v>
      </c>
      <c r="G165" s="9"/>
      <c r="H165" s="44">
        <v>8</v>
      </c>
      <c r="I165" s="34" t="s">
        <v>34</v>
      </c>
      <c r="J165" s="35">
        <f>SUMIF($O$47:$O$73,I165,$AE$47:$AE$73)</f>
        <v>792081</v>
      </c>
      <c r="K165" s="38">
        <f>SUMIF($O$47:$O$73,I165,$BV$47:$BV$73)</f>
        <v>828513</v>
      </c>
      <c r="L165" s="156">
        <f t="shared" si="29"/>
        <v>4.59</v>
      </c>
      <c r="M165" s="2"/>
      <c r="N165" s="50"/>
      <c r="O165" s="51"/>
      <c r="P165" s="9"/>
      <c r="Q165" s="9"/>
      <c r="R165" s="9"/>
      <c r="S165" s="9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</row>
    <row r="166" spans="2:57" ht="13.5" customHeight="1" x14ac:dyDescent="0.2">
      <c r="B166" s="10">
        <v>9</v>
      </c>
      <c r="C166" s="34" t="s">
        <v>36</v>
      </c>
      <c r="D166" s="35">
        <f>SUMIF($O$8:$O$34,C166,$AE$8:$AE$34)</f>
        <v>2000323</v>
      </c>
      <c r="E166" s="38">
        <f>SUMIF($O$8:$O$34,C166,$BV$8:$BV$34)</f>
        <v>2139611</v>
      </c>
      <c r="F166" s="156">
        <f t="shared" si="28"/>
        <v>6.96</v>
      </c>
      <c r="G166" s="9"/>
      <c r="H166" s="44">
        <v>9</v>
      </c>
      <c r="I166" s="34" t="s">
        <v>21</v>
      </c>
      <c r="J166" s="35">
        <f>SUMIF($O$47:$O$73,I166,$AE$47:$AE$73)</f>
        <v>830031</v>
      </c>
      <c r="K166" s="38">
        <f>SUMIF($O$47:$O$73,I166,$BV$47:$BV$73)</f>
        <v>793867</v>
      </c>
      <c r="L166" s="156">
        <f t="shared" si="29"/>
        <v>-4.3499999999999996</v>
      </c>
      <c r="M166" s="2"/>
      <c r="N166" s="50"/>
      <c r="O166" s="51"/>
      <c r="P166" s="9"/>
      <c r="Q166" s="9"/>
      <c r="R166" s="9"/>
      <c r="S166" s="9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</row>
    <row r="167" spans="2:57" ht="13.5" customHeight="1" x14ac:dyDescent="0.2">
      <c r="B167" s="10">
        <v>10</v>
      </c>
      <c r="C167" s="34" t="s">
        <v>21</v>
      </c>
      <c r="D167" s="35">
        <f>SUMIF($O$8:$O$34,C167,$AE$8:$AE$34)</f>
        <v>2418367</v>
      </c>
      <c r="E167" s="38">
        <f>SUMIF($O$8:$O$34,C167,$BV$8:$BV$34)</f>
        <v>1809384</v>
      </c>
      <c r="F167" s="156">
        <f t="shared" si="28"/>
        <v>-25.18</v>
      </c>
      <c r="G167" s="9"/>
      <c r="H167" s="44">
        <v>10</v>
      </c>
      <c r="I167" s="34" t="s">
        <v>22</v>
      </c>
      <c r="J167" s="35">
        <f>SUMIF($O$47:$O$73,I167,$AE$47:$AE$73)</f>
        <v>761225</v>
      </c>
      <c r="K167" s="38">
        <f>SUMIF($O$47:$O$73,I167,$BV$47:$BV$73)</f>
        <v>783654</v>
      </c>
      <c r="L167" s="156">
        <f t="shared" si="29"/>
        <v>2.94</v>
      </c>
      <c r="M167" s="2"/>
      <c r="N167" s="50"/>
      <c r="O167" s="51"/>
      <c r="P167" s="9"/>
      <c r="Q167" s="9"/>
      <c r="R167" s="9"/>
      <c r="S167" s="9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</row>
    <row r="168" spans="2:57" ht="13.5" customHeight="1" x14ac:dyDescent="0.2">
      <c r="B168" s="10">
        <v>11</v>
      </c>
      <c r="C168" s="34" t="s">
        <v>19</v>
      </c>
      <c r="D168" s="35">
        <f>SUMIF($O$8:$O$34,C168,$AE$8:$AE$34)</f>
        <v>1022677</v>
      </c>
      <c r="E168" s="38">
        <f>SUMIF($O$8:$O$34,C168,$BV$8:$BV$34)</f>
        <v>1303398</v>
      </c>
      <c r="F168" s="156">
        <f t="shared" si="28"/>
        <v>27.44</v>
      </c>
      <c r="G168" s="51"/>
      <c r="H168" s="44">
        <v>11</v>
      </c>
      <c r="I168" s="34" t="s">
        <v>36</v>
      </c>
      <c r="J168" s="35">
        <f>SUMIF($O$47:$O$73,I168,$AE$47:$AE$73)</f>
        <v>608641</v>
      </c>
      <c r="K168" s="38">
        <f>SUMIF($O$47:$O$73,I168,$BV$47:$BV$73)</f>
        <v>660764</v>
      </c>
      <c r="L168" s="156">
        <f t="shared" si="29"/>
        <v>8.56</v>
      </c>
      <c r="M168" s="2"/>
      <c r="N168" s="50"/>
      <c r="O168" s="51"/>
      <c r="P168" s="9"/>
      <c r="Q168" s="9"/>
      <c r="R168" s="9"/>
      <c r="S168" s="9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</row>
    <row r="169" spans="2:57" ht="13.5" customHeight="1" x14ac:dyDescent="0.2">
      <c r="B169" s="10">
        <v>12</v>
      </c>
      <c r="C169" s="34" t="s">
        <v>22</v>
      </c>
      <c r="D169" s="35">
        <f>SUMIF($O$8:$O$34,C169,$AE$8:$AE$34)</f>
        <v>2099507</v>
      </c>
      <c r="E169" s="38">
        <f>SUMIF($O$8:$O$34,C169,$BV$8:$BV$34)</f>
        <v>1242772</v>
      </c>
      <c r="F169" s="156">
        <f t="shared" si="28"/>
        <v>-40.799999999999997</v>
      </c>
      <c r="G169" s="9"/>
      <c r="H169" s="44">
        <v>12</v>
      </c>
      <c r="I169" s="34" t="s">
        <v>23</v>
      </c>
      <c r="J169" s="35">
        <f>SUMIF($O$47:$O$73,I169,$AE$47:$AE$73)</f>
        <v>668618</v>
      </c>
      <c r="K169" s="38">
        <f>SUMIF($O$47:$O$73,I169,$BV$47:$BV$73)</f>
        <v>563084</v>
      </c>
      <c r="L169" s="156">
        <f t="shared" si="29"/>
        <v>-15.78</v>
      </c>
      <c r="M169" s="2"/>
      <c r="N169" s="50"/>
      <c r="O169" s="51"/>
      <c r="P169" s="9"/>
      <c r="Q169" s="9"/>
      <c r="R169" s="9"/>
      <c r="S169" s="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</row>
    <row r="170" spans="2:57" ht="13.5" customHeight="1" x14ac:dyDescent="0.2">
      <c r="B170" s="10">
        <v>13</v>
      </c>
      <c r="C170" s="34" t="s">
        <v>15</v>
      </c>
      <c r="D170" s="35">
        <f>SUMIF($O$8:$O$34,C170,$AE$8:$AE$34)</f>
        <v>748429</v>
      </c>
      <c r="E170" s="38">
        <f>SUMIF($O$8:$O$34,C170,$BV$8:$BV$34)</f>
        <v>761428</v>
      </c>
      <c r="F170" s="156">
        <f t="shared" si="28"/>
        <v>1.73</v>
      </c>
      <c r="G170" s="9"/>
      <c r="H170" s="44">
        <v>13</v>
      </c>
      <c r="I170" s="34" t="s">
        <v>19</v>
      </c>
      <c r="J170" s="35">
        <f>SUMIF($O$47:$O$73,I170,$AE$47:$AE$73)</f>
        <v>337056</v>
      </c>
      <c r="K170" s="38">
        <f>SUMIF($O$47:$O$73,I170,$BV$47:$BV$73)</f>
        <v>433593</v>
      </c>
      <c r="L170" s="156">
        <f t="shared" si="29"/>
        <v>28.64</v>
      </c>
      <c r="M170" s="2"/>
      <c r="N170" s="50"/>
      <c r="O170" s="51"/>
      <c r="P170" s="9"/>
      <c r="Q170" s="9"/>
      <c r="R170" s="9"/>
      <c r="S170" s="9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</row>
    <row r="171" spans="2:57" ht="13.5" customHeight="1" x14ac:dyDescent="0.2">
      <c r="B171" s="10">
        <v>14</v>
      </c>
      <c r="C171" s="34" t="s">
        <v>23</v>
      </c>
      <c r="D171" s="35">
        <f>SUMIF($O$8:$O$34,C171,$AE$8:$AE$34)</f>
        <v>1772722</v>
      </c>
      <c r="E171" s="38">
        <f>SUMIF($O$8:$O$34,C171,$BV$8:$BV$34)</f>
        <v>644263</v>
      </c>
      <c r="F171" s="156">
        <f t="shared" si="28"/>
        <v>-63.65</v>
      </c>
      <c r="G171" s="9"/>
      <c r="H171" s="44">
        <v>14</v>
      </c>
      <c r="I171" s="34" t="s">
        <v>15</v>
      </c>
      <c r="J171" s="35">
        <f>SUMIF($O$47:$O$73,I171,$AE$47:$AE$73)</f>
        <v>233605</v>
      </c>
      <c r="K171" s="38">
        <f>SUMIF($O$47:$O$73,I171,$BV$47:$BV$73)</f>
        <v>246671</v>
      </c>
      <c r="L171" s="156">
        <f t="shared" si="29"/>
        <v>5.59</v>
      </c>
      <c r="M171" s="2"/>
      <c r="N171" s="50"/>
      <c r="O171" s="51"/>
      <c r="P171" s="9"/>
      <c r="Q171" s="9"/>
      <c r="R171" s="9"/>
      <c r="S171" s="9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</row>
    <row r="172" spans="2:57" ht="13.5" customHeight="1" x14ac:dyDescent="0.2">
      <c r="B172" s="10">
        <v>15</v>
      </c>
      <c r="C172" s="34" t="s">
        <v>40</v>
      </c>
      <c r="D172" s="35">
        <f>SUMIF($O$8:$O$34,C172,$AE$8:$AE$34)</f>
        <v>180832</v>
      </c>
      <c r="E172" s="38">
        <f>SUMIF($O$8:$O$34,C172,$BV$8:$BV$34)</f>
        <v>238000</v>
      </c>
      <c r="F172" s="156">
        <f t="shared" si="28"/>
        <v>31.61</v>
      </c>
      <c r="G172" s="9"/>
      <c r="H172" s="44">
        <v>15</v>
      </c>
      <c r="I172" s="34" t="s">
        <v>40</v>
      </c>
      <c r="J172" s="35">
        <f>SUMIF($O$47:$O$73,I172,$AE$47:$AE$73)</f>
        <v>68862</v>
      </c>
      <c r="K172" s="38">
        <f>SUMIF($O$47:$O$73,I172,$BV$47:$BV$73)</f>
        <v>70000</v>
      </c>
      <c r="L172" s="156">
        <f t="shared" si="29"/>
        <v>1.65</v>
      </c>
      <c r="M172" s="2"/>
      <c r="N172" s="50"/>
      <c r="O172" s="51"/>
      <c r="P172" s="9"/>
      <c r="Q172" s="9"/>
      <c r="R172" s="9"/>
      <c r="S172" s="9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</row>
    <row r="173" spans="2:57" ht="13.5" customHeight="1" x14ac:dyDescent="0.2">
      <c r="B173" s="10">
        <v>16</v>
      </c>
      <c r="C173" s="34" t="s">
        <v>18</v>
      </c>
      <c r="D173" s="35">
        <f>SUMIF($O$8:$O$34,C173,$AE$8:$AE$34)</f>
        <v>55795</v>
      </c>
      <c r="E173" s="38">
        <f>SUMIF($O$8:$O$34,C173,$BV$8:$BV$34)</f>
        <v>53056</v>
      </c>
      <c r="F173" s="156">
        <f t="shared" si="28"/>
        <v>-4.9000000000000004</v>
      </c>
      <c r="G173" s="9"/>
      <c r="H173" s="44">
        <v>16</v>
      </c>
      <c r="I173" s="34" t="s">
        <v>18</v>
      </c>
      <c r="J173" s="35">
        <f>SUMIF($O$47:$O$73,I173,$AE$47:$AE$73)</f>
        <v>23820</v>
      </c>
      <c r="K173" s="38">
        <f>SUMIF($O$47:$O$73,I173,$BV$47:$BV$73)</f>
        <v>24470</v>
      </c>
      <c r="L173" s="156">
        <f t="shared" si="29"/>
        <v>2.72</v>
      </c>
      <c r="M173" s="2"/>
      <c r="N173" s="50"/>
      <c r="O173" s="51"/>
      <c r="P173" s="9"/>
      <c r="Q173" s="9"/>
      <c r="R173" s="9"/>
      <c r="S173" s="9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</row>
    <row r="174" spans="2:57" ht="13.5" customHeight="1" x14ac:dyDescent="0.2">
      <c r="B174" s="10">
        <v>17</v>
      </c>
      <c r="C174" s="34" t="s">
        <v>20</v>
      </c>
      <c r="D174" s="35">
        <f>SUMIF($O$8:$O$34,C174,$AE$8:$AE$34)</f>
        <v>29370</v>
      </c>
      <c r="E174" s="38">
        <f>SUMIF($O$8:$O$34,C174,$BV$8:$BV$34)</f>
        <v>42351</v>
      </c>
      <c r="F174" s="156">
        <f>IF(E174=0,0,TRUNC(((E174/D174)-1)*100,2))</f>
        <v>44.19</v>
      </c>
      <c r="G174" s="9"/>
      <c r="H174" s="44">
        <v>17</v>
      </c>
      <c r="I174" s="34" t="s">
        <v>20</v>
      </c>
      <c r="J174" s="35">
        <f>SUMIF($O$47:$O$73,I174,$AE$47:$AE$73)</f>
        <v>11365</v>
      </c>
      <c r="K174" s="38">
        <f>SUMIF($O$47:$O$73,I174,$BV$47:$BV$73)</f>
        <v>15442</v>
      </c>
      <c r="L174" s="156">
        <f>IF(K174=0,0,TRUNC(((K174/J174)-1)*100,2))</f>
        <v>35.869999999999997</v>
      </c>
      <c r="M174" s="2"/>
      <c r="N174" s="50"/>
      <c r="O174" s="51"/>
      <c r="P174" s="9"/>
      <c r="Q174" s="9"/>
      <c r="R174" s="9"/>
      <c r="S174" s="9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</row>
    <row r="175" spans="2:57" ht="13.5" customHeight="1" x14ac:dyDescent="0.2">
      <c r="B175" s="10">
        <v>18</v>
      </c>
      <c r="C175" s="34" t="s">
        <v>28</v>
      </c>
      <c r="D175" s="35">
        <f>SUMIF($O$8:$O$34,C175,$AE$8:$AE$34)</f>
        <v>550</v>
      </c>
      <c r="E175" s="38">
        <f>SUMIF($O$8:$O$34,C175,$BV$8:$BV$34)</f>
        <v>550</v>
      </c>
      <c r="F175" s="156">
        <f t="shared" ref="F175:F184" si="30">IF(E175=0,0,TRUNC(((E175/D175)-1)*100,2))</f>
        <v>0</v>
      </c>
      <c r="G175" s="9"/>
      <c r="H175" s="44">
        <v>18</v>
      </c>
      <c r="I175" s="34" t="s">
        <v>28</v>
      </c>
      <c r="J175" s="35">
        <f>SUMIF($O$47:$O$73,I175,$AE$47:$AE$73)</f>
        <v>278</v>
      </c>
      <c r="K175" s="38">
        <f>SUMIF($O$47:$O$73,I175,$BV$47:$BV$73)</f>
        <v>278</v>
      </c>
      <c r="L175" s="156">
        <f t="shared" ref="L175:L184" si="31">IF(K175=0,0,TRUNC(((K175/J175)-1)*100,2))</f>
        <v>0</v>
      </c>
      <c r="M175" s="2"/>
      <c r="N175" s="50"/>
      <c r="O175" s="51"/>
      <c r="P175" s="9"/>
      <c r="Q175" s="9"/>
      <c r="R175" s="9"/>
      <c r="S175" s="9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</row>
    <row r="176" spans="2:57" ht="13.5" customHeight="1" x14ac:dyDescent="0.2">
      <c r="B176" s="10">
        <v>19</v>
      </c>
      <c r="C176" s="34" t="s">
        <v>16</v>
      </c>
      <c r="D176" s="35">
        <f>SUMIF($O$8:$O$34,C176,$AE$8:$AE$34)</f>
        <v>1</v>
      </c>
      <c r="E176" s="38">
        <f>SUMIF($O$8:$O$34,C176,$BV$8:$BV$34)</f>
        <v>150</v>
      </c>
      <c r="F176" s="156">
        <f t="shared" si="30"/>
        <v>14900</v>
      </c>
      <c r="G176" s="9"/>
      <c r="H176" s="44">
        <v>19</v>
      </c>
      <c r="I176" s="34" t="s">
        <v>16</v>
      </c>
      <c r="J176" s="35">
        <f>SUMIF($O$47:$O$73,I176,$AE$47:$AE$73)</f>
        <v>1</v>
      </c>
      <c r="K176" s="38">
        <f>SUMIF($O$47:$O$73,I176,$BV$47:$BV$73)</f>
        <v>100</v>
      </c>
      <c r="L176" s="156">
        <f t="shared" si="31"/>
        <v>9900</v>
      </c>
      <c r="M176" s="2"/>
      <c r="N176" s="50"/>
      <c r="O176" s="51"/>
      <c r="P176" s="9"/>
      <c r="Q176" s="9"/>
      <c r="R176" s="9"/>
      <c r="S176" s="9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</row>
    <row r="177" spans="2:57" ht="13.5" customHeight="1" x14ac:dyDescent="0.2">
      <c r="B177" s="10">
        <v>20</v>
      </c>
      <c r="C177" s="34" t="s">
        <v>26</v>
      </c>
      <c r="D177" s="35">
        <f>SUMIF($O$8:$O$34,C177,$AE$8:$AE$34)</f>
        <v>0</v>
      </c>
      <c r="E177" s="38">
        <f>SUMIF($O$8:$O$34,C177,$BV$8:$BV$34)</f>
        <v>0</v>
      </c>
      <c r="F177" s="156">
        <f t="shared" si="30"/>
        <v>0</v>
      </c>
      <c r="G177" s="9"/>
      <c r="H177" s="44">
        <v>20</v>
      </c>
      <c r="I177" s="34" t="s">
        <v>26</v>
      </c>
      <c r="J177" s="35">
        <f>SUMIF($O$47:$O$73,I177,$AE$47:$AE$73)</f>
        <v>0</v>
      </c>
      <c r="K177" s="38">
        <f>SUMIF($O$47:$O$73,I177,$BV$47:$BV$73)</f>
        <v>0</v>
      </c>
      <c r="L177" s="156">
        <f t="shared" si="31"/>
        <v>0</v>
      </c>
      <c r="M177" s="2"/>
      <c r="N177" s="50"/>
      <c r="O177" s="51"/>
      <c r="P177" s="9"/>
      <c r="Q177" s="9"/>
      <c r="R177" s="9"/>
      <c r="S177" s="9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</row>
    <row r="178" spans="2:57" ht="13.5" customHeight="1" x14ac:dyDescent="0.2">
      <c r="B178" s="10">
        <v>21</v>
      </c>
      <c r="C178" s="34" t="s">
        <v>29</v>
      </c>
      <c r="D178" s="35">
        <f>SUMIF($O$8:$O$34,C178,$AE$8:$AE$34)</f>
        <v>0</v>
      </c>
      <c r="E178" s="38">
        <f>SUMIF($O$8:$O$34,C178,$BV$8:$BV$34)</f>
        <v>0</v>
      </c>
      <c r="F178" s="156">
        <f t="shared" si="30"/>
        <v>0</v>
      </c>
      <c r="G178" s="9"/>
      <c r="H178" s="44">
        <v>21</v>
      </c>
      <c r="I178" s="34" t="s">
        <v>24</v>
      </c>
      <c r="J178" s="35">
        <f>SUMIF($O$47:$O$73,I178,$AE$47:$AE$73)</f>
        <v>0</v>
      </c>
      <c r="K178" s="38">
        <f>SUMIF($O$47:$O$73,I178,$BV$47:$BV$73)</f>
        <v>0</v>
      </c>
      <c r="L178" s="156">
        <f t="shared" si="31"/>
        <v>0</v>
      </c>
      <c r="M178" s="2"/>
      <c r="N178" s="50"/>
      <c r="O178" s="51"/>
      <c r="P178" s="9"/>
      <c r="Q178" s="9"/>
      <c r="R178" s="9"/>
      <c r="S178" s="9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</row>
    <row r="179" spans="2:57" ht="13.5" customHeight="1" x14ac:dyDescent="0.2">
      <c r="B179" s="10">
        <v>22</v>
      </c>
      <c r="C179" s="34" t="s">
        <v>24</v>
      </c>
      <c r="D179" s="35">
        <f>SUMIF($O$8:$O$34,C179,$AE$8:$AE$34)</f>
        <v>0</v>
      </c>
      <c r="E179" s="38">
        <f>SUMIF($O$8:$O$34,C179,$BV$8:$BV$34)</f>
        <v>0</v>
      </c>
      <c r="F179" s="156">
        <f t="shared" si="30"/>
        <v>0</v>
      </c>
      <c r="G179" s="9"/>
      <c r="H179" s="44">
        <v>22</v>
      </c>
      <c r="I179" s="34" t="s">
        <v>27</v>
      </c>
      <c r="J179" s="35">
        <f>SUMIF($O$47:$O$73,I179,$AE$47:$AE$73)</f>
        <v>0</v>
      </c>
      <c r="K179" s="38">
        <f>SUMIF($O$47:$O$73,I179,$BV$47:$BV$73)</f>
        <v>0</v>
      </c>
      <c r="L179" s="156">
        <f t="shared" si="31"/>
        <v>0</v>
      </c>
      <c r="M179" s="2"/>
      <c r="N179" s="50"/>
      <c r="O179" s="51"/>
      <c r="P179" s="9"/>
      <c r="Q179" s="9"/>
      <c r="R179" s="9"/>
      <c r="S179" s="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</row>
    <row r="180" spans="2:57" ht="13.5" customHeight="1" x14ac:dyDescent="0.2">
      <c r="B180" s="10">
        <v>23</v>
      </c>
      <c r="C180" s="34" t="s">
        <v>32</v>
      </c>
      <c r="D180" s="35">
        <f>SUMIF($O$8:$O$34,C180,$AE$8:$AE$34)</f>
        <v>0</v>
      </c>
      <c r="E180" s="38">
        <f>SUMIF($O$8:$O$34,C180,$BV$8:$BV$34)</f>
        <v>0</v>
      </c>
      <c r="F180" s="156">
        <f t="shared" si="30"/>
        <v>0</v>
      </c>
      <c r="G180" s="9"/>
      <c r="H180" s="44">
        <v>23</v>
      </c>
      <c r="I180" s="34" t="s">
        <v>29</v>
      </c>
      <c r="J180" s="35">
        <f>SUMIF($O$47:$O$73,I180,$AE$47:$AE$73)</f>
        <v>0</v>
      </c>
      <c r="K180" s="38">
        <f>SUMIF($O$47:$O$73,I180,$BV$47:$BV$73)</f>
        <v>0</v>
      </c>
      <c r="L180" s="156">
        <f t="shared" si="31"/>
        <v>0</v>
      </c>
      <c r="M180" s="2"/>
      <c r="N180" s="50"/>
      <c r="O180" s="51"/>
      <c r="P180" s="9"/>
      <c r="Q180" s="9"/>
      <c r="R180" s="9"/>
      <c r="S180" s="9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</row>
    <row r="181" spans="2:57" ht="13.5" customHeight="1" x14ac:dyDescent="0.2">
      <c r="B181" s="10">
        <v>24</v>
      </c>
      <c r="C181" s="34" t="s">
        <v>27</v>
      </c>
      <c r="D181" s="35">
        <f>SUMIF($O$8:$O$34,C181,$AE$8:$AE$34)</f>
        <v>0</v>
      </c>
      <c r="E181" s="38">
        <f>SUMIF($O$8:$O$34,C181,$BV$8:$BV$34)</f>
        <v>0</v>
      </c>
      <c r="F181" s="156">
        <f t="shared" si="30"/>
        <v>0</v>
      </c>
      <c r="G181" s="9"/>
      <c r="H181" s="44">
        <v>24</v>
      </c>
      <c r="I181" s="34" t="s">
        <v>32</v>
      </c>
      <c r="J181" s="35">
        <f>SUMIF($O$47:$O$73,I181,$AE$47:$AE$73)</f>
        <v>0</v>
      </c>
      <c r="K181" s="38">
        <f>SUMIF($O$47:$O$73,I181,$BV$47:$BV$73)</f>
        <v>0</v>
      </c>
      <c r="L181" s="156">
        <f t="shared" si="31"/>
        <v>0</v>
      </c>
      <c r="M181" s="2"/>
      <c r="N181" s="50"/>
      <c r="O181" s="51"/>
      <c r="P181" s="9"/>
      <c r="Q181" s="9"/>
      <c r="R181" s="9"/>
      <c r="S181" s="9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</row>
    <row r="182" spans="2:57" ht="13.5" customHeight="1" x14ac:dyDescent="0.2">
      <c r="B182" s="10">
        <v>25</v>
      </c>
      <c r="C182" s="34" t="s">
        <v>17</v>
      </c>
      <c r="D182" s="35">
        <f>SUMIF($O$8:$O$34,C182,$AE$8:$AE$34)</f>
        <v>0</v>
      </c>
      <c r="E182" s="38">
        <f>SUMIF($O$8:$O$34,C182,$BV$8:$BV$34)</f>
        <v>0</v>
      </c>
      <c r="F182" s="156">
        <f t="shared" si="30"/>
        <v>0</v>
      </c>
      <c r="G182" s="9"/>
      <c r="H182" s="44">
        <v>25</v>
      </c>
      <c r="I182" s="34" t="s">
        <v>25</v>
      </c>
      <c r="J182" s="35">
        <f>SUMIF($O$47:$O$73,I182,$AE$47:$AE$73)</f>
        <v>0</v>
      </c>
      <c r="K182" s="38">
        <f>SUMIF($O$47:$O$73,I182,$BV$47:$BV$73)</f>
        <v>0</v>
      </c>
      <c r="L182" s="156">
        <f t="shared" si="31"/>
        <v>0</v>
      </c>
      <c r="M182" s="2"/>
      <c r="N182" s="50"/>
      <c r="O182" s="51"/>
      <c r="P182" s="9"/>
      <c r="Q182" s="9"/>
      <c r="R182" s="9"/>
      <c r="S182" s="9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</row>
    <row r="183" spans="2:57" ht="13.5" customHeight="1" x14ac:dyDescent="0.2">
      <c r="B183" s="10">
        <v>26</v>
      </c>
      <c r="C183" s="34" t="s">
        <v>33</v>
      </c>
      <c r="D183" s="35">
        <f>SUMIF($O$8:$O$34,C183,$AE$8:$AE$34)</f>
        <v>0</v>
      </c>
      <c r="E183" s="38">
        <f>SUMIF($O$8:$O$34,C183,$BV$8:$BV$34)</f>
        <v>0</v>
      </c>
      <c r="F183" s="156">
        <f t="shared" si="30"/>
        <v>0</v>
      </c>
      <c r="G183" s="9"/>
      <c r="H183" s="44">
        <v>26</v>
      </c>
      <c r="I183" s="34" t="s">
        <v>17</v>
      </c>
      <c r="J183" s="35">
        <f>SUMIF($O$47:$O$73,I183,$AE$47:$AE$73)</f>
        <v>0</v>
      </c>
      <c r="K183" s="38">
        <f>SUMIF($O$47:$O$73,I183,$BV$47:$BV$73)</f>
        <v>0</v>
      </c>
      <c r="L183" s="156">
        <f t="shared" si="31"/>
        <v>0</v>
      </c>
      <c r="M183" s="2"/>
      <c r="N183" s="50"/>
      <c r="O183" s="51"/>
      <c r="P183" s="9"/>
      <c r="Q183" s="9"/>
      <c r="R183" s="9"/>
      <c r="S183" s="9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</row>
    <row r="184" spans="2:57" ht="13.5" customHeight="1" x14ac:dyDescent="0.2">
      <c r="B184" s="10">
        <v>27</v>
      </c>
      <c r="C184" s="34" t="s">
        <v>25</v>
      </c>
      <c r="D184" s="35">
        <f>SUMIF($O$8:$O$34,C184,$AE$8:$AE$34)</f>
        <v>0</v>
      </c>
      <c r="E184" s="38">
        <f>SUMIF($O$8:$O$34,C184,$BV$8:$BV$34)</f>
        <v>0</v>
      </c>
      <c r="F184" s="156">
        <f t="shared" si="30"/>
        <v>0</v>
      </c>
      <c r="G184" s="9"/>
      <c r="H184" s="44">
        <v>27</v>
      </c>
      <c r="I184" s="34" t="s">
        <v>33</v>
      </c>
      <c r="J184" s="35">
        <f>SUMIF($O$47:$O$73,I184,$AE$47:$AE$73)</f>
        <v>0</v>
      </c>
      <c r="K184" s="38">
        <f>SUMIF($O$47:$O$73,I184,$BV$47:$BV$73)</f>
        <v>0</v>
      </c>
      <c r="L184" s="156">
        <f t="shared" si="31"/>
        <v>0</v>
      </c>
      <c r="M184" s="2"/>
      <c r="N184" s="50"/>
      <c r="O184" s="51"/>
      <c r="P184" s="9"/>
      <c r="Q184" s="9"/>
      <c r="R184" s="9"/>
      <c r="S184" s="9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</row>
    <row r="185" spans="2:57" ht="13.5" customHeight="1" x14ac:dyDescent="0.2">
      <c r="B185" s="10"/>
      <c r="C185" s="34" t="s">
        <v>9</v>
      </c>
      <c r="D185" s="39">
        <f>SUM(D158:D184)</f>
        <v>97464937</v>
      </c>
      <c r="E185" s="39">
        <f>SUM(E158:E184)</f>
        <v>95753265</v>
      </c>
      <c r="F185" s="40">
        <f t="shared" ref="F185:F186" si="32">TRUNC(((E185/D185)-1)*100,2)</f>
        <v>-1.75</v>
      </c>
      <c r="G185" s="9"/>
      <c r="H185" s="44"/>
      <c r="I185" s="34" t="s">
        <v>9</v>
      </c>
      <c r="J185" s="39">
        <f>SUM(J158:J184)</f>
        <v>32206388</v>
      </c>
      <c r="K185" s="39">
        <f>SUM(K158:K184)</f>
        <v>33245190</v>
      </c>
      <c r="L185" s="40">
        <f>TRUNC(((K185/J185)-1)*100,2)</f>
        <v>3.22</v>
      </c>
      <c r="M185" s="2"/>
      <c r="N185" s="50"/>
      <c r="O185" s="51"/>
      <c r="P185" s="9"/>
      <c r="Q185" s="9"/>
      <c r="R185" s="9"/>
      <c r="S185" s="9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</row>
    <row r="186" spans="2:57" ht="13.5" customHeight="1" x14ac:dyDescent="0.2">
      <c r="B186" s="49"/>
      <c r="C186" s="55" t="s">
        <v>83</v>
      </c>
      <c r="D186" s="52">
        <f>SUM(AE8:AE34)</f>
        <v>97464937</v>
      </c>
      <c r="E186" s="52">
        <f>SUM(BV8:BV34)</f>
        <v>95753265</v>
      </c>
      <c r="F186" s="56">
        <f t="shared" si="32"/>
        <v>-1.75</v>
      </c>
      <c r="G186" s="1"/>
      <c r="H186" s="49"/>
      <c r="I186" s="55" t="s">
        <v>83</v>
      </c>
      <c r="J186" s="52">
        <f>SUM(AE47:AE73)</f>
        <v>32206388</v>
      </c>
      <c r="K186" s="52">
        <f>SUM(BV47:BV73)</f>
        <v>33245190</v>
      </c>
      <c r="L186" s="56">
        <f>TRUNC(((K186/J186)-1)*100,2)</f>
        <v>3.22</v>
      </c>
      <c r="M186" s="9"/>
      <c r="N186" s="50"/>
      <c r="O186" s="51"/>
      <c r="P186" s="9"/>
      <c r="Q186" s="9"/>
      <c r="R186" s="9"/>
      <c r="S186" s="9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</row>
    <row r="187" spans="2:57" ht="13.5" customHeight="1" x14ac:dyDescent="0.2"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50"/>
      <c r="O187" s="51"/>
      <c r="P187" s="9"/>
      <c r="Q187" s="9"/>
      <c r="R187" s="9"/>
      <c r="S187" s="9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</row>
    <row r="188" spans="2:57" ht="13.5" customHeight="1" x14ac:dyDescent="0.2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</row>
    <row r="189" spans="2:57" ht="13.5" customHeight="1" x14ac:dyDescent="0.2"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</row>
    <row r="190" spans="2:57" ht="13.5" customHeight="1" x14ac:dyDescent="0.2"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</row>
    <row r="191" spans="2:57" ht="13.5" customHeight="1" x14ac:dyDescent="0.2"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</row>
    <row r="192" spans="2:57" ht="13.5" customHeight="1" x14ac:dyDescent="0.2">
      <c r="B192" s="6" t="s">
        <v>88</v>
      </c>
      <c r="C192" s="242" t="s">
        <v>41</v>
      </c>
      <c r="D192" s="243"/>
      <c r="E192" s="244"/>
      <c r="F192" s="9"/>
      <c r="G192" s="9"/>
      <c r="H192" s="6" t="s">
        <v>88</v>
      </c>
      <c r="I192" s="239" t="s">
        <v>5</v>
      </c>
      <c r="J192" s="240"/>
      <c r="K192" s="241"/>
      <c r="L192" s="6" t="s">
        <v>89</v>
      </c>
      <c r="M192" s="9"/>
      <c r="N192" s="9"/>
      <c r="O192" s="9"/>
      <c r="P192" s="9"/>
      <c r="Q192" s="9"/>
      <c r="R192" s="9"/>
      <c r="S192" s="9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</row>
    <row r="193" spans="2:57" ht="13.5" customHeight="1" x14ac:dyDescent="0.2">
      <c r="B193" s="6" t="s">
        <v>4</v>
      </c>
      <c r="C193" s="260" t="s">
        <v>72</v>
      </c>
      <c r="D193" s="261"/>
      <c r="E193" s="262"/>
      <c r="F193" s="9"/>
      <c r="G193" s="9"/>
      <c r="H193" s="6" t="s">
        <v>4</v>
      </c>
      <c r="I193" s="263" t="str">
        <f>C193</f>
        <v>Produto: Cana-de-açúcar</v>
      </c>
      <c r="J193" s="264"/>
      <c r="K193" s="265"/>
      <c r="L193" s="6" t="s">
        <v>90</v>
      </c>
      <c r="M193" s="9"/>
      <c r="N193" s="9"/>
      <c r="O193" s="9"/>
      <c r="P193" s="9"/>
      <c r="Q193" s="9"/>
      <c r="R193" s="9"/>
      <c r="S193" s="9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</row>
    <row r="194" spans="2:57" ht="13.5" customHeight="1" x14ac:dyDescent="0.2">
      <c r="B194" s="128">
        <f>SUMIF(C196:C222,"Goiás",B196:B222)</f>
        <v>2</v>
      </c>
      <c r="C194" s="237" t="s">
        <v>14</v>
      </c>
      <c r="D194" s="237" t="str">
        <f>D156</f>
        <v>Safra 2015 (dezembro)</v>
      </c>
      <c r="E194" s="245" t="str">
        <f>E156</f>
        <v>Safra 2016 (dezembro)</v>
      </c>
      <c r="F194" s="5">
        <f>COUNTIF(E196:E222,"&gt;0")</f>
        <v>27</v>
      </c>
      <c r="G194" s="9"/>
      <c r="H194" s="128">
        <f>SUMIF(I196:I222,"Goiás",H196:H222)</f>
        <v>3</v>
      </c>
      <c r="I194" s="237" t="s">
        <v>14</v>
      </c>
      <c r="J194" s="237" t="str">
        <f>D194</f>
        <v>Safra 2015 (dezembro)</v>
      </c>
      <c r="K194" s="245" t="str">
        <f>E194</f>
        <v>Safra 2016 (dezembro)</v>
      </c>
      <c r="L194" s="129">
        <f>COUNTIF(K196:K222,"&gt;0")</f>
        <v>27</v>
      </c>
      <c r="M194" s="9"/>
      <c r="N194" s="4"/>
      <c r="O194" s="9"/>
      <c r="P194" s="9"/>
      <c r="Q194" s="9"/>
      <c r="R194" s="9"/>
      <c r="S194" s="9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</row>
    <row r="195" spans="2:57" ht="13.5" customHeight="1" x14ac:dyDescent="0.2">
      <c r="B195" s="6" t="s">
        <v>67</v>
      </c>
      <c r="C195" s="238"/>
      <c r="D195" s="238"/>
      <c r="E195" s="246"/>
      <c r="F195" s="37" t="s">
        <v>66</v>
      </c>
      <c r="G195" s="9"/>
      <c r="H195" s="37" t="s">
        <v>67</v>
      </c>
      <c r="I195" s="238"/>
      <c r="J195" s="238"/>
      <c r="K195" s="246"/>
      <c r="L195" s="37" t="s">
        <v>66</v>
      </c>
      <c r="M195" s="9"/>
      <c r="N195" s="4"/>
      <c r="O195" s="9"/>
      <c r="P195" s="9"/>
      <c r="Q195" s="9"/>
      <c r="R195" s="9"/>
      <c r="S195" s="9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</row>
    <row r="196" spans="2:57" ht="13.5" customHeight="1" x14ac:dyDescent="0.2">
      <c r="B196" s="10">
        <v>1</v>
      </c>
      <c r="C196" s="34" t="s">
        <v>34</v>
      </c>
      <c r="D196" s="35">
        <f>SUMIF($O$8:$O$34,C196,$AR$8:$AR$34)</f>
        <v>423419511</v>
      </c>
      <c r="E196" s="38">
        <f>SUMIF($O$8:$O$34,C196,$CI$8:$CI$34)</f>
        <v>400790775</v>
      </c>
      <c r="F196" s="156">
        <f t="shared" ref="F196:F211" si="33">IF(E196=0,0,TRUNC(((E196/D196)-1)*100,2))</f>
        <v>-5.34</v>
      </c>
      <c r="G196" s="9"/>
      <c r="H196" s="44">
        <v>1</v>
      </c>
      <c r="I196" s="34" t="s">
        <v>34</v>
      </c>
      <c r="J196" s="35">
        <f>SUMIF($O$47:$O$73,I196,$AR$47:$AR$73)</f>
        <v>5576838</v>
      </c>
      <c r="K196" s="38">
        <f>SUMIF($O$47:$O$73,I196,$CI$47:$CI$73)</f>
        <v>5416970</v>
      </c>
      <c r="L196" s="156">
        <f t="shared" ref="L196:L211" si="34">IF(K196=0,0,TRUNC(((K196/J196)-1)*100,2))</f>
        <v>-2.86</v>
      </c>
      <c r="M196" s="2"/>
      <c r="N196" s="50"/>
      <c r="O196" s="51"/>
      <c r="P196" s="9"/>
      <c r="Q196" s="9"/>
      <c r="R196" s="9"/>
      <c r="S196" s="9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</row>
    <row r="197" spans="2:57" ht="13.5" customHeight="1" x14ac:dyDescent="0.2">
      <c r="B197" s="10">
        <v>2</v>
      </c>
      <c r="C197" s="34" t="s">
        <v>4</v>
      </c>
      <c r="D197" s="35">
        <f>SUMIF($O$8:$O$34,C197,$AR$8:$AR$34)</f>
        <v>70412725</v>
      </c>
      <c r="E197" s="38">
        <f>SUMIF($O$8:$O$34,C197,$CI$8:$CI$34)</f>
        <v>70493478</v>
      </c>
      <c r="F197" s="156">
        <f t="shared" si="33"/>
        <v>0.11</v>
      </c>
      <c r="G197" s="9"/>
      <c r="H197" s="44">
        <v>2</v>
      </c>
      <c r="I197" s="34" t="s">
        <v>31</v>
      </c>
      <c r="J197" s="35">
        <f>SUMIF($O$47:$O$73,I197,$AR$47:$AR$73)</f>
        <v>917878</v>
      </c>
      <c r="K197" s="38">
        <f>SUMIF($O$47:$O$73,I197,$CI$47:$CI$73)</f>
        <v>1077785</v>
      </c>
      <c r="L197" s="156">
        <f t="shared" si="34"/>
        <v>17.420000000000002</v>
      </c>
      <c r="M197" s="2"/>
      <c r="N197" s="50"/>
      <c r="O197" s="51"/>
      <c r="P197" s="9"/>
      <c r="Q197" s="9"/>
      <c r="R197" s="9"/>
      <c r="S197" s="9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</row>
    <row r="198" spans="2:57" ht="13.5" customHeight="1" x14ac:dyDescent="0.2">
      <c r="B198" s="10">
        <v>3</v>
      </c>
      <c r="C198" s="34" t="s">
        <v>31</v>
      </c>
      <c r="D198" s="35">
        <f>SUMIF($O$8:$O$34,C198,$AR$8:$AR$34)</f>
        <v>69017764</v>
      </c>
      <c r="E198" s="38">
        <f>SUMIF($O$8:$O$34,C198,$CI$8:$CI$34)</f>
        <v>69934887</v>
      </c>
      <c r="F198" s="156">
        <f t="shared" si="33"/>
        <v>1.32</v>
      </c>
      <c r="G198" s="9"/>
      <c r="H198" s="44">
        <v>3</v>
      </c>
      <c r="I198" s="34" t="s">
        <v>4</v>
      </c>
      <c r="J198" s="35">
        <f>SUMIF($O$47:$O$73,I198,$AR$47:$AR$73)</f>
        <v>911847</v>
      </c>
      <c r="K198" s="38">
        <f>SUMIF($O$47:$O$73,I198,$CI$47:$CI$73)</f>
        <v>1013787</v>
      </c>
      <c r="L198" s="156">
        <f t="shared" si="34"/>
        <v>11.17</v>
      </c>
      <c r="M198" s="2"/>
      <c r="N198" s="50"/>
      <c r="O198" s="51"/>
      <c r="P198" s="9"/>
      <c r="Q198" s="9"/>
      <c r="R198" s="9"/>
      <c r="S198" s="9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</row>
    <row r="199" spans="2:57" ht="13.5" customHeight="1" x14ac:dyDescent="0.2">
      <c r="B199" s="10">
        <v>4</v>
      </c>
      <c r="C199" s="34" t="s">
        <v>38</v>
      </c>
      <c r="D199" s="35">
        <f>SUMIF($O$8:$O$34,C199,$AR$8:$AR$34)</f>
        <v>43924003</v>
      </c>
      <c r="E199" s="38">
        <f>SUMIF($O$8:$O$34,C199,$CI$8:$CI$34)</f>
        <v>52220075</v>
      </c>
      <c r="F199" s="156">
        <f t="shared" si="33"/>
        <v>18.88</v>
      </c>
      <c r="G199" s="9"/>
      <c r="H199" s="44">
        <v>4</v>
      </c>
      <c r="I199" s="34" t="s">
        <v>38</v>
      </c>
      <c r="J199" s="35">
        <f>SUMIF($O$47:$O$73,I199,$AR$47:$AR$73)</f>
        <v>546099</v>
      </c>
      <c r="K199" s="38">
        <f>SUMIF($O$47:$O$73,I199,$CI$47:$CI$73)</f>
        <v>729112</v>
      </c>
      <c r="L199" s="156">
        <f t="shared" si="34"/>
        <v>33.51</v>
      </c>
      <c r="M199" s="2"/>
      <c r="N199" s="50"/>
      <c r="O199" s="51"/>
      <c r="P199" s="9"/>
      <c r="Q199" s="9"/>
      <c r="R199" s="9"/>
      <c r="S199" s="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</row>
    <row r="200" spans="2:57" ht="13.5" customHeight="1" x14ac:dyDescent="0.2">
      <c r="B200" s="10">
        <v>5</v>
      </c>
      <c r="C200" s="34" t="s">
        <v>35</v>
      </c>
      <c r="D200" s="35">
        <f>SUMIF($O$8:$O$34,C200,$AR$8:$AR$34)</f>
        <v>47368045</v>
      </c>
      <c r="E200" s="38">
        <f>SUMIF($O$8:$O$34,C200,$CI$8:$CI$34)</f>
        <v>49740741</v>
      </c>
      <c r="F200" s="156">
        <f t="shared" si="33"/>
        <v>5</v>
      </c>
      <c r="G200" s="9"/>
      <c r="H200" s="44">
        <v>5</v>
      </c>
      <c r="I200" s="34" t="s">
        <v>35</v>
      </c>
      <c r="J200" s="35">
        <f>SUMIF($O$47:$O$73,I200,$AR$47:$AR$73)</f>
        <v>626375</v>
      </c>
      <c r="K200" s="38">
        <f>SUMIF($O$47:$O$73,I200,$CI$47:$CI$73)</f>
        <v>663911</v>
      </c>
      <c r="L200" s="156">
        <f t="shared" si="34"/>
        <v>5.99</v>
      </c>
      <c r="M200" s="2"/>
      <c r="N200" s="50"/>
      <c r="O200" s="51"/>
      <c r="P200" s="9"/>
      <c r="Q200" s="9"/>
      <c r="R200" s="9"/>
      <c r="S200" s="9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</row>
    <row r="201" spans="2:57" ht="13.5" customHeight="1" x14ac:dyDescent="0.2">
      <c r="B201" s="10">
        <v>6</v>
      </c>
      <c r="C201" s="34" t="s">
        <v>39</v>
      </c>
      <c r="D201" s="35">
        <f>SUMIF($O$8:$O$34,C201,$AR$8:$AR$34)</f>
        <v>20077293</v>
      </c>
      <c r="E201" s="38">
        <f>SUMIF($O$8:$O$34,C201,$CI$8:$CI$34)</f>
        <v>19203464</v>
      </c>
      <c r="F201" s="156">
        <f t="shared" si="33"/>
        <v>-4.3499999999999996</v>
      </c>
      <c r="G201" s="9"/>
      <c r="H201" s="44">
        <v>6</v>
      </c>
      <c r="I201" s="34" t="s">
        <v>28</v>
      </c>
      <c r="J201" s="35">
        <f>SUMIF($O$47:$O$73,I201,$AR$47:$AR$73)</f>
        <v>308006</v>
      </c>
      <c r="K201" s="38">
        <f>SUMIF($O$47:$O$73,I201,$CI$47:$CI$73)</f>
        <v>354392</v>
      </c>
      <c r="L201" s="156">
        <f t="shared" si="34"/>
        <v>15.06</v>
      </c>
      <c r="M201" s="2"/>
      <c r="N201" s="50"/>
      <c r="O201" s="51"/>
      <c r="P201" s="9"/>
      <c r="Q201" s="9"/>
      <c r="R201" s="9"/>
      <c r="S201" s="9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</row>
    <row r="202" spans="2:57" ht="13.5" customHeight="1" x14ac:dyDescent="0.2">
      <c r="B202" s="10">
        <v>7</v>
      </c>
      <c r="C202" s="34" t="s">
        <v>28</v>
      </c>
      <c r="D202" s="35">
        <f>SUMIF($O$8:$O$34,C202,$AR$8:$AR$34)</f>
        <v>20714441</v>
      </c>
      <c r="E202" s="38">
        <f>SUMIF($O$8:$O$34,C202,$CI$8:$CI$34)</f>
        <v>19079722</v>
      </c>
      <c r="F202" s="156">
        <f t="shared" si="33"/>
        <v>-7.89</v>
      </c>
      <c r="G202" s="9"/>
      <c r="H202" s="44">
        <v>7</v>
      </c>
      <c r="I202" s="34" t="s">
        <v>27</v>
      </c>
      <c r="J202" s="35">
        <f>SUMIF($O$47:$O$73,I202,$AR$47:$AR$73)</f>
        <v>315467</v>
      </c>
      <c r="K202" s="38">
        <f>SUMIF($O$47:$O$73,I202,$CI$47:$CI$73)</f>
        <v>286734</v>
      </c>
      <c r="L202" s="156">
        <f t="shared" si="34"/>
        <v>-9.1</v>
      </c>
      <c r="M202" s="2"/>
      <c r="N202" s="50"/>
      <c r="O202" s="51"/>
      <c r="P202" s="9"/>
      <c r="Q202" s="9"/>
      <c r="R202" s="9"/>
      <c r="S202" s="9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</row>
    <row r="203" spans="2:57" ht="13.5" customHeight="1" x14ac:dyDescent="0.2">
      <c r="B203" s="10">
        <v>8</v>
      </c>
      <c r="C203" s="34" t="s">
        <v>27</v>
      </c>
      <c r="D203" s="35">
        <f>SUMIF($O$8:$O$34,C203,$AR$8:$AR$34)</f>
        <v>15965218</v>
      </c>
      <c r="E203" s="38">
        <f>SUMIF($O$8:$O$34,C203,$CI$8:$CI$34)</f>
        <v>13044509</v>
      </c>
      <c r="F203" s="156">
        <f t="shared" si="33"/>
        <v>-18.29</v>
      </c>
      <c r="G203" s="9"/>
      <c r="H203" s="44">
        <v>8</v>
      </c>
      <c r="I203" s="34" t="s">
        <v>39</v>
      </c>
      <c r="J203" s="35">
        <f>SUMIF($O$47:$O$73,I203,$AR$47:$AR$73)</f>
        <v>291100</v>
      </c>
      <c r="K203" s="38">
        <f>SUMIF($O$47:$O$73,I203,$CI$47:$CI$73)</f>
        <v>282514</v>
      </c>
      <c r="L203" s="156">
        <f t="shared" si="34"/>
        <v>-2.94</v>
      </c>
      <c r="M203" s="2"/>
      <c r="N203" s="50"/>
      <c r="O203" s="51"/>
      <c r="P203" s="9"/>
      <c r="Q203" s="9"/>
      <c r="R203" s="9"/>
      <c r="S203" s="9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</row>
    <row r="204" spans="2:57" ht="13.5" customHeight="1" x14ac:dyDescent="0.2">
      <c r="B204" s="10">
        <v>9</v>
      </c>
      <c r="C204" s="34" t="s">
        <v>26</v>
      </c>
      <c r="D204" s="35">
        <f>SUMIF($O$8:$O$34,C204,$AR$8:$AR$34)</f>
        <v>6801981</v>
      </c>
      <c r="E204" s="38">
        <f>SUMIF($O$8:$O$34,C204,$CI$8:$CI$34)</f>
        <v>6908885</v>
      </c>
      <c r="F204" s="156">
        <f t="shared" si="33"/>
        <v>1.57</v>
      </c>
      <c r="G204" s="9"/>
      <c r="H204" s="44">
        <v>9</v>
      </c>
      <c r="I204" s="34" t="s">
        <v>26</v>
      </c>
      <c r="J204" s="35">
        <f>SUMIF($O$47:$O$73,I204,$AR$47:$AR$73)</f>
        <v>120559</v>
      </c>
      <c r="K204" s="38">
        <f>SUMIF($O$47:$O$73,I204,$CI$47:$CI$73)</f>
        <v>151858</v>
      </c>
      <c r="L204" s="156">
        <f t="shared" si="34"/>
        <v>25.96</v>
      </c>
      <c r="M204" s="2"/>
      <c r="N204" s="50"/>
      <c r="O204" s="51"/>
      <c r="P204" s="9"/>
      <c r="Q204" s="9"/>
      <c r="R204" s="9"/>
      <c r="S204" s="9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</row>
    <row r="205" spans="2:57" ht="13.5" customHeight="1" x14ac:dyDescent="0.2">
      <c r="B205" s="10">
        <v>10</v>
      </c>
      <c r="C205" s="34" t="s">
        <v>30</v>
      </c>
      <c r="D205" s="35">
        <f>SUMIF($O$8:$O$34,C205,$AR$8:$AR$34)</f>
        <v>6227728</v>
      </c>
      <c r="E205" s="38">
        <f>SUMIF($O$8:$O$34,C205,$CI$8:$CI$34)</f>
        <v>5475000</v>
      </c>
      <c r="F205" s="156">
        <f t="shared" si="33"/>
        <v>-12.08</v>
      </c>
      <c r="G205" s="9"/>
      <c r="H205" s="44">
        <v>10</v>
      </c>
      <c r="I205" s="34" t="s">
        <v>30</v>
      </c>
      <c r="J205" s="35">
        <f>SUMIF($O$47:$O$73,I205,$AR$47:$AR$73)</f>
        <v>104863</v>
      </c>
      <c r="K205" s="38">
        <f>SUMIF($O$47:$O$73,I205,$CI$47:$CI$73)</f>
        <v>121000</v>
      </c>
      <c r="L205" s="156">
        <f t="shared" si="34"/>
        <v>15.38</v>
      </c>
      <c r="M205" s="2"/>
      <c r="N205" s="50"/>
      <c r="O205" s="51"/>
      <c r="P205" s="9"/>
      <c r="Q205" s="9"/>
      <c r="R205" s="9"/>
      <c r="S205" s="9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</row>
    <row r="206" spans="2:57" ht="13.5" customHeight="1" x14ac:dyDescent="0.2">
      <c r="B206" s="10">
        <v>11</v>
      </c>
      <c r="C206" s="34" t="s">
        <v>25</v>
      </c>
      <c r="D206" s="35">
        <f>SUMIF($O$8:$O$34,C206,$AR$8:$AR$34)</f>
        <v>3724046</v>
      </c>
      <c r="E206" s="38">
        <f>SUMIF($O$8:$O$34,C206,$CI$8:$CI$34)</f>
        <v>3576341</v>
      </c>
      <c r="F206" s="156">
        <f t="shared" si="33"/>
        <v>-3.96</v>
      </c>
      <c r="G206" s="51"/>
      <c r="H206" s="44">
        <v>11</v>
      </c>
      <c r="I206" s="34" t="s">
        <v>32</v>
      </c>
      <c r="J206" s="35">
        <f>SUMIF($O$47:$O$73,I206,$AR$47:$AR$73)</f>
        <v>76683</v>
      </c>
      <c r="K206" s="38">
        <f>SUMIF($O$47:$O$73,I206,$CI$47:$CI$73)</f>
        <v>73051</v>
      </c>
      <c r="L206" s="156">
        <f t="shared" si="34"/>
        <v>-4.7300000000000004</v>
      </c>
      <c r="M206" s="2"/>
      <c r="N206" s="50"/>
      <c r="O206" s="51"/>
      <c r="P206" s="9"/>
      <c r="Q206" s="9"/>
      <c r="R206" s="9"/>
      <c r="S206" s="9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</row>
    <row r="207" spans="2:57" ht="13.5" customHeight="1" x14ac:dyDescent="0.2">
      <c r="B207" s="10">
        <v>12</v>
      </c>
      <c r="C207" s="34" t="s">
        <v>29</v>
      </c>
      <c r="D207" s="35">
        <f>SUMIF($O$8:$O$34,C207,$AR$8:$AR$34)</f>
        <v>3220415</v>
      </c>
      <c r="E207" s="38">
        <f>SUMIF($O$8:$O$34,C207,$CI$8:$CI$34)</f>
        <v>3163751</v>
      </c>
      <c r="F207" s="156">
        <f t="shared" si="33"/>
        <v>-1.75</v>
      </c>
      <c r="G207" s="9"/>
      <c r="H207" s="44">
        <v>12</v>
      </c>
      <c r="I207" s="34" t="s">
        <v>29</v>
      </c>
      <c r="J207" s="35">
        <f>SUMIF($O$47:$O$73,I207,$AR$47:$AR$73)</f>
        <v>57258</v>
      </c>
      <c r="K207" s="38">
        <f>SUMIF($O$47:$O$73,I207,$CI$47:$CI$73)</f>
        <v>61889</v>
      </c>
      <c r="L207" s="156">
        <f t="shared" si="34"/>
        <v>8.08</v>
      </c>
      <c r="M207" s="2"/>
      <c r="N207" s="50"/>
      <c r="O207" s="51"/>
      <c r="P207" s="9"/>
      <c r="Q207" s="9"/>
      <c r="R207" s="9"/>
      <c r="S207" s="9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</row>
    <row r="208" spans="2:57" ht="13.5" customHeight="1" x14ac:dyDescent="0.2">
      <c r="B208" s="10">
        <v>13</v>
      </c>
      <c r="C208" s="34" t="s">
        <v>21</v>
      </c>
      <c r="D208" s="35">
        <f>SUMIF($O$8:$O$34,C208,$AR$8:$AR$34)</f>
        <v>2855536</v>
      </c>
      <c r="E208" s="38">
        <f>SUMIF($O$8:$O$34,C208,$CI$8:$CI$34)</f>
        <v>2974039</v>
      </c>
      <c r="F208" s="156">
        <f t="shared" si="33"/>
        <v>4.1399999999999997</v>
      </c>
      <c r="G208" s="9"/>
      <c r="H208" s="44">
        <v>13</v>
      </c>
      <c r="I208" s="34" t="s">
        <v>25</v>
      </c>
      <c r="J208" s="35">
        <f>SUMIF($O$47:$O$73,I208,$AR$47:$AR$73)</f>
        <v>59491</v>
      </c>
      <c r="K208" s="38">
        <f>SUMIF($O$47:$O$73,I208,$CI$47:$CI$73)</f>
        <v>60379</v>
      </c>
      <c r="L208" s="156">
        <f t="shared" si="34"/>
        <v>1.49</v>
      </c>
      <c r="M208" s="2"/>
      <c r="N208" s="50"/>
      <c r="O208" s="51"/>
      <c r="P208" s="9"/>
      <c r="Q208" s="9"/>
      <c r="R208" s="9"/>
      <c r="S208" s="9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</row>
    <row r="209" spans="2:57" ht="13.5" customHeight="1" x14ac:dyDescent="0.2">
      <c r="B209" s="10">
        <v>14</v>
      </c>
      <c r="C209" s="34" t="s">
        <v>32</v>
      </c>
      <c r="D209" s="35">
        <f>SUMIF($O$8:$O$34,C209,$AR$8:$AR$34)</f>
        <v>3320809</v>
      </c>
      <c r="E209" s="38">
        <f>SUMIF($O$8:$O$34,C209,$CI$8:$CI$34)</f>
        <v>2845580</v>
      </c>
      <c r="F209" s="156">
        <f t="shared" si="33"/>
        <v>-14.31</v>
      </c>
      <c r="G209" s="9"/>
      <c r="H209" s="44">
        <v>14</v>
      </c>
      <c r="I209" s="34" t="s">
        <v>33</v>
      </c>
      <c r="J209" s="35">
        <f>SUMIF($O$47:$O$73,I209,$AR$47:$AR$73)</f>
        <v>79388</v>
      </c>
      <c r="K209" s="38">
        <f>SUMIF($O$47:$O$73,I209,$CI$47:$CI$73)</f>
        <v>55426</v>
      </c>
      <c r="L209" s="156">
        <f t="shared" si="34"/>
        <v>-30.18</v>
      </c>
      <c r="M209" s="2"/>
      <c r="N209" s="50"/>
      <c r="O209" s="51"/>
      <c r="P209" s="9"/>
      <c r="Q209" s="9"/>
      <c r="R209" s="9"/>
      <c r="S209" s="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</row>
    <row r="210" spans="2:57" ht="13.5" customHeight="1" x14ac:dyDescent="0.2">
      <c r="B210" s="10">
        <v>15</v>
      </c>
      <c r="C210" s="34" t="s">
        <v>22</v>
      </c>
      <c r="D210" s="35">
        <f>SUMIF($O$8:$O$34,C210,$AR$8:$AR$34)</f>
        <v>3124141</v>
      </c>
      <c r="E210" s="38">
        <f>SUMIF($O$8:$O$34,C210,$CI$8:$CI$34)</f>
        <v>2520500</v>
      </c>
      <c r="F210" s="156">
        <f t="shared" si="33"/>
        <v>-19.32</v>
      </c>
      <c r="G210" s="9"/>
      <c r="H210" s="44">
        <v>15</v>
      </c>
      <c r="I210" s="34" t="s">
        <v>22</v>
      </c>
      <c r="J210" s="35">
        <f>SUMIF($O$47:$O$73,I210,$AR$47:$AR$73)</f>
        <v>47685</v>
      </c>
      <c r="K210" s="38">
        <f>SUMIF($O$47:$O$73,I210,$CI$47:$CI$73)</f>
        <v>51469</v>
      </c>
      <c r="L210" s="156">
        <f t="shared" si="34"/>
        <v>7.93</v>
      </c>
      <c r="M210" s="2"/>
      <c r="N210" s="50"/>
      <c r="O210" s="51"/>
      <c r="P210" s="9"/>
      <c r="Q210" s="9"/>
      <c r="R210" s="9"/>
      <c r="S210" s="9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</row>
    <row r="211" spans="2:57" ht="13.5" customHeight="1" x14ac:dyDescent="0.2">
      <c r="B211" s="10">
        <v>16</v>
      </c>
      <c r="C211" s="34" t="s">
        <v>33</v>
      </c>
      <c r="D211" s="35">
        <f>SUMIF($O$8:$O$34,C211,$AR$8:$AR$34)</f>
        <v>3919509</v>
      </c>
      <c r="E211" s="38">
        <f>SUMIF($O$8:$O$34,C211,$CI$8:$CI$34)</f>
        <v>2443219</v>
      </c>
      <c r="F211" s="156">
        <f t="shared" si="33"/>
        <v>-37.659999999999997</v>
      </c>
      <c r="G211" s="9"/>
      <c r="H211" s="44">
        <v>16</v>
      </c>
      <c r="I211" s="34" t="s">
        <v>21</v>
      </c>
      <c r="J211" s="35">
        <f>SUMIF($O$47:$O$73,I211,$AR$47:$AR$73)</f>
        <v>36395</v>
      </c>
      <c r="K211" s="38">
        <f>SUMIF($O$47:$O$73,I211,$CI$47:$CI$73)</f>
        <v>46998</v>
      </c>
      <c r="L211" s="156">
        <f t="shared" si="34"/>
        <v>29.13</v>
      </c>
      <c r="M211" s="2"/>
      <c r="N211" s="50"/>
      <c r="O211" s="51"/>
      <c r="P211" s="9"/>
      <c r="Q211" s="9"/>
      <c r="R211" s="9"/>
      <c r="S211" s="9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</row>
    <row r="212" spans="2:57" ht="13.5" customHeight="1" x14ac:dyDescent="0.2">
      <c r="B212" s="10">
        <v>17</v>
      </c>
      <c r="C212" s="34" t="s">
        <v>19</v>
      </c>
      <c r="D212" s="35">
        <f>SUMIF($O$8:$O$34,C212,$AR$8:$AR$34)</f>
        <v>918297</v>
      </c>
      <c r="E212" s="38">
        <f>SUMIF($O$8:$O$34,C212,$CI$8:$CI$34)</f>
        <v>917802</v>
      </c>
      <c r="F212" s="156">
        <f>IF(E212=0,0,TRUNC(((E212/D212)-1)*100,2))</f>
        <v>-0.05</v>
      </c>
      <c r="G212" s="9"/>
      <c r="H212" s="44">
        <v>17</v>
      </c>
      <c r="I212" s="34" t="s">
        <v>37</v>
      </c>
      <c r="J212" s="35">
        <f>SUMIF($O$47:$O$73,I212,$AR$47:$AR$73)</f>
        <v>19508</v>
      </c>
      <c r="K212" s="38">
        <f>SUMIF($O$47:$O$73,I212,$CI$47:$CI$73)</f>
        <v>20210</v>
      </c>
      <c r="L212" s="156">
        <f>IF(K212=0,0,TRUNC(((K212/J212)-1)*100,2))</f>
        <v>3.59</v>
      </c>
      <c r="M212" s="2"/>
      <c r="N212" s="50"/>
      <c r="O212" s="51"/>
      <c r="P212" s="9"/>
      <c r="Q212" s="9"/>
      <c r="R212" s="9"/>
      <c r="S212" s="9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</row>
    <row r="213" spans="2:57" ht="13.5" customHeight="1" x14ac:dyDescent="0.2">
      <c r="B213" s="10">
        <v>18</v>
      </c>
      <c r="C213" s="34" t="s">
        <v>37</v>
      </c>
      <c r="D213" s="35">
        <f>SUMIF($O$8:$O$34,C213,$AR$8:$AR$34)</f>
        <v>834500</v>
      </c>
      <c r="E213" s="38">
        <f>SUMIF($O$8:$O$34,C213,$CI$8:$CI$34)</f>
        <v>761076</v>
      </c>
      <c r="F213" s="156">
        <f t="shared" ref="F213:F222" si="35">IF(E213=0,0,TRUNC(((E213/D213)-1)*100,2))</f>
        <v>-8.7899999999999991</v>
      </c>
      <c r="G213" s="9"/>
      <c r="H213" s="44">
        <v>18</v>
      </c>
      <c r="I213" s="34" t="s">
        <v>23</v>
      </c>
      <c r="J213" s="35">
        <f>SUMIF($O$47:$O$73,I213,$AR$47:$AR$73)</f>
        <v>15022</v>
      </c>
      <c r="K213" s="38">
        <f>SUMIF($O$47:$O$73,I213,$CI$47:$CI$73)</f>
        <v>17311</v>
      </c>
      <c r="L213" s="156">
        <f t="shared" ref="L213:L222" si="36">IF(K213=0,0,TRUNC(((K213/J213)-1)*100,2))</f>
        <v>15.23</v>
      </c>
      <c r="M213" s="2"/>
      <c r="N213" s="50"/>
      <c r="O213" s="51"/>
      <c r="P213" s="9"/>
      <c r="Q213" s="9"/>
      <c r="R213" s="9"/>
      <c r="S213" s="9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</row>
    <row r="214" spans="2:57" ht="13.5" customHeight="1" x14ac:dyDescent="0.2">
      <c r="B214" s="10">
        <v>19</v>
      </c>
      <c r="C214" s="34" t="s">
        <v>23</v>
      </c>
      <c r="D214" s="35">
        <f>SUMIF($O$8:$O$34,C214,$AR$8:$AR$34)</f>
        <v>861393</v>
      </c>
      <c r="E214" s="38">
        <f>SUMIF($O$8:$O$34,C214,$CI$8:$CI$34)</f>
        <v>726743</v>
      </c>
      <c r="F214" s="156">
        <f t="shared" si="35"/>
        <v>-15.63</v>
      </c>
      <c r="G214" s="9"/>
      <c r="H214" s="44">
        <v>19</v>
      </c>
      <c r="I214" s="34" t="s">
        <v>19</v>
      </c>
      <c r="J214" s="35">
        <f>SUMIF($O$47:$O$73,I214,$AR$47:$AR$73)</f>
        <v>13301</v>
      </c>
      <c r="K214" s="38">
        <f>SUMIF($O$47:$O$73,I214,$CI$47:$CI$73)</f>
        <v>16533</v>
      </c>
      <c r="L214" s="156">
        <f t="shared" si="36"/>
        <v>24.29</v>
      </c>
      <c r="M214" s="2"/>
      <c r="N214" s="50"/>
      <c r="O214" s="51"/>
      <c r="P214" s="9"/>
      <c r="Q214" s="9"/>
      <c r="R214" s="9"/>
      <c r="S214" s="9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</row>
    <row r="215" spans="2:57" ht="13.5" customHeight="1" x14ac:dyDescent="0.2">
      <c r="B215" s="10">
        <v>20</v>
      </c>
      <c r="C215" s="34" t="s">
        <v>24</v>
      </c>
      <c r="D215" s="35">
        <f>SUMIF($O$8:$O$34,C215,$AR$8:$AR$34)</f>
        <v>906912</v>
      </c>
      <c r="E215" s="38">
        <f>SUMIF($O$8:$O$34,C215,$CI$8:$CI$34)</f>
        <v>716327</v>
      </c>
      <c r="F215" s="156">
        <f t="shared" si="35"/>
        <v>-21.01</v>
      </c>
      <c r="G215" s="9"/>
      <c r="H215" s="44">
        <v>20</v>
      </c>
      <c r="I215" s="34" t="s">
        <v>24</v>
      </c>
      <c r="J215" s="35">
        <f>SUMIF($O$47:$O$73,I215,$AR$47:$AR$73)</f>
        <v>19149</v>
      </c>
      <c r="K215" s="38">
        <f>SUMIF($O$47:$O$73,I215,$CI$47:$CI$73)</f>
        <v>16210</v>
      </c>
      <c r="L215" s="156">
        <f t="shared" si="36"/>
        <v>-15.34</v>
      </c>
      <c r="M215" s="2"/>
      <c r="N215" s="50"/>
      <c r="O215" s="51"/>
      <c r="P215" s="9"/>
      <c r="Q215" s="9"/>
      <c r="R215" s="9"/>
      <c r="S215" s="9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</row>
    <row r="216" spans="2:57" ht="13.5" customHeight="1" x14ac:dyDescent="0.2">
      <c r="B216" s="10">
        <v>21</v>
      </c>
      <c r="C216" s="34" t="s">
        <v>36</v>
      </c>
      <c r="D216" s="35">
        <f>SUMIF($O$8:$O$34,C216,$AR$8:$AR$34)</f>
        <v>384625</v>
      </c>
      <c r="E216" s="38">
        <f>SUMIF($O$8:$O$34,C216,$CI$8:$CI$34)</f>
        <v>375565</v>
      </c>
      <c r="F216" s="156">
        <f t="shared" si="35"/>
        <v>-2.35</v>
      </c>
      <c r="G216" s="9"/>
      <c r="H216" s="44">
        <v>21</v>
      </c>
      <c r="I216" s="34" t="s">
        <v>36</v>
      </c>
      <c r="J216" s="35">
        <f>SUMIF($O$47:$O$73,I216,$AR$47:$AR$73)</f>
        <v>8030</v>
      </c>
      <c r="K216" s="38">
        <f>SUMIF($O$47:$O$73,I216,$CI$47:$CI$73)</f>
        <v>8038</v>
      </c>
      <c r="L216" s="156">
        <f t="shared" si="36"/>
        <v>0.09</v>
      </c>
      <c r="M216" s="2"/>
      <c r="N216" s="50"/>
      <c r="O216" s="51"/>
      <c r="P216" s="9"/>
      <c r="Q216" s="9"/>
      <c r="R216" s="9"/>
      <c r="S216" s="9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</row>
    <row r="217" spans="2:57" ht="13.5" customHeight="1" x14ac:dyDescent="0.2">
      <c r="B217" s="10">
        <v>22</v>
      </c>
      <c r="C217" s="34" t="s">
        <v>17</v>
      </c>
      <c r="D217" s="35">
        <f>SUMIF($O$8:$O$34,C217,$AR$8:$AR$34)</f>
        <v>232389</v>
      </c>
      <c r="E217" s="38">
        <f>SUMIF($O$8:$O$34,C217,$CI$8:$CI$34)</f>
        <v>303971</v>
      </c>
      <c r="F217" s="156">
        <f t="shared" si="35"/>
        <v>30.8</v>
      </c>
      <c r="G217" s="9"/>
      <c r="H217" s="44">
        <v>22</v>
      </c>
      <c r="I217" s="34" t="s">
        <v>17</v>
      </c>
      <c r="J217" s="35">
        <f>SUMIF($O$47:$O$73,I217,$AR$47:$AR$73)</f>
        <v>3828</v>
      </c>
      <c r="K217" s="38">
        <f>SUMIF($O$47:$O$73,I217,$CI$47:$CI$73)</f>
        <v>4437</v>
      </c>
      <c r="L217" s="156">
        <f t="shared" si="36"/>
        <v>15.9</v>
      </c>
      <c r="M217" s="2"/>
      <c r="N217" s="50"/>
      <c r="O217" s="51"/>
      <c r="P217" s="9"/>
      <c r="Q217" s="9"/>
      <c r="R217" s="9"/>
      <c r="S217" s="9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</row>
    <row r="218" spans="2:57" ht="13.5" customHeight="1" x14ac:dyDescent="0.2">
      <c r="B218" s="10">
        <v>23</v>
      </c>
      <c r="C218" s="34" t="s">
        <v>15</v>
      </c>
      <c r="D218" s="35">
        <f>SUMIF($O$8:$O$34,C218,$AR$8:$AR$34)</f>
        <v>159383</v>
      </c>
      <c r="E218" s="38">
        <f>SUMIF($O$8:$O$34,C218,$CI$8:$CI$34)</f>
        <v>159383</v>
      </c>
      <c r="F218" s="156">
        <f t="shared" si="35"/>
        <v>0</v>
      </c>
      <c r="G218" s="9"/>
      <c r="H218" s="44">
        <v>23</v>
      </c>
      <c r="I218" s="34" t="s">
        <v>16</v>
      </c>
      <c r="J218" s="35">
        <f>SUMIF($O$47:$O$73,I218,$AR$47:$AR$73)</f>
        <v>3573</v>
      </c>
      <c r="K218" s="38">
        <f>SUMIF($O$47:$O$73,I218,$CI$47:$CI$73)</f>
        <v>3105</v>
      </c>
      <c r="L218" s="156">
        <f t="shared" si="36"/>
        <v>-13.09</v>
      </c>
      <c r="M218" s="2"/>
      <c r="N218" s="50"/>
      <c r="O218" s="51"/>
      <c r="P218" s="9"/>
      <c r="Q218" s="9"/>
      <c r="R218" s="9"/>
      <c r="S218" s="9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</row>
    <row r="219" spans="2:57" ht="13.5" customHeight="1" x14ac:dyDescent="0.2">
      <c r="B219" s="10">
        <v>24</v>
      </c>
      <c r="C219" s="34" t="s">
        <v>16</v>
      </c>
      <c r="D219" s="35">
        <f>SUMIF($O$8:$O$34,C219,$AR$8:$AR$34)</f>
        <v>197376</v>
      </c>
      <c r="E219" s="38">
        <f>SUMIF($O$8:$O$34,C219,$CI$8:$CI$34)</f>
        <v>117436</v>
      </c>
      <c r="F219" s="156">
        <f t="shared" si="35"/>
        <v>-40.5</v>
      </c>
      <c r="G219" s="9"/>
      <c r="H219" s="44">
        <v>24</v>
      </c>
      <c r="I219" s="34" t="s">
        <v>15</v>
      </c>
      <c r="J219" s="35">
        <f>SUMIF($O$47:$O$73,I219,$AR$47:$AR$73)</f>
        <v>2393</v>
      </c>
      <c r="K219" s="38">
        <f>SUMIF($O$47:$O$73,I219,$CI$47:$CI$73)</f>
        <v>2393</v>
      </c>
      <c r="L219" s="156">
        <f t="shared" si="36"/>
        <v>0</v>
      </c>
      <c r="M219" s="2"/>
      <c r="N219" s="50"/>
      <c r="O219" s="51"/>
      <c r="P219" s="9"/>
      <c r="Q219" s="9"/>
      <c r="R219" s="9"/>
      <c r="S219" s="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</row>
    <row r="220" spans="2:57" ht="13.5" customHeight="1" x14ac:dyDescent="0.2">
      <c r="B220" s="10">
        <v>25</v>
      </c>
      <c r="C220" s="34" t="s">
        <v>40</v>
      </c>
      <c r="D220" s="35">
        <f>SUMIF($O$8:$O$34,C220,$AR$8:$AR$34)</f>
        <v>39672</v>
      </c>
      <c r="E220" s="38">
        <f>SUMIF($O$8:$O$34,C220,$CI$8:$CI$34)</f>
        <v>27760</v>
      </c>
      <c r="F220" s="156">
        <f t="shared" si="35"/>
        <v>-30.02</v>
      </c>
      <c r="G220" s="9"/>
      <c r="H220" s="44">
        <v>25</v>
      </c>
      <c r="I220" s="34" t="s">
        <v>40</v>
      </c>
      <c r="J220" s="35">
        <f>SUMIF($O$47:$O$73,I220,$AR$47:$AR$73)</f>
        <v>456</v>
      </c>
      <c r="K220" s="38">
        <f>SUMIF($O$47:$O$73,I220,$CI$47:$CI$73)</f>
        <v>331</v>
      </c>
      <c r="L220" s="156">
        <f t="shared" si="36"/>
        <v>-27.41</v>
      </c>
      <c r="M220" s="2"/>
      <c r="N220" s="50"/>
      <c r="O220" s="51"/>
      <c r="P220" s="9"/>
      <c r="Q220" s="9"/>
      <c r="R220" s="9"/>
      <c r="S220" s="9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</row>
    <row r="221" spans="2:57" ht="13.5" customHeight="1" x14ac:dyDescent="0.2">
      <c r="B221" s="10">
        <v>26</v>
      </c>
      <c r="C221" s="34" t="s">
        <v>20</v>
      </c>
      <c r="D221" s="35">
        <f>SUMIF($O$8:$O$34,C221,$AR$8:$AR$34)</f>
        <v>4480</v>
      </c>
      <c r="E221" s="38">
        <f>SUMIF($O$8:$O$34,C221,$CI$8:$CI$34)</f>
        <v>4480</v>
      </c>
      <c r="F221" s="156">
        <f t="shared" si="35"/>
        <v>0</v>
      </c>
      <c r="G221" s="9"/>
      <c r="H221" s="44">
        <v>26</v>
      </c>
      <c r="I221" s="34" t="s">
        <v>18</v>
      </c>
      <c r="J221" s="35">
        <f>SUMIF($O$47:$O$73,I221,$AR$47:$AR$73)</f>
        <v>290</v>
      </c>
      <c r="K221" s="38">
        <f>SUMIF($O$47:$O$73,I221,$CI$47:$CI$73)</f>
        <v>291</v>
      </c>
      <c r="L221" s="156">
        <f t="shared" si="36"/>
        <v>0.34</v>
      </c>
      <c r="M221" s="2"/>
      <c r="N221" s="50"/>
      <c r="O221" s="51"/>
      <c r="P221" s="9"/>
      <c r="Q221" s="9"/>
      <c r="R221" s="9"/>
      <c r="S221" s="9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</row>
    <row r="222" spans="2:57" ht="13.5" customHeight="1" x14ac:dyDescent="0.2">
      <c r="B222" s="10">
        <v>27</v>
      </c>
      <c r="C222" s="34" t="s">
        <v>18</v>
      </c>
      <c r="D222" s="35">
        <f>SUMIF($O$8:$O$34,C222,$AR$8:$AR$34)</f>
        <v>3975</v>
      </c>
      <c r="E222" s="38">
        <f>SUMIF($O$8:$O$34,C222,$CI$8:$CI$34)</f>
        <v>3976</v>
      </c>
      <c r="F222" s="156">
        <f t="shared" si="35"/>
        <v>0.02</v>
      </c>
      <c r="G222" s="9"/>
      <c r="H222" s="44">
        <v>27</v>
      </c>
      <c r="I222" s="34" t="s">
        <v>20</v>
      </c>
      <c r="J222" s="35">
        <f>SUMIF($O$47:$O$73,I222,$AR$47:$AR$73)</f>
        <v>140</v>
      </c>
      <c r="K222" s="38">
        <f>SUMIF($O$47:$O$73,I222,$CI$47:$CI$73)</f>
        <v>140</v>
      </c>
      <c r="L222" s="156">
        <f t="shared" si="36"/>
        <v>0</v>
      </c>
      <c r="M222" s="2"/>
      <c r="N222" s="50"/>
      <c r="O222" s="51"/>
      <c r="P222" s="9"/>
      <c r="Q222" s="9"/>
      <c r="R222" s="9"/>
      <c r="S222" s="9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</row>
    <row r="223" spans="2:57" ht="13.5" customHeight="1" x14ac:dyDescent="0.2">
      <c r="B223" s="10"/>
      <c r="C223" s="34" t="s">
        <v>9</v>
      </c>
      <c r="D223" s="39">
        <f>SUM(D196:D222)</f>
        <v>748636167</v>
      </c>
      <c r="E223" s="39">
        <f>SUM(E196:E222)</f>
        <v>728529485</v>
      </c>
      <c r="F223" s="40">
        <f t="shared" ref="F223:F224" si="37">TRUNC(((E223/D223)-1)*100,2)</f>
        <v>-2.68</v>
      </c>
      <c r="G223" s="9"/>
      <c r="H223" s="44"/>
      <c r="I223" s="34" t="s">
        <v>9</v>
      </c>
      <c r="J223" s="39">
        <f>SUM(J196:J222)</f>
        <v>10161622</v>
      </c>
      <c r="K223" s="39">
        <f>SUM(K196:K222)</f>
        <v>10536274</v>
      </c>
      <c r="L223" s="40">
        <f>TRUNC(((K223/J223)-1)*100,2)</f>
        <v>3.68</v>
      </c>
      <c r="M223" s="2"/>
      <c r="N223" s="50"/>
      <c r="O223" s="51"/>
      <c r="P223" s="9"/>
      <c r="Q223" s="9"/>
      <c r="R223" s="9"/>
      <c r="S223" s="9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</row>
    <row r="224" spans="2:57" ht="13.5" customHeight="1" x14ac:dyDescent="0.2">
      <c r="B224" s="49"/>
      <c r="C224" s="55" t="s">
        <v>83</v>
      </c>
      <c r="D224" s="52">
        <f>SUM(AR8:AR34)</f>
        <v>748636167</v>
      </c>
      <c r="E224" s="52">
        <f>SUM(CI8:CI34)</f>
        <v>728529485</v>
      </c>
      <c r="F224" s="56">
        <f t="shared" si="37"/>
        <v>-2.68</v>
      </c>
      <c r="G224" s="1"/>
      <c r="H224" s="49"/>
      <c r="I224" s="55" t="s">
        <v>83</v>
      </c>
      <c r="J224" s="52">
        <f>SUM(AR47:AR73)</f>
        <v>10161622</v>
      </c>
      <c r="K224" s="52">
        <f>SUM(CI47:CI73)</f>
        <v>10536274</v>
      </c>
      <c r="L224" s="56">
        <f>TRUNC(((K224/J224)-1)*100,2)</f>
        <v>3.68</v>
      </c>
      <c r="M224" s="9"/>
      <c r="N224" s="9"/>
      <c r="O224" s="9"/>
      <c r="P224" s="9"/>
      <c r="Q224" s="9"/>
      <c r="R224" s="9"/>
      <c r="S224" s="9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</row>
    <row r="225" spans="2:57" ht="13.5" customHeight="1" x14ac:dyDescent="0.2">
      <c r="M225" s="9"/>
      <c r="N225" s="9"/>
      <c r="O225" s="9"/>
      <c r="P225" s="9"/>
      <c r="Q225" s="9"/>
      <c r="R225" s="9"/>
      <c r="S225" s="9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</row>
    <row r="226" spans="2:57" ht="13.5" customHeight="1" x14ac:dyDescent="0.2"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</row>
    <row r="227" spans="2:57" ht="13.5" customHeight="1" x14ac:dyDescent="0.2">
      <c r="C227" s="127" t="s">
        <v>102</v>
      </c>
      <c r="D227" s="127"/>
      <c r="E227" s="127"/>
      <c r="F227" s="127"/>
      <c r="G227" s="127"/>
      <c r="H227" s="127"/>
      <c r="I227" s="127"/>
      <c r="J227" s="127"/>
      <c r="K227" s="127"/>
      <c r="N227" s="9"/>
      <c r="O227" s="9"/>
      <c r="P227" s="9"/>
      <c r="Q227" s="9"/>
      <c r="R227" s="9"/>
      <c r="S227" s="9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</row>
    <row r="228" spans="2:57" ht="13.5" customHeight="1" x14ac:dyDescent="0.2">
      <c r="N228" s="9"/>
      <c r="O228" s="9"/>
      <c r="P228" s="9"/>
      <c r="Q228" s="9"/>
      <c r="R228" s="9"/>
      <c r="S228" s="9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</row>
    <row r="229" spans="2:57" ht="13.5" customHeight="1" x14ac:dyDescent="0.2">
      <c r="B229" s="6" t="s">
        <v>88</v>
      </c>
      <c r="C229" s="242" t="s">
        <v>41</v>
      </c>
      <c r="D229" s="243"/>
      <c r="E229" s="244"/>
      <c r="F229" s="6" t="s">
        <v>89</v>
      </c>
      <c r="G229" s="9"/>
      <c r="H229" s="6" t="s">
        <v>88</v>
      </c>
      <c r="I229" s="239" t="s">
        <v>5</v>
      </c>
      <c r="J229" s="240"/>
      <c r="K229" s="241"/>
      <c r="L229" s="6" t="s">
        <v>89</v>
      </c>
      <c r="N229" s="9"/>
      <c r="O229" s="9"/>
      <c r="P229" s="9"/>
      <c r="Q229" s="9"/>
      <c r="R229" s="9"/>
      <c r="S229" s="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</row>
    <row r="230" spans="2:57" ht="13.5" customHeight="1" x14ac:dyDescent="0.2">
      <c r="B230" s="6" t="s">
        <v>4</v>
      </c>
      <c r="C230" s="260" t="s">
        <v>91</v>
      </c>
      <c r="D230" s="261"/>
      <c r="E230" s="262"/>
      <c r="F230" s="6" t="s">
        <v>90</v>
      </c>
      <c r="G230" s="9"/>
      <c r="H230" s="6" t="s">
        <v>4</v>
      </c>
      <c r="I230" s="263" t="str">
        <f>C230</f>
        <v>Produto: Abacaxi</v>
      </c>
      <c r="J230" s="264"/>
      <c r="K230" s="265"/>
      <c r="L230" s="6" t="s">
        <v>90</v>
      </c>
      <c r="N230" s="9"/>
      <c r="O230" s="9"/>
      <c r="P230" s="9"/>
      <c r="Q230" s="9"/>
      <c r="R230" s="9"/>
      <c r="S230" s="9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</row>
    <row r="231" spans="2:57" ht="13.5" customHeight="1" x14ac:dyDescent="0.2">
      <c r="B231" s="128">
        <f>SUMIF(C233:C259,"Goiás",B233:B259)</f>
        <v>10</v>
      </c>
      <c r="C231" s="237" t="s">
        <v>14</v>
      </c>
      <c r="D231" s="237" t="str">
        <f>D564</f>
        <v>Safra 2015 (dezembro)</v>
      </c>
      <c r="E231" s="245" t="str">
        <f>E564</f>
        <v>Safra 2016 (dezembro)</v>
      </c>
      <c r="F231" s="129">
        <f>COUNTIF(E233:E259,"&gt;0")</f>
        <v>26</v>
      </c>
      <c r="G231" s="9"/>
      <c r="H231" s="128">
        <f>SUMIF(I233:I259,"Goiás",H233:H259)</f>
        <v>10</v>
      </c>
      <c r="I231" s="237" t="s">
        <v>14</v>
      </c>
      <c r="J231" s="237" t="str">
        <f>D231</f>
        <v>Safra 2015 (dezembro)</v>
      </c>
      <c r="K231" s="245" t="str">
        <f>E231</f>
        <v>Safra 2016 (dezembro)</v>
      </c>
      <c r="L231" s="129">
        <f>COUNTIF(K233:K259,"&gt;0")</f>
        <v>26</v>
      </c>
      <c r="N231" s="4"/>
      <c r="O231" s="9"/>
      <c r="P231" s="9"/>
      <c r="Q231" s="9"/>
      <c r="R231" s="9"/>
      <c r="S231" s="9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</row>
    <row r="232" spans="2:57" ht="13.5" customHeight="1" x14ac:dyDescent="0.2">
      <c r="B232" s="6" t="s">
        <v>67</v>
      </c>
      <c r="C232" s="238"/>
      <c r="D232" s="238"/>
      <c r="E232" s="246"/>
      <c r="F232" s="37" t="s">
        <v>66</v>
      </c>
      <c r="G232" s="9"/>
      <c r="H232" s="37" t="s">
        <v>67</v>
      </c>
      <c r="I232" s="238"/>
      <c r="J232" s="238"/>
      <c r="K232" s="246"/>
      <c r="L232" s="37" t="s">
        <v>66</v>
      </c>
      <c r="N232" s="4"/>
      <c r="O232" s="9"/>
      <c r="P232" s="9"/>
      <c r="Q232" s="9"/>
      <c r="R232" s="9"/>
      <c r="S232" s="9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</row>
    <row r="233" spans="2:57" ht="13.5" customHeight="1" x14ac:dyDescent="0.2">
      <c r="B233" s="10">
        <v>1</v>
      </c>
      <c r="C233" s="34" t="s">
        <v>19</v>
      </c>
      <c r="D233" s="35">
        <f>SUMIF($O$8:$O$34,C233,$AI$8:$AI$34)</f>
        <v>372686</v>
      </c>
      <c r="E233" s="38">
        <f>SUMIF($O$8:$O$34,C233,$BZ$8:$BZ$34)</f>
        <v>399282</v>
      </c>
      <c r="F233" s="156">
        <f t="shared" ref="F233:F248" si="38">IF(E233=0,0,TRUNC(((E233/D233)-1)*100,2))</f>
        <v>7.13</v>
      </c>
      <c r="G233" s="9"/>
      <c r="H233" s="44">
        <v>1</v>
      </c>
      <c r="I233" s="34" t="s">
        <v>19</v>
      </c>
      <c r="J233" s="35">
        <f>SUMIF($O$47:$O$73,I233,$AI$47:$AI$73)</f>
        <v>11958</v>
      </c>
      <c r="K233" s="38">
        <f>SUMIF($O$47:$O$73,I233,$BZ$47:$BZ$73)</f>
        <v>24083</v>
      </c>
      <c r="L233" s="156">
        <f t="shared" ref="L233:L248" si="39">IF(K233=0,0,TRUNC(((K233/J233)-1)*100,2))</f>
        <v>101.39</v>
      </c>
      <c r="N233" s="50"/>
      <c r="O233" s="51"/>
      <c r="P233" s="9"/>
      <c r="Q233" s="9"/>
      <c r="R233" s="9"/>
      <c r="S233" s="9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</row>
    <row r="234" spans="2:57" ht="13.5" customHeight="1" x14ac:dyDescent="0.2">
      <c r="B234" s="10">
        <v>2</v>
      </c>
      <c r="C234" s="34" t="s">
        <v>26</v>
      </c>
      <c r="D234" s="35">
        <f>SUMIF($O$8:$O$34,C234,$AI$8:$AI$34)</f>
        <v>290772</v>
      </c>
      <c r="E234" s="38">
        <f>SUMIF($O$8:$O$34,C234,$BZ$8:$BZ$34)</f>
        <v>283362</v>
      </c>
      <c r="F234" s="156">
        <f t="shared" si="38"/>
        <v>-2.54</v>
      </c>
      <c r="G234" s="9"/>
      <c r="H234" s="44">
        <v>2</v>
      </c>
      <c r="I234" s="34" t="s">
        <v>26</v>
      </c>
      <c r="J234" s="35">
        <f>SUMIF($O$47:$O$73,I234,$AI$47:$AI$73)</f>
        <v>9697</v>
      </c>
      <c r="K234" s="38">
        <f>SUMIF($O$47:$O$73,I234,$BZ$47:$BZ$73)</f>
        <v>13973</v>
      </c>
      <c r="L234" s="156">
        <f t="shared" si="39"/>
        <v>44.09</v>
      </c>
      <c r="N234" s="50"/>
      <c r="O234" s="51"/>
      <c r="P234" s="9"/>
      <c r="Q234" s="9"/>
      <c r="R234" s="9"/>
      <c r="S234" s="9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</row>
    <row r="235" spans="2:57" ht="13.5" customHeight="1" x14ac:dyDescent="0.2">
      <c r="B235" s="10">
        <v>3</v>
      </c>
      <c r="C235" s="34" t="s">
        <v>31</v>
      </c>
      <c r="D235" s="35">
        <f>SUMIF($O$8:$O$34,C235,$AI$8:$AI$34)</f>
        <v>263133</v>
      </c>
      <c r="E235" s="38">
        <f>SUMIF($O$8:$O$34,C235,$BZ$8:$BZ$34)</f>
        <v>251429</v>
      </c>
      <c r="F235" s="156">
        <f t="shared" si="38"/>
        <v>-4.4400000000000004</v>
      </c>
      <c r="G235" s="9"/>
      <c r="H235" s="44">
        <v>3</v>
      </c>
      <c r="I235" s="34" t="s">
        <v>31</v>
      </c>
      <c r="J235" s="35">
        <f>SUMIF($O$47:$O$73,I235,$AI$47:$AI$73)</f>
        <v>8575</v>
      </c>
      <c r="K235" s="38">
        <f>SUMIF($O$47:$O$73,I235,$BZ$47:$BZ$73)</f>
        <v>13169</v>
      </c>
      <c r="L235" s="156">
        <f t="shared" si="39"/>
        <v>53.57</v>
      </c>
      <c r="N235" s="50"/>
      <c r="O235" s="51"/>
      <c r="P235" s="9"/>
      <c r="Q235" s="9"/>
      <c r="R235" s="9"/>
      <c r="S235" s="9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</row>
    <row r="236" spans="2:57" ht="13.5" customHeight="1" x14ac:dyDescent="0.2">
      <c r="B236" s="10">
        <v>4</v>
      </c>
      <c r="C236" s="34" t="s">
        <v>30</v>
      </c>
      <c r="D236" s="35">
        <f>SUMIF($O$8:$O$34,C236,$AI$8:$AI$34)</f>
        <v>144827</v>
      </c>
      <c r="E236" s="38">
        <f>SUMIF($O$8:$O$34,C236,$BZ$8:$BZ$34)</f>
        <v>129600</v>
      </c>
      <c r="F236" s="156">
        <f t="shared" si="38"/>
        <v>-10.51</v>
      </c>
      <c r="G236" s="9"/>
      <c r="H236" s="44">
        <v>4</v>
      </c>
      <c r="I236" s="34" t="s">
        <v>30</v>
      </c>
      <c r="J236" s="35">
        <f>SUMIF($O$47:$O$73,I236,$AI$47:$AI$73)</f>
        <v>5800</v>
      </c>
      <c r="K236" s="38">
        <f>SUMIF($O$47:$O$73,I236,$BZ$47:$BZ$73)</f>
        <v>7700</v>
      </c>
      <c r="L236" s="156">
        <f t="shared" si="39"/>
        <v>32.75</v>
      </c>
      <c r="N236" s="50"/>
      <c r="O236" s="51"/>
      <c r="P236" s="9"/>
      <c r="Q236" s="9"/>
      <c r="R236" s="9"/>
      <c r="S236" s="9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</row>
    <row r="237" spans="2:57" ht="13.5" customHeight="1" x14ac:dyDescent="0.2">
      <c r="B237" s="10">
        <v>5</v>
      </c>
      <c r="C237" s="34" t="s">
        <v>34</v>
      </c>
      <c r="D237" s="35">
        <f>SUMIF($O$8:$O$34,C237,$AI$8:$AI$34)</f>
        <v>96719</v>
      </c>
      <c r="E237" s="38">
        <f>SUMIF($O$8:$O$34,C237,$BZ$8:$BZ$34)</f>
        <v>96129</v>
      </c>
      <c r="F237" s="156">
        <f t="shared" si="38"/>
        <v>-0.61</v>
      </c>
      <c r="G237" s="9"/>
      <c r="H237" s="44">
        <v>5</v>
      </c>
      <c r="I237" s="34" t="s">
        <v>34</v>
      </c>
      <c r="J237" s="35">
        <f>SUMIF($O$47:$O$73,I237,$AI$47:$AI$73)</f>
        <v>3657</v>
      </c>
      <c r="K237" s="38">
        <f>SUMIF($O$47:$O$73,I237,$BZ$47:$BZ$73)</f>
        <v>5520</v>
      </c>
      <c r="L237" s="156">
        <f t="shared" si="39"/>
        <v>50.94</v>
      </c>
      <c r="N237" s="50"/>
      <c r="O237" s="51"/>
      <c r="P237" s="9"/>
      <c r="Q237" s="9"/>
      <c r="R237" s="9"/>
      <c r="S237" s="9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</row>
    <row r="238" spans="2:57" ht="13.5" customHeight="1" x14ac:dyDescent="0.2">
      <c r="B238" s="10">
        <v>6</v>
      </c>
      <c r="C238" s="34" t="s">
        <v>33</v>
      </c>
      <c r="D238" s="35">
        <f>SUMIF($O$8:$O$34,C238,$AI$8:$AI$34)</f>
        <v>93240</v>
      </c>
      <c r="E238" s="38">
        <f>SUMIF($O$8:$O$34,C238,$BZ$8:$BZ$34)</f>
        <v>92765</v>
      </c>
      <c r="F238" s="156">
        <f t="shared" si="38"/>
        <v>-0.5</v>
      </c>
      <c r="G238" s="9"/>
      <c r="H238" s="44">
        <v>6</v>
      </c>
      <c r="I238" s="34" t="s">
        <v>21</v>
      </c>
      <c r="J238" s="35">
        <f>SUMIF($O$47:$O$73,I238,$AI$47:$AI$73)</f>
        <v>2816</v>
      </c>
      <c r="K238" s="38">
        <f>SUMIF($O$47:$O$73,I238,$BZ$47:$BZ$73)</f>
        <v>4682</v>
      </c>
      <c r="L238" s="156">
        <f t="shared" si="39"/>
        <v>66.260000000000005</v>
      </c>
      <c r="N238" s="50"/>
      <c r="O238" s="51"/>
      <c r="P238" s="9"/>
      <c r="Q238" s="9"/>
      <c r="R238" s="9"/>
      <c r="S238" s="9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</row>
    <row r="239" spans="2:57" ht="13.5" customHeight="1" x14ac:dyDescent="0.2">
      <c r="B239" s="10">
        <v>7</v>
      </c>
      <c r="C239" s="34" t="s">
        <v>17</v>
      </c>
      <c r="D239" s="35">
        <f>SUMIF($O$8:$O$34,C239,$AI$8:$AI$34)</f>
        <v>69090</v>
      </c>
      <c r="E239" s="38">
        <f>SUMIF($O$8:$O$34,C239,$BZ$8:$BZ$34)</f>
        <v>83574</v>
      </c>
      <c r="F239" s="156">
        <f t="shared" si="38"/>
        <v>20.96</v>
      </c>
      <c r="G239" s="9"/>
      <c r="H239" s="44">
        <v>7</v>
      </c>
      <c r="I239" s="34" t="s">
        <v>32</v>
      </c>
      <c r="J239" s="35">
        <f>SUMIF($O$47:$O$73,I239,$AI$47:$AI$73)</f>
        <v>2448</v>
      </c>
      <c r="K239" s="38">
        <f>SUMIF($O$47:$O$73,I239,$BZ$47:$BZ$73)</f>
        <v>4619</v>
      </c>
      <c r="L239" s="156">
        <f t="shared" si="39"/>
        <v>88.68</v>
      </c>
      <c r="N239" s="50"/>
      <c r="O239" s="51"/>
      <c r="P239" s="9"/>
      <c r="Q239" s="9"/>
      <c r="R239" s="9"/>
      <c r="S239" s="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</row>
    <row r="240" spans="2:57" ht="13.5" customHeight="1" x14ac:dyDescent="0.2">
      <c r="B240" s="10">
        <v>8</v>
      </c>
      <c r="C240" s="34" t="s">
        <v>21</v>
      </c>
      <c r="D240" s="35">
        <f>SUMIF($O$8:$O$34,C240,$AI$8:$AI$34)</f>
        <v>56850</v>
      </c>
      <c r="E240" s="38">
        <f>SUMIF($O$8:$O$34,C240,$BZ$8:$BZ$34)</f>
        <v>64674</v>
      </c>
      <c r="F240" s="156">
        <f t="shared" si="38"/>
        <v>13.76</v>
      </c>
      <c r="G240" s="9"/>
      <c r="H240" s="44">
        <v>8</v>
      </c>
      <c r="I240" s="34" t="s">
        <v>17</v>
      </c>
      <c r="J240" s="35">
        <f>SUMIF($O$47:$O$73,I240,$AI$47:$AI$73)</f>
        <v>3810</v>
      </c>
      <c r="K240" s="38">
        <f>SUMIF($O$47:$O$73,I240,$BZ$47:$BZ$73)</f>
        <v>4134</v>
      </c>
      <c r="L240" s="156">
        <f t="shared" si="39"/>
        <v>8.5</v>
      </c>
      <c r="N240" s="50"/>
      <c r="O240" s="51"/>
      <c r="P240" s="9"/>
      <c r="Q240" s="9"/>
      <c r="R240" s="9"/>
      <c r="S240" s="9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</row>
    <row r="241" spans="2:57" ht="13.5" customHeight="1" x14ac:dyDescent="0.2">
      <c r="B241" s="10">
        <v>9</v>
      </c>
      <c r="C241" s="34" t="s">
        <v>25</v>
      </c>
      <c r="D241" s="35">
        <f>SUMIF($O$8:$O$34,C241,$AI$8:$AI$34)</f>
        <v>72453</v>
      </c>
      <c r="E241" s="38">
        <f>SUMIF($O$8:$O$34,C241,$BZ$8:$BZ$34)</f>
        <v>63097</v>
      </c>
      <c r="F241" s="156">
        <f t="shared" si="38"/>
        <v>-12.91</v>
      </c>
      <c r="G241" s="9"/>
      <c r="H241" s="44">
        <v>9</v>
      </c>
      <c r="I241" s="34" t="s">
        <v>33</v>
      </c>
      <c r="J241" s="35">
        <f>SUMIF($O$47:$O$73,I241,$AI$47:$AI$73)</f>
        <v>3614</v>
      </c>
      <c r="K241" s="38">
        <f>SUMIF($O$47:$O$73,I241,$BZ$47:$BZ$73)</f>
        <v>3627</v>
      </c>
      <c r="L241" s="156">
        <f t="shared" si="39"/>
        <v>0.35</v>
      </c>
      <c r="N241" s="50"/>
      <c r="O241" s="51"/>
      <c r="P241" s="9"/>
      <c r="Q241" s="9"/>
      <c r="R241" s="9"/>
      <c r="S241" s="9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</row>
    <row r="242" spans="2:57" ht="13.5" customHeight="1" x14ac:dyDescent="0.2">
      <c r="B242" s="10">
        <v>10</v>
      </c>
      <c r="C242" s="34" t="s">
        <v>4</v>
      </c>
      <c r="D242" s="35">
        <f>SUMIF($O$8:$O$34,C242,$AI$8:$AI$34)</f>
        <v>62914</v>
      </c>
      <c r="E242" s="38">
        <f>SUMIF($O$8:$O$34,C242,$BZ$8:$BZ$34)</f>
        <v>62850</v>
      </c>
      <c r="F242" s="156">
        <f t="shared" si="38"/>
        <v>-0.1</v>
      </c>
      <c r="G242" s="9"/>
      <c r="H242" s="44">
        <v>10</v>
      </c>
      <c r="I242" s="34" t="s">
        <v>4</v>
      </c>
      <c r="J242" s="35">
        <f>SUMIF($O$47:$O$73,I242,$AI$47:$AI$73)</f>
        <v>2850</v>
      </c>
      <c r="K242" s="38">
        <f>SUMIF($O$47:$O$73,I242,$BZ$47:$BZ$73)</f>
        <v>3387</v>
      </c>
      <c r="L242" s="156">
        <f t="shared" si="39"/>
        <v>18.84</v>
      </c>
      <c r="N242" s="50"/>
      <c r="O242" s="51"/>
      <c r="P242" s="9"/>
      <c r="Q242" s="9"/>
      <c r="R242" s="9"/>
      <c r="S242" s="9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</row>
    <row r="243" spans="2:57" ht="13.5" customHeight="1" x14ac:dyDescent="0.2">
      <c r="B243" s="10">
        <v>11</v>
      </c>
      <c r="C243" s="34" t="s">
        <v>32</v>
      </c>
      <c r="D243" s="35">
        <f>SUMIF($O$8:$O$34,C243,$AI$8:$AI$34)</f>
        <v>41261</v>
      </c>
      <c r="E243" s="38">
        <f>SUMIF($O$8:$O$34,C243,$BZ$8:$BZ$34)</f>
        <v>46326</v>
      </c>
      <c r="F243" s="156">
        <f t="shared" si="38"/>
        <v>12.27</v>
      </c>
      <c r="G243" s="51"/>
      <c r="H243" s="44">
        <v>11</v>
      </c>
      <c r="I243" s="34" t="s">
        <v>22</v>
      </c>
      <c r="J243" s="35">
        <f>SUMIF($O$47:$O$73,I243,$AI$47:$AI$73)</f>
        <v>1809</v>
      </c>
      <c r="K243" s="38">
        <f>SUMIF($O$47:$O$73,I243,$BZ$47:$BZ$73)</f>
        <v>2963</v>
      </c>
      <c r="L243" s="156">
        <f t="shared" si="39"/>
        <v>63.79</v>
      </c>
      <c r="N243" s="50"/>
      <c r="O243" s="51"/>
      <c r="P243" s="9"/>
      <c r="Q243" s="9"/>
      <c r="R243" s="9"/>
      <c r="S243" s="9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</row>
    <row r="244" spans="2:57" ht="13.5" customHeight="1" x14ac:dyDescent="0.2">
      <c r="B244" s="10">
        <v>12</v>
      </c>
      <c r="C244" s="34" t="s">
        <v>28</v>
      </c>
      <c r="D244" s="35">
        <f>SUMIF($O$8:$O$34,C244,$AI$8:$AI$34)</f>
        <v>63219</v>
      </c>
      <c r="E244" s="38">
        <f>SUMIF($O$8:$O$34,C244,$BZ$8:$BZ$34)</f>
        <v>37298</v>
      </c>
      <c r="F244" s="156">
        <f t="shared" si="38"/>
        <v>-41</v>
      </c>
      <c r="G244" s="9"/>
      <c r="H244" s="44">
        <v>12</v>
      </c>
      <c r="I244" s="34" t="s">
        <v>28</v>
      </c>
      <c r="J244" s="35">
        <f>SUMIF($O$47:$O$73,I244,$AI$47:$AI$73)</f>
        <v>2693</v>
      </c>
      <c r="K244" s="38">
        <f>SUMIF($O$47:$O$73,I244,$BZ$47:$BZ$73)</f>
        <v>2630</v>
      </c>
      <c r="L244" s="156">
        <f t="shared" si="39"/>
        <v>-2.33</v>
      </c>
      <c r="N244" s="50"/>
      <c r="O244" s="51"/>
      <c r="P244" s="9"/>
      <c r="Q244" s="9"/>
      <c r="R244" s="9"/>
      <c r="S244" s="9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</row>
    <row r="245" spans="2:57" ht="13.5" customHeight="1" x14ac:dyDescent="0.2">
      <c r="B245" s="10">
        <v>13</v>
      </c>
      <c r="C245" s="34" t="s">
        <v>39</v>
      </c>
      <c r="D245" s="35">
        <f>SUMIF($O$8:$O$34,C245,$AI$8:$AI$34)</f>
        <v>36643</v>
      </c>
      <c r="E245" s="38">
        <f>SUMIF($O$8:$O$34,C245,$BZ$8:$BZ$34)</f>
        <v>31257</v>
      </c>
      <c r="F245" s="156">
        <f t="shared" si="38"/>
        <v>-14.69</v>
      </c>
      <c r="G245" s="9"/>
      <c r="H245" s="44">
        <v>13</v>
      </c>
      <c r="I245" s="34" t="s">
        <v>25</v>
      </c>
      <c r="J245" s="35">
        <f>SUMIF($O$47:$O$73,I245,$AI$47:$AI$73)</f>
        <v>2637</v>
      </c>
      <c r="K245" s="38">
        <f>SUMIF($O$47:$O$73,I245,$BZ$47:$BZ$73)</f>
        <v>2434</v>
      </c>
      <c r="L245" s="156">
        <f t="shared" si="39"/>
        <v>-7.69</v>
      </c>
      <c r="N245" s="50"/>
      <c r="O245" s="51"/>
      <c r="P245" s="9"/>
      <c r="Q245" s="9"/>
      <c r="R245" s="9"/>
      <c r="S245" s="9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</row>
    <row r="246" spans="2:57" ht="13.5" customHeight="1" x14ac:dyDescent="0.2">
      <c r="B246" s="10">
        <v>14</v>
      </c>
      <c r="C246" s="34" t="s">
        <v>22</v>
      </c>
      <c r="D246" s="35">
        <f>SUMIF($O$8:$O$34,C246,$AI$8:$AI$34)</f>
        <v>40573</v>
      </c>
      <c r="E246" s="38">
        <f>SUMIF($O$8:$O$34,C246,$BZ$8:$BZ$34)</f>
        <v>20704</v>
      </c>
      <c r="F246" s="156">
        <f t="shared" si="38"/>
        <v>-48.97</v>
      </c>
      <c r="G246" s="9"/>
      <c r="H246" s="44">
        <v>14</v>
      </c>
      <c r="I246" s="34" t="s">
        <v>20</v>
      </c>
      <c r="J246" s="35">
        <f>SUMIF($O$47:$O$73,I246,$AI$47:$AI$73)</f>
        <v>1175</v>
      </c>
      <c r="K246" s="38">
        <f>SUMIF($O$47:$O$73,I246,$BZ$47:$BZ$73)</f>
        <v>2414</v>
      </c>
      <c r="L246" s="156">
        <f t="shared" si="39"/>
        <v>105.44</v>
      </c>
      <c r="N246" s="50"/>
      <c r="O246" s="51"/>
      <c r="P246" s="9"/>
      <c r="Q246" s="9"/>
      <c r="R246" s="9"/>
      <c r="S246" s="9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</row>
    <row r="247" spans="2:57" ht="13.5" customHeight="1" x14ac:dyDescent="0.2">
      <c r="B247" s="10">
        <v>15</v>
      </c>
      <c r="C247" s="34" t="s">
        <v>15</v>
      </c>
      <c r="D247" s="35">
        <f>SUMIF($O$8:$O$34,C247,$AI$8:$AI$34)</f>
        <v>17378</v>
      </c>
      <c r="E247" s="38">
        <f>SUMIF($O$8:$O$34,C247,$BZ$8:$BZ$34)</f>
        <v>17378</v>
      </c>
      <c r="F247" s="156">
        <f t="shared" si="38"/>
        <v>0</v>
      </c>
      <c r="G247" s="9"/>
      <c r="H247" s="44">
        <v>15</v>
      </c>
      <c r="I247" s="34" t="s">
        <v>39</v>
      </c>
      <c r="J247" s="35">
        <f>SUMIF($O$47:$O$73,I247,$AI$47:$AI$73)</f>
        <v>1638</v>
      </c>
      <c r="K247" s="38">
        <f>SUMIF($O$47:$O$73,I247,$BZ$47:$BZ$73)</f>
        <v>1582</v>
      </c>
      <c r="L247" s="156">
        <f t="shared" si="39"/>
        <v>-3.41</v>
      </c>
      <c r="N247" s="50"/>
      <c r="O247" s="51"/>
      <c r="P247" s="9"/>
      <c r="Q247" s="9"/>
      <c r="R247" s="9"/>
      <c r="S247" s="9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</row>
    <row r="248" spans="2:57" ht="13.5" customHeight="1" x14ac:dyDescent="0.2">
      <c r="B248" s="10">
        <v>16</v>
      </c>
      <c r="C248" s="34" t="s">
        <v>29</v>
      </c>
      <c r="D248" s="35">
        <f>SUMIF($O$8:$O$34,C248,$AI$8:$AI$34)</f>
        <v>18531</v>
      </c>
      <c r="E248" s="38">
        <f>SUMIF($O$8:$O$34,C248,$BZ$8:$BZ$34)</f>
        <v>16974</v>
      </c>
      <c r="F248" s="156">
        <f t="shared" si="38"/>
        <v>-8.4</v>
      </c>
      <c r="G248" s="9"/>
      <c r="H248" s="44">
        <v>16</v>
      </c>
      <c r="I248" s="34" t="s">
        <v>29</v>
      </c>
      <c r="J248" s="35">
        <f>SUMIF($O$47:$O$73,I248,$AI$47:$AI$73)</f>
        <v>765</v>
      </c>
      <c r="K248" s="38">
        <f>SUMIF($O$47:$O$73,I248,$BZ$47:$BZ$73)</f>
        <v>1387</v>
      </c>
      <c r="L248" s="156">
        <f t="shared" si="39"/>
        <v>81.3</v>
      </c>
      <c r="N248" s="50"/>
      <c r="O248" s="51"/>
      <c r="P248" s="9"/>
      <c r="Q248" s="9"/>
      <c r="R248" s="9"/>
      <c r="S248" s="9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</row>
    <row r="249" spans="2:57" ht="13.5" customHeight="1" x14ac:dyDescent="0.2">
      <c r="B249" s="10">
        <v>17</v>
      </c>
      <c r="C249" s="34" t="s">
        <v>27</v>
      </c>
      <c r="D249" s="35">
        <f>SUMIF($O$8:$O$34,C249,$AI$8:$AI$34)</f>
        <v>16129</v>
      </c>
      <c r="E249" s="38">
        <f>SUMIF($O$8:$O$34,C249,$BZ$8:$BZ$34)</f>
        <v>12844</v>
      </c>
      <c r="F249" s="156">
        <f>IF(E249=0,0,TRUNC(((E249/D249)-1)*100,2))</f>
        <v>-20.36</v>
      </c>
      <c r="G249" s="9"/>
      <c r="H249" s="44">
        <v>17</v>
      </c>
      <c r="I249" s="34" t="s">
        <v>27</v>
      </c>
      <c r="J249" s="35">
        <f>SUMIF($O$47:$O$73,I249,$AI$47:$AI$73)</f>
        <v>839</v>
      </c>
      <c r="K249" s="38">
        <f>SUMIF($O$47:$O$73,I249,$BZ$47:$BZ$73)</f>
        <v>1094</v>
      </c>
      <c r="L249" s="156">
        <f>IF(K249=0,0,TRUNC(((K249/J249)-1)*100,2))</f>
        <v>30.39</v>
      </c>
      <c r="N249" s="50"/>
      <c r="O249" s="51"/>
      <c r="P249" s="9"/>
      <c r="Q249" s="9"/>
      <c r="R249" s="9"/>
      <c r="S249" s="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</row>
    <row r="250" spans="2:57" ht="13.5" customHeight="1" x14ac:dyDescent="0.2">
      <c r="B250" s="10">
        <v>18</v>
      </c>
      <c r="C250" s="34" t="s">
        <v>35</v>
      </c>
      <c r="D250" s="35">
        <f>SUMIF($O$8:$O$34,C250,$AI$8:$AI$34)</f>
        <v>11344</v>
      </c>
      <c r="E250" s="38">
        <f>SUMIF($O$8:$O$34,C250,$BZ$8:$BZ$34)</f>
        <v>11344</v>
      </c>
      <c r="F250" s="156">
        <f t="shared" ref="F250:F259" si="40">IF(E250=0,0,TRUNC(((E250/D250)-1)*100,2))</f>
        <v>0</v>
      </c>
      <c r="G250" s="9"/>
      <c r="H250" s="44">
        <v>18</v>
      </c>
      <c r="I250" s="34" t="s">
        <v>15</v>
      </c>
      <c r="J250" s="35">
        <f>SUMIF($O$47:$O$73,I250,$AI$47:$AI$73)</f>
        <v>883</v>
      </c>
      <c r="K250" s="38">
        <f>SUMIF($O$47:$O$73,I250,$BZ$47:$BZ$73)</f>
        <v>883</v>
      </c>
      <c r="L250" s="156">
        <f t="shared" ref="L250:L259" si="41">IF(K250=0,0,TRUNC(((K250/J250)-1)*100,2))</f>
        <v>0</v>
      </c>
      <c r="N250" s="50"/>
      <c r="O250" s="51"/>
      <c r="P250" s="9"/>
      <c r="Q250" s="9"/>
      <c r="R250" s="9"/>
      <c r="S250" s="9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</row>
    <row r="251" spans="2:57" ht="13.5" customHeight="1" x14ac:dyDescent="0.2">
      <c r="B251" s="10">
        <v>19</v>
      </c>
      <c r="C251" s="34" t="s">
        <v>20</v>
      </c>
      <c r="D251" s="35">
        <f>SUMIF($O$8:$O$34,C251,$AI$8:$AI$34)</f>
        <v>8107</v>
      </c>
      <c r="E251" s="38">
        <f>SUMIF($O$8:$O$34,C251,$BZ$8:$BZ$34)</f>
        <v>9118</v>
      </c>
      <c r="F251" s="156">
        <f t="shared" si="40"/>
        <v>12.47</v>
      </c>
      <c r="G251" s="9"/>
      <c r="H251" s="44">
        <v>19</v>
      </c>
      <c r="I251" s="34" t="s">
        <v>16</v>
      </c>
      <c r="J251" s="35">
        <f>SUMIF($O$47:$O$73,I251,$AI$47:$AI$73)</f>
        <v>531</v>
      </c>
      <c r="K251" s="38">
        <f>SUMIF($O$47:$O$73,I251,$BZ$47:$BZ$73)</f>
        <v>679</v>
      </c>
      <c r="L251" s="156">
        <f t="shared" si="41"/>
        <v>27.87</v>
      </c>
      <c r="N251" s="50"/>
      <c r="O251" s="51"/>
      <c r="P251" s="9"/>
      <c r="Q251" s="9"/>
      <c r="R251" s="9"/>
      <c r="S251" s="9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</row>
    <row r="252" spans="2:57" ht="13.5" customHeight="1" x14ac:dyDescent="0.2">
      <c r="B252" s="10">
        <v>20</v>
      </c>
      <c r="C252" s="34" t="s">
        <v>16</v>
      </c>
      <c r="D252" s="35">
        <f>SUMIF($O$8:$O$34,C252,$AI$8:$AI$34)</f>
        <v>7700</v>
      </c>
      <c r="E252" s="38">
        <f>SUMIF($O$8:$O$34,C252,$BZ$8:$BZ$34)</f>
        <v>8939</v>
      </c>
      <c r="F252" s="156">
        <f t="shared" si="40"/>
        <v>16.09</v>
      </c>
      <c r="G252" s="9"/>
      <c r="H252" s="44">
        <v>20</v>
      </c>
      <c r="I252" s="34" t="s">
        <v>37</v>
      </c>
      <c r="J252" s="35">
        <f>SUMIF($O$47:$O$73,I252,$AI$47:$AI$73)</f>
        <v>311</v>
      </c>
      <c r="K252" s="38">
        <f>SUMIF($O$47:$O$73,I252,$BZ$47:$BZ$73)</f>
        <v>494</v>
      </c>
      <c r="L252" s="156">
        <f t="shared" si="41"/>
        <v>58.84</v>
      </c>
      <c r="N252" s="50"/>
      <c r="O252" s="51"/>
      <c r="P252" s="9"/>
      <c r="Q252" s="9"/>
      <c r="R252" s="9"/>
      <c r="S252" s="9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</row>
    <row r="253" spans="2:57" ht="13.5" customHeight="1" x14ac:dyDescent="0.2">
      <c r="B253" s="10">
        <v>21</v>
      </c>
      <c r="C253" s="34" t="s">
        <v>38</v>
      </c>
      <c r="D253" s="35">
        <f>SUMIF($O$8:$O$34,C253,$AI$8:$AI$34)</f>
        <v>5483</v>
      </c>
      <c r="E253" s="38">
        <f>SUMIF($O$8:$O$34,C253,$BZ$8:$BZ$34)</f>
        <v>5239</v>
      </c>
      <c r="F253" s="156">
        <f t="shared" si="40"/>
        <v>-4.45</v>
      </c>
      <c r="G253" s="9"/>
      <c r="H253" s="44">
        <v>21</v>
      </c>
      <c r="I253" s="34" t="s">
        <v>35</v>
      </c>
      <c r="J253" s="35">
        <f>SUMIF($O$47:$O$73,I253,$AI$47:$AI$73)</f>
        <v>430</v>
      </c>
      <c r="K253" s="38">
        <f>SUMIF($O$47:$O$73,I253,$BZ$47:$BZ$73)</f>
        <v>430</v>
      </c>
      <c r="L253" s="156">
        <f t="shared" si="41"/>
        <v>0</v>
      </c>
      <c r="N253" s="50"/>
      <c r="O253" s="51"/>
      <c r="P253" s="9"/>
      <c r="Q253" s="9"/>
      <c r="R253" s="9"/>
      <c r="S253" s="9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</row>
    <row r="254" spans="2:57" ht="13.5" customHeight="1" x14ac:dyDescent="0.2">
      <c r="B254" s="10">
        <v>22</v>
      </c>
      <c r="C254" s="34" t="s">
        <v>37</v>
      </c>
      <c r="D254" s="35">
        <f>SUMIF($O$8:$O$34,C254,$AI$8:$AI$34)</f>
        <v>5154</v>
      </c>
      <c r="E254" s="38">
        <f>SUMIF($O$8:$O$34,C254,$BZ$8:$BZ$34)</f>
        <v>4980</v>
      </c>
      <c r="F254" s="156">
        <f t="shared" si="40"/>
        <v>-3.37</v>
      </c>
      <c r="G254" s="9"/>
      <c r="H254" s="44">
        <v>22</v>
      </c>
      <c r="I254" s="34" t="s">
        <v>18</v>
      </c>
      <c r="J254" s="35">
        <f>SUMIF($O$47:$O$73,I254,$AI$47:$AI$73)</f>
        <v>229</v>
      </c>
      <c r="K254" s="38">
        <f>SUMIF($O$47:$O$73,I254,$BZ$47:$BZ$73)</f>
        <v>254</v>
      </c>
      <c r="L254" s="156">
        <f t="shared" si="41"/>
        <v>10.91</v>
      </c>
      <c r="N254" s="50"/>
      <c r="O254" s="51"/>
      <c r="P254" s="9"/>
      <c r="Q254" s="9"/>
      <c r="R254" s="9"/>
      <c r="S254" s="9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</row>
    <row r="255" spans="2:57" ht="13.5" customHeight="1" x14ac:dyDescent="0.2">
      <c r="B255" s="10">
        <v>23</v>
      </c>
      <c r="C255" s="34" t="s">
        <v>18</v>
      </c>
      <c r="D255" s="35">
        <f>SUMIF($O$8:$O$34,C255,$AI$8:$AI$34)</f>
        <v>4270</v>
      </c>
      <c r="E255" s="38">
        <f>SUMIF($O$8:$O$34,C255,$BZ$8:$BZ$34)</f>
        <v>4539</v>
      </c>
      <c r="F255" s="156">
        <f t="shared" si="40"/>
        <v>6.29</v>
      </c>
      <c r="G255" s="9"/>
      <c r="H255" s="44">
        <v>23</v>
      </c>
      <c r="I255" s="34" t="s">
        <v>38</v>
      </c>
      <c r="J255" s="35">
        <f>SUMIF($O$47:$O$73,I255,$AI$47:$AI$73)</f>
        <v>261</v>
      </c>
      <c r="K255" s="38">
        <f>SUMIF($O$47:$O$73,I255,$BZ$47:$BZ$73)</f>
        <v>240</v>
      </c>
      <c r="L255" s="156">
        <f t="shared" si="41"/>
        <v>-8.0399999999999991</v>
      </c>
      <c r="N255" s="50"/>
      <c r="O255" s="51"/>
      <c r="P255" s="9"/>
      <c r="Q255" s="9"/>
      <c r="R255" s="9"/>
      <c r="S255" s="9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</row>
    <row r="256" spans="2:57" ht="13.5" customHeight="1" x14ac:dyDescent="0.2">
      <c r="B256" s="10">
        <v>24</v>
      </c>
      <c r="C256" s="34" t="s">
        <v>24</v>
      </c>
      <c r="D256" s="35">
        <f>SUMIF($O$8:$O$34,C256,$AI$8:$AI$34)</f>
        <v>2624</v>
      </c>
      <c r="E256" s="38">
        <f>SUMIF($O$8:$O$34,C256,$BZ$8:$BZ$34)</f>
        <v>2361</v>
      </c>
      <c r="F256" s="156">
        <f t="shared" si="40"/>
        <v>-10.02</v>
      </c>
      <c r="G256" s="9"/>
      <c r="H256" s="44">
        <v>24</v>
      </c>
      <c r="I256" s="34" t="s">
        <v>24</v>
      </c>
      <c r="J256" s="35">
        <f>SUMIF($O$47:$O$73,I256,$AI$47:$AI$73)</f>
        <v>127</v>
      </c>
      <c r="K256" s="38">
        <f>SUMIF($O$47:$O$73,I256,$BZ$47:$BZ$73)</f>
        <v>87</v>
      </c>
      <c r="L256" s="156">
        <f t="shared" si="41"/>
        <v>-31.49</v>
      </c>
      <c r="N256" s="50"/>
      <c r="O256" s="51"/>
      <c r="P256" s="9"/>
      <c r="Q256" s="9"/>
      <c r="R256" s="9"/>
      <c r="S256" s="9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</row>
    <row r="257" spans="2:57" ht="13.5" customHeight="1" x14ac:dyDescent="0.2">
      <c r="B257" s="10">
        <v>25</v>
      </c>
      <c r="C257" s="34" t="s">
        <v>36</v>
      </c>
      <c r="D257" s="35">
        <f>SUMIF($O$8:$O$34,C257,$AI$8:$AI$34)</f>
        <v>199</v>
      </c>
      <c r="E257" s="38">
        <f>SUMIF($O$8:$O$34,C257,$BZ$8:$BZ$34)</f>
        <v>249</v>
      </c>
      <c r="F257" s="156">
        <f t="shared" si="40"/>
        <v>25.12</v>
      </c>
      <c r="G257" s="9"/>
      <c r="H257" s="44">
        <v>25</v>
      </c>
      <c r="I257" s="34" t="s">
        <v>36</v>
      </c>
      <c r="J257" s="35">
        <f>SUMIF($O$47:$O$73,I257,$AI$47:$AI$73)</f>
        <v>7</v>
      </c>
      <c r="K257" s="38">
        <f>SUMIF($O$47:$O$73,I257,$BZ$47:$BZ$73)</f>
        <v>9</v>
      </c>
      <c r="L257" s="156">
        <f t="shared" si="41"/>
        <v>28.57</v>
      </c>
      <c r="N257" s="50"/>
      <c r="O257" s="51"/>
      <c r="P257" s="9"/>
      <c r="Q257" s="9"/>
      <c r="R257" s="9"/>
      <c r="S257" s="9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</row>
    <row r="258" spans="2:57" ht="13.5" customHeight="1" x14ac:dyDescent="0.2">
      <c r="B258" s="10">
        <v>26</v>
      </c>
      <c r="C258" s="34" t="s">
        <v>40</v>
      </c>
      <c r="D258" s="35">
        <f>SUMIF($O$8:$O$34,C258,$AI$8:$AI$34)</f>
        <v>116</v>
      </c>
      <c r="E258" s="38">
        <f>SUMIF($O$8:$O$34,C258,$BZ$8:$BZ$34)</f>
        <v>47</v>
      </c>
      <c r="F258" s="156">
        <f t="shared" si="40"/>
        <v>-59.48</v>
      </c>
      <c r="G258" s="9"/>
      <c r="H258" s="44">
        <v>26</v>
      </c>
      <c r="I258" s="34" t="s">
        <v>40</v>
      </c>
      <c r="J258" s="35">
        <f>SUMIF($O$47:$O$73,I258,$AI$47:$AI$73)</f>
        <v>5</v>
      </c>
      <c r="K258" s="38">
        <f>SUMIF($O$47:$O$73,I258,$BZ$47:$BZ$73)</f>
        <v>2</v>
      </c>
      <c r="L258" s="156">
        <f t="shared" si="41"/>
        <v>-60</v>
      </c>
      <c r="N258" s="50"/>
      <c r="O258" s="51"/>
      <c r="P258" s="9"/>
      <c r="Q258" s="9"/>
      <c r="R258" s="9"/>
      <c r="S258" s="9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</row>
    <row r="259" spans="2:57" ht="13.5" customHeight="1" x14ac:dyDescent="0.2">
      <c r="B259" s="10">
        <v>27</v>
      </c>
      <c r="C259" s="34" t="s">
        <v>23</v>
      </c>
      <c r="D259" s="35">
        <f>SUMIF($O$8:$O$34,C259,$AI$8:$AI$34)</f>
        <v>0</v>
      </c>
      <c r="E259" s="38">
        <f>SUMIF($O$8:$O$34,C259,$BZ$8:$BZ$34)</f>
        <v>0</v>
      </c>
      <c r="F259" s="156">
        <f t="shared" si="40"/>
        <v>0</v>
      </c>
      <c r="G259" s="9"/>
      <c r="H259" s="44">
        <v>27</v>
      </c>
      <c r="I259" s="34" t="s">
        <v>23</v>
      </c>
      <c r="J259" s="35">
        <f>SUMIF($O$47:$O$73,I259,$AI$47:$AI$73)</f>
        <v>0</v>
      </c>
      <c r="K259" s="38">
        <f>SUMIF($O$47:$O$73,I259,$BZ$47:$BZ$73)</f>
        <v>0</v>
      </c>
      <c r="L259" s="156">
        <f t="shared" si="41"/>
        <v>0</v>
      </c>
      <c r="N259" s="50"/>
      <c r="O259" s="51"/>
      <c r="P259" s="9"/>
      <c r="Q259" s="9"/>
      <c r="R259" s="9"/>
      <c r="S259" s="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</row>
    <row r="260" spans="2:57" ht="13.5" customHeight="1" x14ac:dyDescent="0.2">
      <c r="B260" s="10"/>
      <c r="C260" s="34" t="s">
        <v>9</v>
      </c>
      <c r="D260" s="39">
        <f>SUM(D233:D259)</f>
        <v>1801415</v>
      </c>
      <c r="E260" s="39">
        <f>SUM(E233:E259)</f>
        <v>1756359</v>
      </c>
      <c r="F260" s="40">
        <f t="shared" ref="F260:F261" si="42">TRUNC(((E260/D260)-1)*100,2)</f>
        <v>-2.5</v>
      </c>
      <c r="G260" s="9"/>
      <c r="H260" s="44"/>
      <c r="I260" s="34" t="s">
        <v>9</v>
      </c>
      <c r="J260" s="39">
        <f>SUM(J233:J259)</f>
        <v>69565</v>
      </c>
      <c r="K260" s="39">
        <f>SUM(K233:K259)</f>
        <v>102476</v>
      </c>
      <c r="L260" s="40">
        <f>TRUNC(((K260/J260)-1)*100,2)</f>
        <v>47.3</v>
      </c>
      <c r="N260" s="50"/>
      <c r="O260" s="51"/>
      <c r="P260" s="9"/>
      <c r="Q260" s="9"/>
      <c r="R260" s="9"/>
      <c r="S260" s="9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</row>
    <row r="261" spans="2:57" ht="13.5" customHeight="1" x14ac:dyDescent="0.2">
      <c r="B261" s="49"/>
      <c r="C261" s="55" t="s">
        <v>83</v>
      </c>
      <c r="D261" s="52">
        <f>SUM(AI8:AI34)</f>
        <v>1801415</v>
      </c>
      <c r="E261" s="52">
        <f>SUM(BZ8:BZ34)</f>
        <v>1756359</v>
      </c>
      <c r="F261" s="56">
        <f t="shared" si="42"/>
        <v>-2.5</v>
      </c>
      <c r="G261" s="1"/>
      <c r="H261" s="49"/>
      <c r="I261" s="55" t="s">
        <v>83</v>
      </c>
      <c r="J261" s="52">
        <f>SUM(AI47:AI73)</f>
        <v>69565</v>
      </c>
      <c r="K261" s="52">
        <f>SUM(BZ47:BZ73)</f>
        <v>102476</v>
      </c>
      <c r="L261" s="56">
        <f>TRUNC(((K261/J261)-1)*100,2)</f>
        <v>47.3</v>
      </c>
      <c r="N261" s="9"/>
      <c r="O261" s="9"/>
      <c r="P261" s="9"/>
      <c r="Q261" s="9"/>
      <c r="R261" s="9"/>
      <c r="S261" s="9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</row>
    <row r="262" spans="2:57" ht="13.5" customHeight="1" x14ac:dyDescent="0.2">
      <c r="N262" s="9"/>
      <c r="O262" s="9"/>
      <c r="P262" s="9"/>
      <c r="Q262" s="9"/>
      <c r="R262" s="9"/>
      <c r="S262" s="9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</row>
    <row r="263" spans="2:57" ht="13.5" customHeight="1" x14ac:dyDescent="0.2">
      <c r="N263" s="9"/>
      <c r="O263" s="9"/>
      <c r="P263" s="9"/>
      <c r="Q263" s="9"/>
      <c r="R263" s="9"/>
      <c r="S263" s="9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</row>
    <row r="264" spans="2:57" ht="13.5" customHeight="1" x14ac:dyDescent="0.2">
      <c r="N264" s="9"/>
      <c r="O264" s="9"/>
      <c r="P264" s="9"/>
      <c r="Q264" s="9"/>
      <c r="R264" s="9"/>
      <c r="S264" s="9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</row>
    <row r="265" spans="2:57" ht="13.5" customHeight="1" x14ac:dyDescent="0.2">
      <c r="N265" s="9"/>
      <c r="O265" s="9"/>
      <c r="P265" s="9"/>
      <c r="Q265" s="9"/>
      <c r="R265" s="9"/>
      <c r="S265" s="9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</row>
    <row r="266" spans="2:57" ht="13.5" customHeight="1" x14ac:dyDescent="0.2">
      <c r="B266" s="6" t="s">
        <v>88</v>
      </c>
      <c r="C266" s="242" t="s">
        <v>41</v>
      </c>
      <c r="D266" s="243"/>
      <c r="E266" s="244"/>
      <c r="F266" s="6" t="s">
        <v>89</v>
      </c>
      <c r="G266" s="9"/>
      <c r="H266" s="6" t="s">
        <v>88</v>
      </c>
      <c r="I266" s="239" t="s">
        <v>5</v>
      </c>
      <c r="J266" s="240"/>
      <c r="K266" s="241"/>
      <c r="L266" s="6" t="s">
        <v>89</v>
      </c>
      <c r="N266" s="9"/>
      <c r="O266" s="9"/>
      <c r="P266" s="9"/>
      <c r="Q266" s="9"/>
      <c r="R266" s="9"/>
      <c r="S266" s="9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</row>
    <row r="267" spans="2:57" ht="13.5" customHeight="1" x14ac:dyDescent="0.2">
      <c r="B267" s="6" t="s">
        <v>4</v>
      </c>
      <c r="C267" s="260" t="s">
        <v>92</v>
      </c>
      <c r="D267" s="261"/>
      <c r="E267" s="262"/>
      <c r="F267" s="6" t="s">
        <v>90</v>
      </c>
      <c r="G267" s="9"/>
      <c r="H267" s="6" t="s">
        <v>4</v>
      </c>
      <c r="I267" s="263" t="str">
        <f>C267</f>
        <v>Produto: Arroz</v>
      </c>
      <c r="J267" s="264"/>
      <c r="K267" s="265"/>
      <c r="L267" s="6" t="s">
        <v>90</v>
      </c>
      <c r="N267" s="9"/>
      <c r="O267" s="9"/>
      <c r="P267" s="9"/>
      <c r="Q267" s="9"/>
      <c r="R267" s="9"/>
      <c r="S267" s="9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</row>
    <row r="268" spans="2:57" ht="13.5" customHeight="1" x14ac:dyDescent="0.2">
      <c r="B268" s="128">
        <f>SUMIF(C270:C296,"Goiás",B270:B296)</f>
        <v>9</v>
      </c>
      <c r="C268" s="237" t="s">
        <v>14</v>
      </c>
      <c r="D268" s="237" t="str">
        <f>D231</f>
        <v>Safra 2015 (dezembro)</v>
      </c>
      <c r="E268" s="245" t="str">
        <f>E231</f>
        <v>Safra 2016 (dezembro)</v>
      </c>
      <c r="F268" s="129">
        <f>COUNTIF(E270:E296,"&gt;0")</f>
        <v>26</v>
      </c>
      <c r="G268" s="9"/>
      <c r="H268" s="128">
        <f>SUMIF(I270:I296,"Goiás",H270:H296)</f>
        <v>10</v>
      </c>
      <c r="I268" s="237" t="s">
        <v>14</v>
      </c>
      <c r="J268" s="237" t="str">
        <f>D268</f>
        <v>Safra 2015 (dezembro)</v>
      </c>
      <c r="K268" s="245" t="str">
        <f>E268</f>
        <v>Safra 2016 (dezembro)</v>
      </c>
      <c r="L268" s="129">
        <f>COUNTIF(K270:K296,"&gt;0")</f>
        <v>26</v>
      </c>
      <c r="N268" s="4"/>
      <c r="O268" s="9"/>
      <c r="P268" s="9"/>
      <c r="Q268" s="9"/>
      <c r="R268" s="9"/>
      <c r="S268" s="9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</row>
    <row r="269" spans="2:57" ht="13.5" customHeight="1" x14ac:dyDescent="0.2">
      <c r="B269" s="6" t="s">
        <v>67</v>
      </c>
      <c r="C269" s="238"/>
      <c r="D269" s="238"/>
      <c r="E269" s="246"/>
      <c r="F269" s="37" t="s">
        <v>66</v>
      </c>
      <c r="G269" s="9"/>
      <c r="H269" s="37" t="s">
        <v>67</v>
      </c>
      <c r="I269" s="238"/>
      <c r="J269" s="238"/>
      <c r="K269" s="246"/>
      <c r="L269" s="37" t="s">
        <v>66</v>
      </c>
      <c r="N269" s="4"/>
      <c r="O269" s="9"/>
      <c r="P269" s="9"/>
      <c r="Q269" s="9"/>
      <c r="R269" s="9"/>
      <c r="S269" s="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</row>
    <row r="270" spans="2:57" ht="13.5" customHeight="1" x14ac:dyDescent="0.2">
      <c r="B270" s="10">
        <v>1</v>
      </c>
      <c r="C270" s="34" t="s">
        <v>37</v>
      </c>
      <c r="D270" s="35">
        <f>SUMIF($O$8:$O$34,C270,$T$8:$T$34)</f>
        <v>8679489</v>
      </c>
      <c r="E270" s="38">
        <f>SUMIF($O$8:$O$34,C270,$BK$8:$BK$34)</f>
        <v>7493431</v>
      </c>
      <c r="F270" s="156">
        <f t="shared" ref="F270:F285" si="43">IF(E270=0,0,TRUNC(((E270/D270)-1)*100,2))</f>
        <v>-13.66</v>
      </c>
      <c r="G270" s="9"/>
      <c r="H270" s="44">
        <v>1</v>
      </c>
      <c r="I270" s="34" t="s">
        <v>37</v>
      </c>
      <c r="J270" s="35">
        <f>SUMIF($O$47:$O$73,I270,$T$47:$T$73)</f>
        <v>1127916</v>
      </c>
      <c r="K270" s="38">
        <f>SUMIF($O$47:$O$73,I270,$BK$47:$BK$73)</f>
        <v>1088566</v>
      </c>
      <c r="L270" s="156">
        <f t="shared" ref="L270:L285" si="44">IF(K270=0,0,TRUNC(((K270/J270)-1)*100,2))</f>
        <v>-3.48</v>
      </c>
      <c r="N270" s="50"/>
      <c r="O270" s="51"/>
      <c r="P270" s="9"/>
      <c r="Q270" s="9"/>
      <c r="R270" s="9"/>
      <c r="S270" s="9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</row>
    <row r="271" spans="2:57" ht="13.5" customHeight="1" x14ac:dyDescent="0.2">
      <c r="B271" s="10">
        <v>2</v>
      </c>
      <c r="C271" s="34" t="s">
        <v>36</v>
      </c>
      <c r="D271" s="35">
        <f>SUMIF($O$8:$O$34,C271,$T$8:$T$34)</f>
        <v>1081537</v>
      </c>
      <c r="E271" s="38">
        <f>SUMIF($O$8:$O$34,C271,$BK$8:$BK$34)</f>
        <v>1050859</v>
      </c>
      <c r="F271" s="156">
        <f t="shared" si="43"/>
        <v>-2.83</v>
      </c>
      <c r="G271" s="9"/>
      <c r="H271" s="44">
        <v>2</v>
      </c>
      <c r="I271" s="34" t="s">
        <v>39</v>
      </c>
      <c r="J271" s="35">
        <f>SUMIF($O$47:$O$73,I271,$T$47:$T$73)</f>
        <v>187817</v>
      </c>
      <c r="K271" s="38">
        <f>SUMIF($O$47:$O$73,I271,$BK$47:$BK$73)</f>
        <v>174263</v>
      </c>
      <c r="L271" s="156">
        <f t="shared" si="44"/>
        <v>-7.21</v>
      </c>
      <c r="N271" s="50"/>
      <c r="O271" s="51"/>
      <c r="P271" s="9"/>
      <c r="Q271" s="9"/>
      <c r="R271" s="9"/>
      <c r="S271" s="9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</row>
    <row r="272" spans="2:57" ht="13.5" customHeight="1" x14ac:dyDescent="0.2">
      <c r="B272" s="10">
        <v>3</v>
      </c>
      <c r="C272" s="34" t="s">
        <v>21</v>
      </c>
      <c r="D272" s="35">
        <f>SUMIF($O$8:$O$34,C272,$T$8:$T$34)</f>
        <v>621216</v>
      </c>
      <c r="E272" s="38">
        <f>SUMIF($O$8:$O$34,C272,$BK$8:$BK$34)</f>
        <v>503766</v>
      </c>
      <c r="F272" s="156">
        <f t="shared" si="43"/>
        <v>-18.899999999999999</v>
      </c>
      <c r="G272" s="9"/>
      <c r="H272" s="44">
        <v>3</v>
      </c>
      <c r="I272" s="34" t="s">
        <v>22</v>
      </c>
      <c r="J272" s="35">
        <f>SUMIF($O$47:$O$73,I272,$T$47:$T$73)</f>
        <v>239004</v>
      </c>
      <c r="K272" s="38">
        <f>SUMIF($O$47:$O$73,I272,$BK$47:$BK$73)</f>
        <v>172524</v>
      </c>
      <c r="L272" s="156">
        <f t="shared" si="44"/>
        <v>-27.81</v>
      </c>
      <c r="N272" s="50"/>
      <c r="O272" s="51"/>
      <c r="P272" s="9"/>
      <c r="Q272" s="9"/>
      <c r="R272" s="9"/>
      <c r="S272" s="9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</row>
    <row r="273" spans="2:57" ht="13.5" customHeight="1" x14ac:dyDescent="0.2">
      <c r="B273" s="10">
        <v>4</v>
      </c>
      <c r="C273" s="34" t="s">
        <v>39</v>
      </c>
      <c r="D273" s="35">
        <f>SUMIF($O$8:$O$34,C273,$T$8:$T$34)</f>
        <v>607759</v>
      </c>
      <c r="E273" s="38">
        <f>SUMIF($O$8:$O$34,C273,$BK$8:$BK$34)</f>
        <v>501045</v>
      </c>
      <c r="F273" s="156">
        <f t="shared" si="43"/>
        <v>-17.55</v>
      </c>
      <c r="G273" s="9"/>
      <c r="H273" s="44">
        <v>4</v>
      </c>
      <c r="I273" s="34" t="s">
        <v>36</v>
      </c>
      <c r="J273" s="35">
        <f>SUMIF($O$47:$O$73,I273,$T$47:$T$73)</f>
        <v>148706</v>
      </c>
      <c r="K273" s="38">
        <f>SUMIF($O$47:$O$73,I273,$BK$47:$BK$73)</f>
        <v>147483</v>
      </c>
      <c r="L273" s="156">
        <f t="shared" si="44"/>
        <v>-0.82</v>
      </c>
      <c r="N273" s="50"/>
      <c r="O273" s="51"/>
      <c r="P273" s="9"/>
      <c r="Q273" s="9"/>
      <c r="R273" s="9"/>
      <c r="S273" s="9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</row>
    <row r="274" spans="2:57" ht="13.5" customHeight="1" x14ac:dyDescent="0.2">
      <c r="B274" s="10">
        <v>5</v>
      </c>
      <c r="C274" s="34" t="s">
        <v>19</v>
      </c>
      <c r="D274" s="35">
        <f>SUMIF($O$8:$O$34,C274,$T$8:$T$34)</f>
        <v>168368</v>
      </c>
      <c r="E274" s="38">
        <f>SUMIF($O$8:$O$34,C274,$BK$8:$BK$34)</f>
        <v>180677</v>
      </c>
      <c r="F274" s="156">
        <f t="shared" si="43"/>
        <v>7.31</v>
      </c>
      <c r="G274" s="9"/>
      <c r="H274" s="44">
        <v>5</v>
      </c>
      <c r="I274" s="34" t="s">
        <v>21</v>
      </c>
      <c r="J274" s="35">
        <f>SUMIF($O$47:$O$73,I274,$T$47:$T$73)</f>
        <v>119826</v>
      </c>
      <c r="K274" s="38">
        <f>SUMIF($O$47:$O$73,I274,$BK$47:$BK$73)</f>
        <v>100859</v>
      </c>
      <c r="L274" s="156">
        <f t="shared" si="44"/>
        <v>-15.82</v>
      </c>
      <c r="N274" s="50"/>
      <c r="O274" s="51"/>
      <c r="P274" s="9"/>
      <c r="Q274" s="9"/>
      <c r="R274" s="9"/>
      <c r="S274" s="9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</row>
    <row r="275" spans="2:57" ht="13.5" customHeight="1" x14ac:dyDescent="0.2">
      <c r="B275" s="10">
        <v>6</v>
      </c>
      <c r="C275" s="34" t="s">
        <v>22</v>
      </c>
      <c r="D275" s="35">
        <f>SUMIF($O$8:$O$34,C275,$T$8:$T$34)</f>
        <v>314486</v>
      </c>
      <c r="E275" s="38">
        <f>SUMIF($O$8:$O$34,C275,$BK$8:$BK$34)</f>
        <v>160454</v>
      </c>
      <c r="F275" s="156">
        <f t="shared" si="43"/>
        <v>-48.97</v>
      </c>
      <c r="G275" s="9"/>
      <c r="H275" s="44">
        <v>6</v>
      </c>
      <c r="I275" s="34" t="s">
        <v>23</v>
      </c>
      <c r="J275" s="35">
        <f>SUMIF($O$47:$O$73,I275,$T$47:$T$73)</f>
        <v>91183</v>
      </c>
      <c r="K275" s="38">
        <f>SUMIF($O$47:$O$73,I275,$BK$47:$BK$73)</f>
        <v>75681</v>
      </c>
      <c r="L275" s="156">
        <f t="shared" si="44"/>
        <v>-17</v>
      </c>
      <c r="N275" s="50"/>
      <c r="O275" s="51"/>
      <c r="P275" s="9"/>
      <c r="Q275" s="9"/>
      <c r="R275" s="9"/>
      <c r="S275" s="9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</row>
    <row r="276" spans="2:57" ht="13.5" customHeight="1" x14ac:dyDescent="0.2">
      <c r="B276" s="10">
        <v>7</v>
      </c>
      <c r="C276" s="34" t="s">
        <v>15</v>
      </c>
      <c r="D276" s="35">
        <f>SUMIF($O$8:$O$34,C276,$T$8:$T$34)</f>
        <v>122321</v>
      </c>
      <c r="E276" s="38">
        <f>SUMIF($O$8:$O$34,C276,$BK$8:$BK$34)</f>
        <v>138175</v>
      </c>
      <c r="F276" s="156">
        <f t="shared" si="43"/>
        <v>12.96</v>
      </c>
      <c r="G276" s="9"/>
      <c r="H276" s="44">
        <v>7</v>
      </c>
      <c r="I276" s="34" t="s">
        <v>19</v>
      </c>
      <c r="J276" s="35">
        <f>SUMIF($O$47:$O$73,I276,$T$47:$T$73)</f>
        <v>66255</v>
      </c>
      <c r="K276" s="38">
        <f>SUMIF($O$47:$O$73,I276,$BK$47:$BK$73)</f>
        <v>72983</v>
      </c>
      <c r="L276" s="156">
        <f t="shared" si="44"/>
        <v>10.15</v>
      </c>
      <c r="N276" s="50"/>
      <c r="O276" s="51"/>
      <c r="P276" s="9"/>
      <c r="Q276" s="9"/>
      <c r="R276" s="9"/>
      <c r="S276" s="9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</row>
    <row r="277" spans="2:57" ht="13.5" customHeight="1" x14ac:dyDescent="0.2">
      <c r="B277" s="10">
        <v>8</v>
      </c>
      <c r="C277" s="34" t="s">
        <v>35</v>
      </c>
      <c r="D277" s="35">
        <f>SUMIF($O$8:$O$34,C277,$T$8:$T$34)</f>
        <v>163907</v>
      </c>
      <c r="E277" s="38">
        <f>SUMIF($O$8:$O$34,C277,$BK$8:$BK$34)</f>
        <v>117472</v>
      </c>
      <c r="F277" s="156">
        <f t="shared" si="43"/>
        <v>-28.33</v>
      </c>
      <c r="G277" s="9"/>
      <c r="H277" s="44">
        <v>8</v>
      </c>
      <c r="I277" s="34" t="s">
        <v>15</v>
      </c>
      <c r="J277" s="35">
        <f>SUMIF($O$47:$O$73,I277,$T$47:$T$73)</f>
        <v>43574</v>
      </c>
      <c r="K277" s="38">
        <f>SUMIF($O$47:$O$73,I277,$BK$47:$BK$73)</f>
        <v>43980</v>
      </c>
      <c r="L277" s="156">
        <f t="shared" si="44"/>
        <v>0.93</v>
      </c>
      <c r="N277" s="50"/>
      <c r="O277" s="51"/>
      <c r="P277" s="9"/>
      <c r="Q277" s="9"/>
      <c r="R277" s="9"/>
      <c r="S277" s="9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</row>
    <row r="278" spans="2:57" ht="13.5" customHeight="1" x14ac:dyDescent="0.2">
      <c r="B278" s="10">
        <v>9</v>
      </c>
      <c r="C278" s="34" t="s">
        <v>4</v>
      </c>
      <c r="D278" s="35">
        <f>SUMIF($O$8:$O$34,C278,$T$8:$T$34)</f>
        <v>108938</v>
      </c>
      <c r="E278" s="38">
        <f>SUMIF($O$8:$O$34,C278,$BK$8:$BK$34)</f>
        <v>109506</v>
      </c>
      <c r="F278" s="156">
        <f t="shared" si="43"/>
        <v>0.52</v>
      </c>
      <c r="G278" s="9"/>
      <c r="H278" s="44">
        <v>9</v>
      </c>
      <c r="I278" s="34" t="s">
        <v>35</v>
      </c>
      <c r="J278" s="35">
        <f>SUMIF($O$47:$O$73,I278,$T$47:$T$73)</f>
        <v>27609</v>
      </c>
      <c r="K278" s="38">
        <f>SUMIF($O$47:$O$73,I278,$BK$47:$BK$73)</f>
        <v>26107</v>
      </c>
      <c r="L278" s="156">
        <f t="shared" si="44"/>
        <v>-5.44</v>
      </c>
      <c r="N278" s="50"/>
      <c r="O278" s="51"/>
      <c r="P278" s="9"/>
      <c r="Q278" s="9"/>
      <c r="R278" s="9"/>
      <c r="S278" s="9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</row>
    <row r="279" spans="2:57" ht="13.5" customHeight="1" x14ac:dyDescent="0.2">
      <c r="B279" s="10">
        <v>10</v>
      </c>
      <c r="C279" s="34" t="s">
        <v>38</v>
      </c>
      <c r="D279" s="35">
        <f>SUMIF($O$8:$O$34,C279,$T$8:$T$34)</f>
        <v>99287</v>
      </c>
      <c r="E279" s="38">
        <f>SUMIF($O$8:$O$34,C279,$BK$8:$BK$34)</f>
        <v>75871</v>
      </c>
      <c r="F279" s="156">
        <f t="shared" si="43"/>
        <v>-23.58</v>
      </c>
      <c r="G279" s="9"/>
      <c r="H279" s="44">
        <v>10</v>
      </c>
      <c r="I279" s="34" t="s">
        <v>4</v>
      </c>
      <c r="J279" s="35">
        <f>SUMIF($O$47:$O$73,I279,$T$47:$T$73)</f>
        <v>25558</v>
      </c>
      <c r="K279" s="38">
        <f>SUMIF($O$47:$O$73,I279,$BK$47:$BK$73)</f>
        <v>24607</v>
      </c>
      <c r="L279" s="156">
        <f t="shared" si="44"/>
        <v>-3.72</v>
      </c>
      <c r="N279" s="50"/>
      <c r="O279" s="51"/>
      <c r="P279" s="9"/>
      <c r="Q279" s="9"/>
      <c r="R279" s="9"/>
      <c r="S279" s="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</row>
    <row r="280" spans="2:57" ht="13.5" customHeight="1" x14ac:dyDescent="0.2">
      <c r="B280" s="10">
        <v>11</v>
      </c>
      <c r="C280" s="34" t="s">
        <v>18</v>
      </c>
      <c r="D280" s="35">
        <f>SUMIF($O$8:$O$34,C280,$T$8:$T$34)</f>
        <v>53003</v>
      </c>
      <c r="E280" s="38">
        <f>SUMIF($O$8:$O$34,C280,$BK$8:$BK$34)</f>
        <v>54755</v>
      </c>
      <c r="F280" s="156">
        <f t="shared" si="43"/>
        <v>3.3</v>
      </c>
      <c r="G280" s="51"/>
      <c r="H280" s="44">
        <v>11</v>
      </c>
      <c r="I280" s="34" t="s">
        <v>38</v>
      </c>
      <c r="J280" s="35">
        <f>SUMIF($O$47:$O$73,I280,$T$47:$T$73)</f>
        <v>16151</v>
      </c>
      <c r="K280" s="38">
        <f>SUMIF($O$47:$O$73,I280,$BK$47:$BK$73)</f>
        <v>14887</v>
      </c>
      <c r="L280" s="156">
        <f t="shared" si="44"/>
        <v>-7.82</v>
      </c>
      <c r="N280" s="50"/>
      <c r="O280" s="51"/>
      <c r="P280" s="9"/>
      <c r="Q280" s="9"/>
      <c r="R280" s="9"/>
      <c r="S280" s="9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</row>
    <row r="281" spans="2:57" ht="13.5" customHeight="1" x14ac:dyDescent="0.2">
      <c r="B281" s="10">
        <v>12</v>
      </c>
      <c r="C281" s="34" t="s">
        <v>34</v>
      </c>
      <c r="D281" s="35">
        <f>SUMIF($O$8:$O$34,C281,$T$8:$T$34)</f>
        <v>62022</v>
      </c>
      <c r="E281" s="38">
        <f>SUMIF($O$8:$O$34,C281,$BK$8:$BK$34)</f>
        <v>52279</v>
      </c>
      <c r="F281" s="156">
        <f t="shared" si="43"/>
        <v>-15.7</v>
      </c>
      <c r="G281" s="9"/>
      <c r="H281" s="44">
        <v>12</v>
      </c>
      <c r="I281" s="34" t="s">
        <v>34</v>
      </c>
      <c r="J281" s="35">
        <f>SUMIF($O$47:$O$73,I281,$T$47:$T$73)</f>
        <v>12199</v>
      </c>
      <c r="K281" s="38">
        <f>SUMIF($O$47:$O$73,I281,$BK$47:$BK$73)</f>
        <v>12184</v>
      </c>
      <c r="L281" s="156">
        <f t="shared" si="44"/>
        <v>-0.12</v>
      </c>
      <c r="N281" s="50"/>
      <c r="O281" s="51"/>
      <c r="P281" s="9"/>
      <c r="Q281" s="9"/>
      <c r="R281" s="9"/>
      <c r="S281" s="9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</row>
    <row r="282" spans="2:57" ht="13.5" customHeight="1" x14ac:dyDescent="0.2">
      <c r="B282" s="10">
        <v>13</v>
      </c>
      <c r="C282" s="34" t="s">
        <v>23</v>
      </c>
      <c r="D282" s="35">
        <f>SUMIF($O$8:$O$34,C282,$T$8:$T$34)</f>
        <v>99945</v>
      </c>
      <c r="E282" s="38">
        <f>SUMIF($O$8:$O$34,C282,$BK$8:$BK$34)</f>
        <v>43488</v>
      </c>
      <c r="F282" s="156">
        <f t="shared" si="43"/>
        <v>-56.48</v>
      </c>
      <c r="G282" s="9"/>
      <c r="H282" s="44">
        <v>13</v>
      </c>
      <c r="I282" s="34" t="s">
        <v>18</v>
      </c>
      <c r="J282" s="35">
        <f>SUMIF($O$47:$O$73,I282,$T$47:$T$73)</f>
        <v>7964</v>
      </c>
      <c r="K282" s="38">
        <f>SUMIF($O$47:$O$73,I282,$BK$47:$BK$73)</f>
        <v>8628</v>
      </c>
      <c r="L282" s="156">
        <f t="shared" si="44"/>
        <v>8.33</v>
      </c>
      <c r="N282" s="50"/>
      <c r="O282" s="51"/>
      <c r="P282" s="9"/>
      <c r="Q282" s="9"/>
      <c r="R282" s="9"/>
      <c r="S282" s="9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</row>
    <row r="283" spans="2:57" ht="13.5" customHeight="1" x14ac:dyDescent="0.2">
      <c r="B283" s="10">
        <v>14</v>
      </c>
      <c r="C283" s="34" t="s">
        <v>29</v>
      </c>
      <c r="D283" s="35">
        <f>SUMIF($O$8:$O$34,C283,$T$8:$T$34)</f>
        <v>25164</v>
      </c>
      <c r="E283" s="38">
        <f>SUMIF($O$8:$O$34,C283,$BK$8:$BK$34)</f>
        <v>32682</v>
      </c>
      <c r="F283" s="156">
        <f t="shared" si="43"/>
        <v>29.87</v>
      </c>
      <c r="G283" s="9"/>
      <c r="H283" s="44">
        <v>14</v>
      </c>
      <c r="I283" s="34" t="s">
        <v>31</v>
      </c>
      <c r="J283" s="35">
        <f>SUMIF($O$47:$O$73,I283,$T$47:$T$73)</f>
        <v>11415</v>
      </c>
      <c r="K283" s="38">
        <f>SUMIF($O$47:$O$73,I283,$BK$47:$BK$73)</f>
        <v>7424</v>
      </c>
      <c r="L283" s="156">
        <f t="shared" si="44"/>
        <v>-34.96</v>
      </c>
      <c r="N283" s="50"/>
      <c r="O283" s="51"/>
      <c r="P283" s="9"/>
      <c r="Q283" s="9"/>
      <c r="R283" s="9"/>
      <c r="S283" s="9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</row>
    <row r="284" spans="2:57" ht="13.5" customHeight="1" x14ac:dyDescent="0.2">
      <c r="B284" s="10">
        <v>15</v>
      </c>
      <c r="C284" s="34" t="s">
        <v>31</v>
      </c>
      <c r="D284" s="35">
        <f>SUMIF($O$8:$O$34,C284,$T$8:$T$34)</f>
        <v>24568</v>
      </c>
      <c r="E284" s="38">
        <f>SUMIF($O$8:$O$34,C284,$BK$8:$BK$34)</f>
        <v>15283</v>
      </c>
      <c r="F284" s="156">
        <f t="shared" si="43"/>
        <v>-37.79</v>
      </c>
      <c r="G284" s="9"/>
      <c r="H284" s="44">
        <v>15</v>
      </c>
      <c r="I284" s="34" t="s">
        <v>24</v>
      </c>
      <c r="J284" s="35">
        <f>SUMIF($O$47:$O$73,I284,$T$47:$T$73)</f>
        <v>8898</v>
      </c>
      <c r="K284" s="38">
        <f>SUMIF($O$47:$O$73,I284,$BK$47:$BK$73)</f>
        <v>6133</v>
      </c>
      <c r="L284" s="156">
        <f t="shared" si="44"/>
        <v>-31.07</v>
      </c>
      <c r="N284" s="50"/>
      <c r="O284" s="51"/>
      <c r="P284" s="9"/>
      <c r="Q284" s="9"/>
      <c r="R284" s="9"/>
      <c r="S284" s="9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</row>
    <row r="285" spans="2:57" ht="13.5" customHeight="1" x14ac:dyDescent="0.2">
      <c r="B285" s="10">
        <v>16</v>
      </c>
      <c r="C285" s="34" t="s">
        <v>28</v>
      </c>
      <c r="D285" s="35">
        <f>SUMIF($O$8:$O$34,C285,$T$8:$T$34)</f>
        <v>17301</v>
      </c>
      <c r="E285" s="38">
        <f>SUMIF($O$8:$O$34,C285,$BK$8:$BK$34)</f>
        <v>15149</v>
      </c>
      <c r="F285" s="156">
        <f t="shared" si="43"/>
        <v>-12.43</v>
      </c>
      <c r="G285" s="9"/>
      <c r="H285" s="44">
        <v>16</v>
      </c>
      <c r="I285" s="34" t="s">
        <v>30</v>
      </c>
      <c r="J285" s="35">
        <f>SUMIF($O$47:$O$73,I285,$T$47:$T$73)</f>
        <v>7540</v>
      </c>
      <c r="K285" s="38">
        <f>SUMIF($O$47:$O$73,I285,$BK$47:$BK$73)</f>
        <v>5220</v>
      </c>
      <c r="L285" s="156">
        <f t="shared" si="44"/>
        <v>-30.76</v>
      </c>
      <c r="N285" s="50"/>
      <c r="O285" s="51"/>
      <c r="P285" s="9"/>
      <c r="Q285" s="9"/>
      <c r="R285" s="9"/>
      <c r="S285" s="9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</row>
    <row r="286" spans="2:57" ht="13.5" customHeight="1" x14ac:dyDescent="0.2">
      <c r="B286" s="10">
        <v>17</v>
      </c>
      <c r="C286" s="34" t="s">
        <v>24</v>
      </c>
      <c r="D286" s="35">
        <f>SUMIF($O$8:$O$34,C286,$T$8:$T$34)</f>
        <v>24601</v>
      </c>
      <c r="E286" s="38">
        <f>SUMIF($O$8:$O$34,C286,$BK$8:$BK$34)</f>
        <v>14383</v>
      </c>
      <c r="F286" s="156">
        <f>IF(E286=0,0,TRUNC(((E286/D286)-1)*100,2))</f>
        <v>-41.53</v>
      </c>
      <c r="G286" s="9"/>
      <c r="H286" s="44">
        <v>17</v>
      </c>
      <c r="I286" s="34" t="s">
        <v>16</v>
      </c>
      <c r="J286" s="35">
        <f>SUMIF($O$47:$O$73,I286,$T$47:$T$73)</f>
        <v>6089</v>
      </c>
      <c r="K286" s="38">
        <f>SUMIF($O$47:$O$73,I286,$BK$47:$BK$73)</f>
        <v>4996</v>
      </c>
      <c r="L286" s="156">
        <f>IF(K286=0,0,TRUNC(((K286/J286)-1)*100,2))</f>
        <v>-17.95</v>
      </c>
      <c r="N286" s="50"/>
      <c r="O286" s="51"/>
      <c r="P286" s="9"/>
      <c r="Q286" s="9"/>
      <c r="R286" s="9"/>
      <c r="S286" s="9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</row>
    <row r="287" spans="2:57" ht="13.5" customHeight="1" x14ac:dyDescent="0.2">
      <c r="B287" s="10">
        <v>18</v>
      </c>
      <c r="C287" s="34" t="s">
        <v>16</v>
      </c>
      <c r="D287" s="35">
        <f>SUMIF($O$8:$O$34,C287,$T$8:$T$34)</f>
        <v>7144</v>
      </c>
      <c r="E287" s="38">
        <f>SUMIF($O$8:$O$34,C287,$BK$8:$BK$34)</f>
        <v>6362</v>
      </c>
      <c r="F287" s="156">
        <f t="shared" ref="F287:F296" si="45">IF(E287=0,0,TRUNC(((E287/D287)-1)*100,2))</f>
        <v>-10.94</v>
      </c>
      <c r="G287" s="9"/>
      <c r="H287" s="44">
        <v>18</v>
      </c>
      <c r="I287" s="34" t="s">
        <v>29</v>
      </c>
      <c r="J287" s="35">
        <f>SUMIF($O$47:$O$73,I287,$T$47:$T$73)</f>
        <v>4724</v>
      </c>
      <c r="K287" s="38">
        <f>SUMIF($O$47:$O$73,I287,$BK$47:$BK$73)</f>
        <v>4514</v>
      </c>
      <c r="L287" s="156">
        <f t="shared" ref="L287:L296" si="46">IF(K287=0,0,TRUNC(((K287/J287)-1)*100,2))</f>
        <v>-4.4400000000000004</v>
      </c>
      <c r="N287" s="50"/>
      <c r="O287" s="51"/>
      <c r="P287" s="9"/>
      <c r="Q287" s="9"/>
      <c r="R287" s="9"/>
      <c r="S287" s="9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</row>
    <row r="288" spans="2:57" ht="13.5" customHeight="1" x14ac:dyDescent="0.2">
      <c r="B288" s="10">
        <v>19</v>
      </c>
      <c r="C288" s="34" t="s">
        <v>30</v>
      </c>
      <c r="D288" s="35">
        <f>SUMIF($O$8:$O$34,C288,$T$8:$T$34)</f>
        <v>8357</v>
      </c>
      <c r="E288" s="38">
        <f>SUMIF($O$8:$O$34,C288,$BK$8:$BK$34)</f>
        <v>5160</v>
      </c>
      <c r="F288" s="156">
        <f t="shared" si="45"/>
        <v>-38.25</v>
      </c>
      <c r="G288" s="9"/>
      <c r="H288" s="44">
        <v>19</v>
      </c>
      <c r="I288" s="34" t="s">
        <v>28</v>
      </c>
      <c r="J288" s="35">
        <f>SUMIF($O$47:$O$73,I288,$T$47:$T$73)</f>
        <v>3041</v>
      </c>
      <c r="K288" s="38">
        <f>SUMIF($O$47:$O$73,I288,$BK$47:$BK$73)</f>
        <v>2723</v>
      </c>
      <c r="L288" s="156">
        <f t="shared" si="46"/>
        <v>-10.45</v>
      </c>
      <c r="N288" s="50"/>
      <c r="O288" s="51"/>
      <c r="P288" s="9"/>
      <c r="Q288" s="9"/>
      <c r="R288" s="9"/>
      <c r="S288" s="9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</row>
    <row r="289" spans="2:57" ht="13.5" customHeight="1" x14ac:dyDescent="0.2">
      <c r="B289" s="10">
        <v>20</v>
      </c>
      <c r="C289" s="34" t="s">
        <v>17</v>
      </c>
      <c r="D289" s="35">
        <f>SUMIF($O$8:$O$34,C289,$T$8:$T$34)</f>
        <v>4099</v>
      </c>
      <c r="E289" s="38">
        <f>SUMIF($O$8:$O$34,C289,$BK$8:$BK$34)</f>
        <v>4516</v>
      </c>
      <c r="F289" s="156">
        <f t="shared" si="45"/>
        <v>10.17</v>
      </c>
      <c r="G289" s="9"/>
      <c r="H289" s="44">
        <v>20</v>
      </c>
      <c r="I289" s="34" t="s">
        <v>17</v>
      </c>
      <c r="J289" s="35">
        <f>SUMIF($O$47:$O$73,I289,$T$47:$T$73)</f>
        <v>1964</v>
      </c>
      <c r="K289" s="38">
        <f>SUMIF($O$47:$O$73,I289,$BK$47:$BK$73)</f>
        <v>2250</v>
      </c>
      <c r="L289" s="156">
        <f t="shared" si="46"/>
        <v>14.56</v>
      </c>
      <c r="N289" s="50"/>
      <c r="O289" s="51"/>
      <c r="P289" s="9"/>
      <c r="Q289" s="9"/>
      <c r="R289" s="9"/>
      <c r="S289" s="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</row>
    <row r="290" spans="2:57" ht="13.5" customHeight="1" x14ac:dyDescent="0.2">
      <c r="B290" s="10">
        <v>21</v>
      </c>
      <c r="C290" s="34" t="s">
        <v>25</v>
      </c>
      <c r="D290" s="35">
        <f>SUMIF($O$8:$O$34,C290,$T$8:$T$34)</f>
        <v>2432</v>
      </c>
      <c r="E290" s="38">
        <f>SUMIF($O$8:$O$34,C290,$BK$8:$BK$34)</f>
        <v>3244</v>
      </c>
      <c r="F290" s="156">
        <f t="shared" si="45"/>
        <v>33.380000000000003</v>
      </c>
      <c r="G290" s="9"/>
      <c r="H290" s="44">
        <v>21</v>
      </c>
      <c r="I290" s="34" t="s">
        <v>20</v>
      </c>
      <c r="J290" s="35">
        <f>SUMIF($O$47:$O$73,I290,$T$47:$T$73)</f>
        <v>1656</v>
      </c>
      <c r="K290" s="38">
        <f>SUMIF($O$47:$O$73,I290,$BK$47:$BK$73)</f>
        <v>1470</v>
      </c>
      <c r="L290" s="156">
        <f t="shared" si="46"/>
        <v>-11.23</v>
      </c>
      <c r="N290" s="50"/>
      <c r="O290" s="51"/>
      <c r="P290" s="9"/>
      <c r="Q290" s="9"/>
      <c r="R290" s="9"/>
      <c r="S290" s="9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</row>
    <row r="291" spans="2:57" ht="13.5" customHeight="1" x14ac:dyDescent="0.2">
      <c r="B291" s="10">
        <v>22</v>
      </c>
      <c r="C291" s="34" t="s">
        <v>27</v>
      </c>
      <c r="D291" s="35">
        <f>SUMIF($O$8:$O$34,C291,$T$8:$T$34)</f>
        <v>1825</v>
      </c>
      <c r="E291" s="38">
        <f>SUMIF($O$8:$O$34,C291,$BK$8:$BK$34)</f>
        <v>2207</v>
      </c>
      <c r="F291" s="156">
        <f t="shared" si="45"/>
        <v>20.93</v>
      </c>
      <c r="G291" s="9"/>
      <c r="H291" s="44">
        <v>22</v>
      </c>
      <c r="I291" s="34" t="s">
        <v>26</v>
      </c>
      <c r="J291" s="35">
        <f>SUMIF($O$47:$O$73,I291,$T$47:$T$73)</f>
        <v>1129</v>
      </c>
      <c r="K291" s="38">
        <f>SUMIF($O$47:$O$73,I291,$BK$47:$BK$73)</f>
        <v>833</v>
      </c>
      <c r="L291" s="156">
        <f t="shared" si="46"/>
        <v>-26.21</v>
      </c>
      <c r="N291" s="50"/>
      <c r="O291" s="51"/>
      <c r="P291" s="9"/>
      <c r="Q291" s="9"/>
      <c r="R291" s="9"/>
      <c r="S291" s="9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</row>
    <row r="292" spans="2:57" ht="13.5" customHeight="1" x14ac:dyDescent="0.2">
      <c r="B292" s="10">
        <v>23</v>
      </c>
      <c r="C292" s="34" t="s">
        <v>20</v>
      </c>
      <c r="D292" s="35">
        <f>SUMIF($O$8:$O$34,C292,$T$8:$T$34)</f>
        <v>1600</v>
      </c>
      <c r="E292" s="38">
        <f>SUMIF($O$8:$O$34,C292,$BK$8:$BK$34)</f>
        <v>1312</v>
      </c>
      <c r="F292" s="156">
        <f t="shared" si="45"/>
        <v>-18</v>
      </c>
      <c r="G292" s="9"/>
      <c r="H292" s="44">
        <v>23</v>
      </c>
      <c r="I292" s="34" t="s">
        <v>25</v>
      </c>
      <c r="J292" s="35">
        <f>SUMIF($O$47:$O$73,I292,$T$47:$T$73)</f>
        <v>933</v>
      </c>
      <c r="K292" s="38">
        <f>SUMIF($O$47:$O$73,I292,$BK$47:$BK$73)</f>
        <v>808</v>
      </c>
      <c r="L292" s="156">
        <f t="shared" si="46"/>
        <v>-13.39</v>
      </c>
      <c r="N292" s="50"/>
      <c r="O292" s="51"/>
      <c r="P292" s="9"/>
      <c r="Q292" s="9"/>
      <c r="R292" s="9"/>
      <c r="S292" s="9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</row>
    <row r="293" spans="2:57" ht="13.5" customHeight="1" x14ac:dyDescent="0.2">
      <c r="B293" s="10">
        <v>24</v>
      </c>
      <c r="C293" s="34" t="s">
        <v>33</v>
      </c>
      <c r="D293" s="35">
        <f>SUMIF($O$8:$O$34,C293,$T$8:$T$34)</f>
        <v>690</v>
      </c>
      <c r="E293" s="38">
        <f>SUMIF($O$8:$O$34,C293,$BK$8:$BK$34)</f>
        <v>862</v>
      </c>
      <c r="F293" s="156">
        <f t="shared" si="45"/>
        <v>24.92</v>
      </c>
      <c r="G293" s="9"/>
      <c r="H293" s="44">
        <v>24</v>
      </c>
      <c r="I293" s="34" t="s">
        <v>27</v>
      </c>
      <c r="J293" s="35">
        <f>SUMIF($O$47:$O$73,I293,$T$47:$T$73)</f>
        <v>324</v>
      </c>
      <c r="K293" s="38">
        <f>SUMIF($O$47:$O$73,I293,$BK$47:$BK$73)</f>
        <v>359</v>
      </c>
      <c r="L293" s="156">
        <f t="shared" si="46"/>
        <v>10.8</v>
      </c>
      <c r="N293" s="50"/>
      <c r="O293" s="51"/>
      <c r="P293" s="9"/>
      <c r="Q293" s="9"/>
      <c r="R293" s="9"/>
      <c r="S293" s="9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</row>
    <row r="294" spans="2:57" ht="13.5" customHeight="1" x14ac:dyDescent="0.2">
      <c r="B294" s="10">
        <v>25</v>
      </c>
      <c r="C294" s="34" t="s">
        <v>32</v>
      </c>
      <c r="D294" s="35">
        <f>SUMIF($O$8:$O$34,C294,$T$8:$T$34)</f>
        <v>782</v>
      </c>
      <c r="E294" s="38">
        <f>SUMIF($O$8:$O$34,C294,$BK$8:$BK$34)</f>
        <v>491</v>
      </c>
      <c r="F294" s="156">
        <f t="shared" si="45"/>
        <v>-37.21</v>
      </c>
      <c r="G294" s="9"/>
      <c r="H294" s="44">
        <v>25</v>
      </c>
      <c r="I294" s="34" t="s">
        <v>33</v>
      </c>
      <c r="J294" s="35">
        <f>SUMIF($O$47:$O$73,I294,$T$47:$T$73)</f>
        <v>354</v>
      </c>
      <c r="K294" s="38">
        <f>SUMIF($O$47:$O$73,I294,$BK$47:$BK$73)</f>
        <v>253</v>
      </c>
      <c r="L294" s="156">
        <f t="shared" si="46"/>
        <v>-28.53</v>
      </c>
      <c r="N294" s="50"/>
      <c r="O294" s="51"/>
      <c r="P294" s="9"/>
      <c r="Q294" s="9"/>
      <c r="R294" s="9"/>
      <c r="S294" s="9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</row>
    <row r="295" spans="2:57" ht="13.5" customHeight="1" x14ac:dyDescent="0.2">
      <c r="B295" s="10">
        <v>26</v>
      </c>
      <c r="C295" s="34" t="s">
        <v>26</v>
      </c>
      <c r="D295" s="35">
        <f>SUMIF($O$8:$O$34,C295,$T$8:$T$34)</f>
        <v>360</v>
      </c>
      <c r="E295" s="38">
        <f>SUMIF($O$8:$O$34,C295,$BK$8:$BK$34)</f>
        <v>156</v>
      </c>
      <c r="F295" s="156">
        <f t="shared" si="45"/>
        <v>-56.66</v>
      </c>
      <c r="G295" s="9"/>
      <c r="H295" s="44">
        <v>26</v>
      </c>
      <c r="I295" s="34" t="s">
        <v>32</v>
      </c>
      <c r="J295" s="35">
        <f>SUMIF($O$47:$O$73,I295,$T$47:$T$73)</f>
        <v>349</v>
      </c>
      <c r="K295" s="38">
        <f>SUMIF($O$47:$O$73,I295,$BK$47:$BK$73)</f>
        <v>198</v>
      </c>
      <c r="L295" s="156">
        <f t="shared" si="46"/>
        <v>-43.26</v>
      </c>
      <c r="N295" s="50"/>
      <c r="O295" s="51"/>
      <c r="P295" s="9"/>
      <c r="Q295" s="9"/>
      <c r="R295" s="9"/>
      <c r="S295" s="9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</row>
    <row r="296" spans="2:57" ht="13.5" customHeight="1" x14ac:dyDescent="0.2">
      <c r="B296" s="10">
        <v>27</v>
      </c>
      <c r="C296" s="34" t="s">
        <v>40</v>
      </c>
      <c r="D296" s="35">
        <f>SUMIF($O$8:$O$34,C296,$T$8:$T$34)</f>
        <v>0</v>
      </c>
      <c r="E296" s="38">
        <f>SUMIF($O$8:$O$34,C296,$BK$8:$BK$34)</f>
        <v>0</v>
      </c>
      <c r="F296" s="156">
        <f t="shared" si="45"/>
        <v>0</v>
      </c>
      <c r="G296" s="9"/>
      <c r="H296" s="44">
        <v>27</v>
      </c>
      <c r="I296" s="34" t="s">
        <v>40</v>
      </c>
      <c r="J296" s="35">
        <f>SUMIF($O$47:$O$73,I296,$T$47:$T$73)</f>
        <v>0</v>
      </c>
      <c r="K296" s="38">
        <f>SUMIF($O$47:$O$73,I296,$BK$47:$BK$73)</f>
        <v>0</v>
      </c>
      <c r="L296" s="156">
        <f t="shared" si="46"/>
        <v>0</v>
      </c>
      <c r="N296" s="50"/>
      <c r="O296" s="51"/>
      <c r="P296" s="9"/>
      <c r="Q296" s="9"/>
      <c r="R296" s="9"/>
      <c r="S296" s="9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</row>
    <row r="297" spans="2:57" ht="13.5" customHeight="1" x14ac:dyDescent="0.2">
      <c r="B297" s="10"/>
      <c r="C297" s="34" t="s">
        <v>9</v>
      </c>
      <c r="D297" s="39">
        <f>SUM(D270:D296)</f>
        <v>12301201</v>
      </c>
      <c r="E297" s="39">
        <f>SUM(E270:E296)</f>
        <v>10583585</v>
      </c>
      <c r="F297" s="40">
        <f t="shared" ref="F297:F298" si="47">TRUNC(((E297/D297)-1)*100,2)</f>
        <v>-13.96</v>
      </c>
      <c r="G297" s="9"/>
      <c r="H297" s="44"/>
      <c r="I297" s="34" t="s">
        <v>9</v>
      </c>
      <c r="J297" s="39">
        <f>SUM(J270:J296)</f>
        <v>2162178</v>
      </c>
      <c r="K297" s="39">
        <f>SUM(K270:K296)</f>
        <v>1999933</v>
      </c>
      <c r="L297" s="40">
        <f>TRUNC(((K297/J297)-1)*100,2)</f>
        <v>-7.5</v>
      </c>
      <c r="N297" s="50"/>
      <c r="O297" s="9"/>
      <c r="P297" s="9"/>
      <c r="Q297" s="9"/>
      <c r="R297" s="9"/>
      <c r="S297" s="9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</row>
    <row r="298" spans="2:57" ht="13.5" customHeight="1" x14ac:dyDescent="0.2">
      <c r="B298" s="49"/>
      <c r="C298" s="55" t="s">
        <v>83</v>
      </c>
      <c r="D298" s="52">
        <f>SUM(T8:T34)</f>
        <v>12301201</v>
      </c>
      <c r="E298" s="52">
        <f>SUM(BK8:BK34)</f>
        <v>10583585</v>
      </c>
      <c r="F298" s="56">
        <f t="shared" si="47"/>
        <v>-13.96</v>
      </c>
      <c r="G298" s="1"/>
      <c r="H298" s="49"/>
      <c r="I298" s="55" t="s">
        <v>83</v>
      </c>
      <c r="J298" s="52">
        <f>SUM(T47:T73)</f>
        <v>2162178</v>
      </c>
      <c r="K298" s="52">
        <f>SUM(BK47:BK73)</f>
        <v>1999933</v>
      </c>
      <c r="L298" s="56">
        <f>TRUNC(((K298/J298)-1)*100,2)</f>
        <v>-7.5</v>
      </c>
      <c r="N298" s="9"/>
      <c r="O298" s="9"/>
      <c r="P298" s="9"/>
      <c r="Q298" s="9"/>
      <c r="R298" s="9"/>
      <c r="S298" s="9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</row>
    <row r="299" spans="2:57" ht="13.5" customHeight="1" x14ac:dyDescent="0.2">
      <c r="N299" s="9"/>
      <c r="O299" s="9"/>
      <c r="P299" s="9"/>
      <c r="Q299" s="9"/>
      <c r="R299" s="9"/>
      <c r="S299" s="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</row>
    <row r="300" spans="2:57" ht="13.5" customHeight="1" x14ac:dyDescent="0.2">
      <c r="N300" s="9"/>
      <c r="O300" s="9"/>
      <c r="P300" s="9"/>
      <c r="Q300" s="9"/>
      <c r="R300" s="9"/>
      <c r="S300" s="9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</row>
    <row r="301" spans="2:57" ht="13.5" customHeight="1" x14ac:dyDescent="0.2">
      <c r="N301" s="9"/>
      <c r="O301" s="9"/>
      <c r="P301" s="9"/>
      <c r="Q301" s="9"/>
      <c r="R301" s="9"/>
      <c r="S301" s="9"/>
      <c r="AX301"/>
      <c r="AY301"/>
      <c r="AZ301"/>
      <c r="BA301"/>
      <c r="BB301"/>
      <c r="BC301"/>
      <c r="BD301"/>
      <c r="BE301"/>
    </row>
    <row r="302" spans="2:57" ht="13.5" customHeight="1" x14ac:dyDescent="0.2">
      <c r="N302" s="9"/>
      <c r="O302" s="9"/>
      <c r="P302" s="9"/>
      <c r="Q302" s="9"/>
      <c r="R302" s="9"/>
      <c r="S302" s="9"/>
      <c r="AX302"/>
      <c r="AY302"/>
      <c r="AZ302"/>
      <c r="BA302"/>
      <c r="BB302"/>
      <c r="BC302"/>
      <c r="BD302"/>
      <c r="BE302"/>
    </row>
    <row r="303" spans="2:57" ht="13.5" customHeight="1" x14ac:dyDescent="0.2">
      <c r="B303" s="6" t="s">
        <v>88</v>
      </c>
      <c r="C303" s="242" t="s">
        <v>41</v>
      </c>
      <c r="D303" s="243"/>
      <c r="E303" s="244"/>
      <c r="F303" s="9"/>
      <c r="G303" s="9"/>
      <c r="H303" s="6" t="s">
        <v>88</v>
      </c>
      <c r="I303" s="239" t="s">
        <v>5</v>
      </c>
      <c r="J303" s="240"/>
      <c r="K303" s="241"/>
      <c r="L303" s="6" t="s">
        <v>89</v>
      </c>
      <c r="N303" s="9"/>
      <c r="O303" s="9"/>
      <c r="P303" s="9"/>
      <c r="Q303" s="9"/>
      <c r="R303" s="9"/>
      <c r="S303" s="9"/>
      <c r="AX303"/>
      <c r="AY303"/>
      <c r="AZ303"/>
      <c r="BA303"/>
      <c r="BB303"/>
      <c r="BC303"/>
      <c r="BD303"/>
      <c r="BE303"/>
    </row>
    <row r="304" spans="2:57" ht="13.5" customHeight="1" x14ac:dyDescent="0.2">
      <c r="B304" s="6" t="s">
        <v>4</v>
      </c>
      <c r="C304" s="260" t="s">
        <v>93</v>
      </c>
      <c r="D304" s="261"/>
      <c r="E304" s="262"/>
      <c r="F304" s="9"/>
      <c r="G304" s="9"/>
      <c r="H304" s="6" t="s">
        <v>4</v>
      </c>
      <c r="I304" s="263" t="str">
        <f>C304</f>
        <v>Produto: Feijão 1ª safra</v>
      </c>
      <c r="J304" s="264"/>
      <c r="K304" s="265"/>
      <c r="L304" s="6" t="s">
        <v>90</v>
      </c>
      <c r="N304" s="9"/>
      <c r="O304" s="9"/>
      <c r="P304" s="9"/>
      <c r="Q304" s="9"/>
      <c r="R304" s="9"/>
      <c r="S304" s="9"/>
      <c r="AX304"/>
      <c r="AY304"/>
      <c r="AZ304"/>
      <c r="BA304"/>
      <c r="BB304"/>
      <c r="BC304"/>
      <c r="BD304"/>
      <c r="BE304"/>
    </row>
    <row r="305" spans="2:57" ht="13.5" customHeight="1" x14ac:dyDescent="0.2">
      <c r="B305" s="128">
        <f>SUMIF(C307:C333,"Goiás",B307:B333)</f>
        <v>3</v>
      </c>
      <c r="C305" s="237" t="s">
        <v>14</v>
      </c>
      <c r="D305" s="237" t="str">
        <f>D268</f>
        <v>Safra 2015 (dezembro)</v>
      </c>
      <c r="E305" s="245" t="str">
        <f>E268</f>
        <v>Safra 2016 (dezembro)</v>
      </c>
      <c r="F305" s="5">
        <f>COUNTIF(E307:E333,"&gt;0")</f>
        <v>25</v>
      </c>
      <c r="G305" s="9"/>
      <c r="H305" s="128">
        <f>SUMIF(I307:I333,"Goiás",H307:H333)</f>
        <v>7</v>
      </c>
      <c r="I305" s="237" t="s">
        <v>14</v>
      </c>
      <c r="J305" s="237" t="str">
        <f>D305</f>
        <v>Safra 2015 (dezembro)</v>
      </c>
      <c r="K305" s="245" t="str">
        <f>E305</f>
        <v>Safra 2016 (dezembro)</v>
      </c>
      <c r="L305" s="129">
        <f>COUNTIF(K307:K333,"&gt;0")</f>
        <v>25</v>
      </c>
      <c r="N305" s="9"/>
      <c r="O305" s="9"/>
      <c r="P305" s="9"/>
      <c r="Q305" s="9"/>
      <c r="R305" s="9"/>
      <c r="S305" s="9"/>
      <c r="AX305"/>
      <c r="AY305"/>
      <c r="AZ305"/>
      <c r="BA305"/>
      <c r="BB305"/>
      <c r="BC305"/>
      <c r="BD305"/>
      <c r="BE305"/>
    </row>
    <row r="306" spans="2:57" ht="13.5" customHeight="1" x14ac:dyDescent="0.2">
      <c r="B306" s="6" t="s">
        <v>67</v>
      </c>
      <c r="C306" s="238"/>
      <c r="D306" s="238"/>
      <c r="E306" s="246"/>
      <c r="F306" s="37" t="s">
        <v>66</v>
      </c>
      <c r="G306" s="9"/>
      <c r="H306" s="37" t="s">
        <v>67</v>
      </c>
      <c r="I306" s="238"/>
      <c r="J306" s="238"/>
      <c r="K306" s="246"/>
      <c r="L306" s="37" t="s">
        <v>66</v>
      </c>
      <c r="N306" s="9"/>
      <c r="O306" s="9"/>
      <c r="P306" s="9"/>
      <c r="Q306" s="9"/>
      <c r="R306" s="9"/>
      <c r="S306" s="9"/>
      <c r="AX306"/>
      <c r="AY306"/>
      <c r="AZ306"/>
      <c r="BA306"/>
      <c r="BB306"/>
      <c r="BC306"/>
      <c r="BD306"/>
      <c r="BE306"/>
    </row>
    <row r="307" spans="2:57" ht="13.5" customHeight="1" x14ac:dyDescent="0.2">
      <c r="B307" s="10">
        <v>1</v>
      </c>
      <c r="C307" s="34" t="s">
        <v>35</v>
      </c>
      <c r="D307" s="35">
        <f>SUMIF($O$8:$O$34,C307,$X$8:$X$34)</f>
        <v>341105</v>
      </c>
      <c r="E307" s="38">
        <f>SUMIF($O$8:$O$34,C307,$BO$8:$BO$34)</f>
        <v>294005</v>
      </c>
      <c r="F307" s="156">
        <f t="shared" ref="F307:F322" si="48">IF(E307=0,0,TRUNC(((E307/D307)-1)*100,2))</f>
        <v>-13.8</v>
      </c>
      <c r="G307" s="9"/>
      <c r="H307" s="44">
        <v>1</v>
      </c>
      <c r="I307" s="34" t="s">
        <v>24</v>
      </c>
      <c r="J307" s="35">
        <f>SUMIF($O$47:$O$73,I307,$X$47:$X$73)</f>
        <v>400618</v>
      </c>
      <c r="K307" s="38">
        <f>SUMIF($O$47:$O$73,I307,$BO$47:$BO$73)</f>
        <v>379611</v>
      </c>
      <c r="L307" s="156">
        <f t="shared" ref="L307:L322" si="49">IF(K307=0,0,TRUNC(((K307/J307)-1)*100,2))</f>
        <v>-5.24</v>
      </c>
      <c r="N307" s="9"/>
      <c r="O307" s="9"/>
      <c r="P307" s="9"/>
      <c r="Q307" s="9"/>
      <c r="R307" s="9"/>
      <c r="S307" s="9"/>
      <c r="AX307"/>
      <c r="AY307"/>
      <c r="AZ307"/>
      <c r="BA307"/>
      <c r="BB307"/>
      <c r="BC307"/>
      <c r="BD307"/>
      <c r="BE307"/>
    </row>
    <row r="308" spans="2:57" ht="13.5" customHeight="1" x14ac:dyDescent="0.2">
      <c r="B308" s="10">
        <v>2</v>
      </c>
      <c r="C308" s="34" t="s">
        <v>31</v>
      </c>
      <c r="D308" s="35">
        <f>SUMIF($O$8:$O$34,C308,$X$8:$X$34)</f>
        <v>161713</v>
      </c>
      <c r="E308" s="38">
        <f>SUMIF($O$8:$O$34,C308,$BO$8:$BO$34)</f>
        <v>187812</v>
      </c>
      <c r="F308" s="156">
        <f t="shared" si="48"/>
        <v>16.13</v>
      </c>
      <c r="G308" s="9"/>
      <c r="H308" s="44">
        <v>2</v>
      </c>
      <c r="I308" s="34" t="s">
        <v>23</v>
      </c>
      <c r="J308" s="35">
        <f>SUMIF($O$47:$O$73,I308,$X$47:$X$73)</f>
        <v>208632</v>
      </c>
      <c r="K308" s="38">
        <f>SUMIF($O$47:$O$73,I308,$BO$47:$BO$73)</f>
        <v>216680</v>
      </c>
      <c r="L308" s="156">
        <f t="shared" si="49"/>
        <v>3.85</v>
      </c>
      <c r="N308" s="9"/>
      <c r="O308" s="9"/>
      <c r="P308" s="9"/>
      <c r="Q308" s="9"/>
      <c r="R308" s="9"/>
      <c r="S308" s="9"/>
      <c r="AX308"/>
      <c r="AY308"/>
      <c r="AZ308"/>
      <c r="BA308"/>
      <c r="BB308"/>
      <c r="BC308"/>
      <c r="BD308"/>
      <c r="BE308"/>
    </row>
    <row r="309" spans="2:57" ht="13.5" customHeight="1" x14ac:dyDescent="0.2">
      <c r="B309" s="10">
        <v>3</v>
      </c>
      <c r="C309" s="34" t="s">
        <v>4</v>
      </c>
      <c r="D309" s="35">
        <f>SUMIF($O$8:$O$34,C309,$X$8:$X$34)</f>
        <v>131142</v>
      </c>
      <c r="E309" s="38">
        <f>SUMIF($O$8:$O$34,C309,$BO$8:$BO$34)</f>
        <v>134545</v>
      </c>
      <c r="F309" s="156">
        <f t="shared" si="48"/>
        <v>2.59</v>
      </c>
      <c r="G309" s="9"/>
      <c r="H309" s="44">
        <v>3</v>
      </c>
      <c r="I309" s="34" t="s">
        <v>35</v>
      </c>
      <c r="J309" s="35">
        <f>SUMIF($O$47:$O$73,I309,$X$47:$X$73)</f>
        <v>206783</v>
      </c>
      <c r="K309" s="38">
        <f>SUMIF($O$47:$O$73,I309,$BO$47:$BO$73)</f>
        <v>184854</v>
      </c>
      <c r="L309" s="156">
        <f t="shared" si="49"/>
        <v>-10.6</v>
      </c>
      <c r="N309" s="9"/>
      <c r="O309" s="9"/>
      <c r="P309" s="9"/>
      <c r="Q309" s="9"/>
      <c r="R309" s="9"/>
      <c r="S309" s="9"/>
      <c r="AX309"/>
      <c r="AY309"/>
      <c r="AZ309"/>
      <c r="BA309"/>
      <c r="BB309"/>
      <c r="BC309"/>
      <c r="BD309"/>
      <c r="BE309"/>
    </row>
    <row r="310" spans="2:57" ht="13.5" customHeight="1" x14ac:dyDescent="0.2">
      <c r="B310" s="10">
        <v>4</v>
      </c>
      <c r="C310" s="34" t="s">
        <v>34</v>
      </c>
      <c r="D310" s="35">
        <f>SUMIF($O$8:$O$34,C310,$X$8:$X$34)</f>
        <v>110673</v>
      </c>
      <c r="E310" s="38">
        <f>SUMIF($O$8:$O$34,C310,$BO$8:$BO$34)</f>
        <v>117400</v>
      </c>
      <c r="F310" s="156">
        <f t="shared" si="48"/>
        <v>6.07</v>
      </c>
      <c r="G310" s="9"/>
      <c r="H310" s="44">
        <v>4</v>
      </c>
      <c r="I310" s="34" t="s">
        <v>30</v>
      </c>
      <c r="J310" s="35">
        <f>SUMIF($O$47:$O$73,I310,$X$47:$X$73)</f>
        <v>308346</v>
      </c>
      <c r="K310" s="38">
        <f>SUMIF($O$47:$O$73,I310,$BO$47:$BO$73)</f>
        <v>175139</v>
      </c>
      <c r="L310" s="156">
        <f t="shared" si="49"/>
        <v>-43.2</v>
      </c>
      <c r="N310" s="9"/>
      <c r="O310" s="9"/>
      <c r="P310" s="9"/>
      <c r="Q310" s="9"/>
      <c r="R310" s="9"/>
      <c r="S310" s="9"/>
      <c r="AX310"/>
      <c r="AY310"/>
      <c r="AZ310"/>
      <c r="BA310"/>
      <c r="BB310"/>
      <c r="BC310"/>
      <c r="BD310"/>
      <c r="BE310"/>
    </row>
    <row r="311" spans="2:57" ht="13.5" customHeight="1" x14ac:dyDescent="0.2">
      <c r="B311" s="10">
        <v>5</v>
      </c>
      <c r="C311" s="34" t="s">
        <v>30</v>
      </c>
      <c r="D311" s="35">
        <f>SUMIF($O$8:$O$34,C311,$X$8:$X$34)</f>
        <v>224865</v>
      </c>
      <c r="E311" s="38">
        <f>SUMIF($O$8:$O$34,C311,$BO$8:$BO$34)</f>
        <v>85245</v>
      </c>
      <c r="F311" s="156">
        <f t="shared" si="48"/>
        <v>-62.09</v>
      </c>
      <c r="G311" s="9"/>
      <c r="H311" s="44">
        <v>5</v>
      </c>
      <c r="I311" s="34" t="s">
        <v>31</v>
      </c>
      <c r="J311" s="35">
        <f>SUMIF($O$47:$O$73,I311,$X$47:$X$73)</f>
        <v>158315</v>
      </c>
      <c r="K311" s="38">
        <f>SUMIF($O$47:$O$73,I311,$BO$47:$BO$73)</f>
        <v>149575</v>
      </c>
      <c r="L311" s="156">
        <f t="shared" si="49"/>
        <v>-5.52</v>
      </c>
      <c r="N311" s="9"/>
      <c r="O311" s="9"/>
      <c r="P311" s="9"/>
      <c r="Q311" s="9"/>
      <c r="R311" s="9"/>
      <c r="S311" s="9"/>
      <c r="AX311"/>
      <c r="AY311"/>
      <c r="AZ311"/>
      <c r="BA311"/>
      <c r="BB311"/>
      <c r="BC311"/>
      <c r="BD311"/>
      <c r="BE311"/>
    </row>
    <row r="312" spans="2:57" ht="13.5" customHeight="1" x14ac:dyDescent="0.2">
      <c r="B312" s="10">
        <v>6</v>
      </c>
      <c r="C312" s="34" t="s">
        <v>36</v>
      </c>
      <c r="D312" s="35">
        <f>SUMIF($O$8:$O$34,C312,$X$8:$X$34)</f>
        <v>97057</v>
      </c>
      <c r="E312" s="38">
        <f>SUMIF($O$8:$O$34,C312,$BO$8:$BO$34)</f>
        <v>81227</v>
      </c>
      <c r="F312" s="156">
        <f t="shared" si="48"/>
        <v>-16.309999999999999</v>
      </c>
      <c r="G312" s="9"/>
      <c r="H312" s="44">
        <v>6</v>
      </c>
      <c r="I312" s="34" t="s">
        <v>27</v>
      </c>
      <c r="J312" s="35">
        <f>SUMIF($O$47:$O$73,I312,$X$47:$X$73)</f>
        <v>84023</v>
      </c>
      <c r="K312" s="38">
        <f>SUMIF($O$47:$O$73,I312,$BO$47:$BO$73)</f>
        <v>87461</v>
      </c>
      <c r="L312" s="156">
        <f t="shared" si="49"/>
        <v>4.09</v>
      </c>
      <c r="N312" s="9"/>
      <c r="O312" s="9"/>
      <c r="P312" s="9"/>
      <c r="Q312" s="9"/>
      <c r="R312" s="9"/>
      <c r="S312" s="9"/>
      <c r="AX312"/>
      <c r="AY312"/>
      <c r="AZ312"/>
      <c r="BA312"/>
      <c r="BB312"/>
      <c r="BC312"/>
      <c r="BD312"/>
      <c r="BE312"/>
    </row>
    <row r="313" spans="2:57" ht="13.5" customHeight="1" x14ac:dyDescent="0.2">
      <c r="B313" s="10">
        <v>7</v>
      </c>
      <c r="C313" s="34" t="s">
        <v>37</v>
      </c>
      <c r="D313" s="35">
        <f>SUMIF($O$8:$O$34,C313,$X$8:$X$34)</f>
        <v>60767</v>
      </c>
      <c r="E313" s="38">
        <f>SUMIF($O$8:$O$34,C313,$BO$8:$BO$34)</f>
        <v>59557</v>
      </c>
      <c r="F313" s="156">
        <f t="shared" si="48"/>
        <v>-1.99</v>
      </c>
      <c r="G313" s="9"/>
      <c r="H313" s="44">
        <v>7</v>
      </c>
      <c r="I313" s="34" t="s">
        <v>4</v>
      </c>
      <c r="J313" s="35">
        <f>SUMIF($O$47:$O$73,I313,$X$47:$X$73)</f>
        <v>59919</v>
      </c>
      <c r="K313" s="38">
        <f>SUMIF($O$47:$O$73,I313,$BO$47:$BO$73)</f>
        <v>59530</v>
      </c>
      <c r="L313" s="156">
        <f t="shared" si="49"/>
        <v>-0.64</v>
      </c>
      <c r="N313" s="9"/>
      <c r="O313" s="9"/>
      <c r="P313" s="9"/>
      <c r="Q313" s="9"/>
      <c r="R313" s="9"/>
      <c r="S313" s="9"/>
      <c r="AX313"/>
      <c r="AY313"/>
      <c r="AZ313"/>
      <c r="BA313"/>
      <c r="BB313"/>
      <c r="BC313"/>
      <c r="BD313"/>
      <c r="BE313"/>
    </row>
    <row r="314" spans="2:57" ht="13.5" customHeight="1" x14ac:dyDescent="0.2">
      <c r="B314" s="10">
        <v>8</v>
      </c>
      <c r="C314" s="34" t="s">
        <v>24</v>
      </c>
      <c r="D314" s="35">
        <f>SUMIF($O$8:$O$34,C314,$X$8:$X$34)</f>
        <v>63201</v>
      </c>
      <c r="E314" s="38">
        <f>SUMIF($O$8:$O$34,C314,$BO$8:$BO$34)</f>
        <v>52586</v>
      </c>
      <c r="F314" s="156">
        <f t="shared" si="48"/>
        <v>-16.79</v>
      </c>
      <c r="G314" s="9"/>
      <c r="H314" s="44">
        <v>8</v>
      </c>
      <c r="I314" s="34" t="s">
        <v>26</v>
      </c>
      <c r="J314" s="35">
        <f>SUMIF($O$47:$O$73,I314,$X$47:$X$73)</f>
        <v>42060</v>
      </c>
      <c r="K314" s="38">
        <f>SUMIF($O$47:$O$73,I314,$BO$47:$BO$73)</f>
        <v>56553</v>
      </c>
      <c r="L314" s="156">
        <f t="shared" si="49"/>
        <v>34.450000000000003</v>
      </c>
      <c r="N314" s="9"/>
      <c r="O314" s="9"/>
      <c r="P314" s="9"/>
      <c r="Q314" s="9"/>
      <c r="R314" s="9"/>
      <c r="S314" s="9"/>
      <c r="AX314"/>
      <c r="AY314"/>
      <c r="AZ314"/>
      <c r="BA314"/>
      <c r="BB314"/>
      <c r="BC314"/>
      <c r="BD314"/>
      <c r="BE314"/>
    </row>
    <row r="315" spans="2:57" ht="13.5" customHeight="1" x14ac:dyDescent="0.2">
      <c r="B315" s="10">
        <v>9</v>
      </c>
      <c r="C315" s="34" t="s">
        <v>23</v>
      </c>
      <c r="D315" s="35">
        <f>SUMIF($O$8:$O$34,C315,$X$8:$X$34)</f>
        <v>45878</v>
      </c>
      <c r="E315" s="38">
        <f>SUMIF($O$8:$O$34,C315,$BO$8:$BO$34)</f>
        <v>20188</v>
      </c>
      <c r="F315" s="156">
        <f t="shared" si="48"/>
        <v>-55.99</v>
      </c>
      <c r="G315" s="9"/>
      <c r="H315" s="44">
        <v>9</v>
      </c>
      <c r="I315" s="34" t="s">
        <v>34</v>
      </c>
      <c r="J315" s="35">
        <f>SUMIF($O$47:$O$73,I315,$X$47:$X$73)</f>
        <v>44343</v>
      </c>
      <c r="K315" s="38">
        <f>SUMIF($O$47:$O$73,I315,$BO$47:$BO$73)</f>
        <v>50000</v>
      </c>
      <c r="L315" s="156">
        <f t="shared" si="49"/>
        <v>12.75</v>
      </c>
      <c r="N315" s="9"/>
      <c r="O315" s="9"/>
      <c r="P315" s="9"/>
      <c r="Q315" s="9"/>
      <c r="R315" s="9"/>
      <c r="S315" s="9"/>
      <c r="AX315"/>
      <c r="AY315"/>
      <c r="AZ315"/>
      <c r="BA315"/>
      <c r="BB315"/>
      <c r="BC315"/>
      <c r="BD315"/>
      <c r="BE315"/>
    </row>
    <row r="316" spans="2:57" ht="13.5" customHeight="1" x14ac:dyDescent="0.2">
      <c r="B316" s="10">
        <v>10</v>
      </c>
      <c r="C316" s="34" t="s">
        <v>40</v>
      </c>
      <c r="D316" s="35">
        <f>SUMIF($O$8:$O$34,C316,$X$8:$X$34)</f>
        <v>26237</v>
      </c>
      <c r="E316" s="38">
        <f>SUMIF($O$8:$O$34,C316,$BO$8:$BO$34)</f>
        <v>18150</v>
      </c>
      <c r="F316" s="156">
        <f t="shared" si="48"/>
        <v>-30.82</v>
      </c>
      <c r="G316" s="9"/>
      <c r="H316" s="44">
        <v>10</v>
      </c>
      <c r="I316" s="34" t="s">
        <v>36</v>
      </c>
      <c r="J316" s="35">
        <f>SUMIF($O$47:$O$73,I316,$X$47:$X$73)</f>
        <v>51308</v>
      </c>
      <c r="K316" s="38">
        <f>SUMIF($O$47:$O$73,I316,$BO$47:$BO$73)</f>
        <v>46780</v>
      </c>
      <c r="L316" s="156">
        <f t="shared" si="49"/>
        <v>-8.82</v>
      </c>
      <c r="N316" s="9"/>
      <c r="O316" s="9"/>
      <c r="P316" s="9"/>
      <c r="Q316" s="9"/>
      <c r="R316" s="9"/>
      <c r="S316" s="9"/>
      <c r="AX316"/>
      <c r="AY316"/>
      <c r="AZ316"/>
      <c r="BA316"/>
      <c r="BB316"/>
      <c r="BC316"/>
      <c r="BD316"/>
      <c r="BE316"/>
    </row>
    <row r="317" spans="2:57" ht="13.5" customHeight="1" x14ac:dyDescent="0.2">
      <c r="B317" s="10">
        <v>11</v>
      </c>
      <c r="C317" s="34" t="s">
        <v>15</v>
      </c>
      <c r="D317" s="35">
        <f>SUMIF($O$8:$O$34,C317,$X$8:$X$34)</f>
        <v>19475</v>
      </c>
      <c r="E317" s="38">
        <f>SUMIF($O$8:$O$34,C317,$BO$8:$BO$34)</f>
        <v>13323</v>
      </c>
      <c r="F317" s="156">
        <f t="shared" si="48"/>
        <v>-31.58</v>
      </c>
      <c r="G317" s="51"/>
      <c r="H317" s="44">
        <v>11</v>
      </c>
      <c r="I317" s="34" t="s">
        <v>37</v>
      </c>
      <c r="J317" s="35">
        <f>SUMIF($O$47:$O$73,I317,$X$47:$X$73)</f>
        <v>43054</v>
      </c>
      <c r="K317" s="38">
        <f>SUMIF($O$47:$O$73,I317,$BO$47:$BO$73)</f>
        <v>40441</v>
      </c>
      <c r="L317" s="156">
        <f t="shared" si="49"/>
        <v>-6.06</v>
      </c>
      <c r="N317" s="9"/>
      <c r="O317" s="9"/>
      <c r="P317" s="9"/>
      <c r="Q317" s="9"/>
      <c r="R317" s="9"/>
      <c r="S317" s="9"/>
      <c r="AX317"/>
      <c r="AY317"/>
      <c r="AZ317"/>
      <c r="BA317"/>
      <c r="BB317"/>
      <c r="BC317"/>
      <c r="BD317"/>
      <c r="BE317"/>
    </row>
    <row r="318" spans="2:57" ht="13.5" customHeight="1" x14ac:dyDescent="0.2">
      <c r="B318" s="10">
        <v>12</v>
      </c>
      <c r="C318" s="34" t="s">
        <v>22</v>
      </c>
      <c r="D318" s="35">
        <f>SUMIF($O$8:$O$34,C318,$X$8:$X$34)</f>
        <v>15623</v>
      </c>
      <c r="E318" s="38">
        <f>SUMIF($O$8:$O$34,C318,$BO$8:$BO$34)</f>
        <v>11846</v>
      </c>
      <c r="F318" s="156">
        <f t="shared" si="48"/>
        <v>-24.17</v>
      </c>
      <c r="G318" s="9"/>
      <c r="H318" s="44">
        <v>12</v>
      </c>
      <c r="I318" s="34" t="s">
        <v>25</v>
      </c>
      <c r="J318" s="35">
        <f>SUMIF($O$47:$O$73,I318,$X$47:$X$73)</f>
        <v>43512</v>
      </c>
      <c r="K318" s="38">
        <f>SUMIF($O$47:$O$73,I318,$BO$47:$BO$73)</f>
        <v>36443</v>
      </c>
      <c r="L318" s="156">
        <f t="shared" si="49"/>
        <v>-16.239999999999998</v>
      </c>
      <c r="N318" s="9"/>
      <c r="O318" s="9"/>
      <c r="P318" s="9"/>
      <c r="Q318" s="9"/>
      <c r="R318" s="9"/>
      <c r="S318" s="9"/>
      <c r="AX318"/>
      <c r="AY318"/>
      <c r="AZ318"/>
      <c r="BA318"/>
      <c r="BB318"/>
      <c r="BC318"/>
      <c r="BD318"/>
      <c r="BE318"/>
    </row>
    <row r="319" spans="2:57" ht="13.5" customHeight="1" x14ac:dyDescent="0.2">
      <c r="B319" s="10">
        <v>13</v>
      </c>
      <c r="C319" s="34" t="s">
        <v>39</v>
      </c>
      <c r="D319" s="35">
        <f>SUMIF($O$8:$O$34,C319,$X$8:$X$34)</f>
        <v>18490</v>
      </c>
      <c r="E319" s="38">
        <f>SUMIF($O$8:$O$34,C319,$BO$8:$BO$34)</f>
        <v>11397</v>
      </c>
      <c r="F319" s="156">
        <f t="shared" si="48"/>
        <v>-38.36</v>
      </c>
      <c r="G319" s="9"/>
      <c r="H319" s="44">
        <v>13</v>
      </c>
      <c r="I319" s="34" t="s">
        <v>22</v>
      </c>
      <c r="J319" s="35">
        <f>SUMIF($O$47:$O$73,I319,$X$47:$X$73)</f>
        <v>34452</v>
      </c>
      <c r="K319" s="38">
        <f>SUMIF($O$47:$O$73,I319,$BO$47:$BO$73)</f>
        <v>28616</v>
      </c>
      <c r="L319" s="156">
        <f t="shared" si="49"/>
        <v>-16.93</v>
      </c>
      <c r="Q319" s="9"/>
      <c r="R319" s="9"/>
      <c r="S319" s="9"/>
      <c r="AX319"/>
      <c r="AY319"/>
      <c r="AZ319"/>
      <c r="BA319"/>
      <c r="BB319"/>
      <c r="BC319"/>
      <c r="BD319"/>
      <c r="BE319"/>
    </row>
    <row r="320" spans="2:57" ht="13.5" customHeight="1" x14ac:dyDescent="0.2">
      <c r="B320" s="10">
        <v>14</v>
      </c>
      <c r="C320" s="34" t="s">
        <v>19</v>
      </c>
      <c r="D320" s="35">
        <f>SUMIF($O$8:$O$34,C320,$X$8:$X$34)</f>
        <v>9884</v>
      </c>
      <c r="E320" s="38">
        <f>SUMIF($O$8:$O$34,C320,$BO$8:$BO$34)</f>
        <v>10075</v>
      </c>
      <c r="F320" s="156">
        <f t="shared" si="48"/>
        <v>1.93</v>
      </c>
      <c r="G320" s="9"/>
      <c r="H320" s="44">
        <v>14</v>
      </c>
      <c r="I320" s="34" t="s">
        <v>15</v>
      </c>
      <c r="J320" s="35">
        <f>SUMIF($O$47:$O$73,I320,$X$47:$X$73)</f>
        <v>22285</v>
      </c>
      <c r="K320" s="38">
        <f>SUMIF($O$47:$O$73,I320,$BO$47:$BO$73)</f>
        <v>18790</v>
      </c>
      <c r="L320" s="156">
        <f t="shared" si="49"/>
        <v>-15.68</v>
      </c>
      <c r="Q320" s="9"/>
      <c r="R320" s="9"/>
      <c r="S320" s="9"/>
      <c r="AX320"/>
      <c r="AY320"/>
      <c r="AZ320"/>
      <c r="BA320"/>
      <c r="BB320"/>
      <c r="BC320"/>
      <c r="BD320"/>
      <c r="BE320"/>
    </row>
    <row r="321" spans="2:57" ht="13.5" customHeight="1" x14ac:dyDescent="0.2">
      <c r="B321" s="10">
        <v>15</v>
      </c>
      <c r="C321" s="34" t="s">
        <v>26</v>
      </c>
      <c r="D321" s="35">
        <f>SUMIF($O$8:$O$34,C321,$X$8:$X$34)</f>
        <v>3555</v>
      </c>
      <c r="E321" s="38">
        <f>SUMIF($O$8:$O$34,C321,$BO$8:$BO$34)</f>
        <v>6193</v>
      </c>
      <c r="F321" s="156">
        <f t="shared" si="48"/>
        <v>74.2</v>
      </c>
      <c r="G321" s="9"/>
      <c r="H321" s="44">
        <v>15</v>
      </c>
      <c r="I321" s="34" t="s">
        <v>19</v>
      </c>
      <c r="J321" s="35">
        <f>SUMIF($O$47:$O$73,I321,$X$47:$X$73)</f>
        <v>13968</v>
      </c>
      <c r="K321" s="38">
        <f>SUMIF($O$47:$O$73,I321,$BO$47:$BO$73)</f>
        <v>12702</v>
      </c>
      <c r="L321" s="156">
        <f t="shared" si="49"/>
        <v>-9.06</v>
      </c>
      <c r="Q321" s="9"/>
      <c r="R321" s="9"/>
      <c r="S321" s="9"/>
      <c r="AX321"/>
      <c r="AY321"/>
      <c r="AZ321"/>
      <c r="BA321"/>
      <c r="BB321"/>
      <c r="BC321"/>
      <c r="BD321"/>
      <c r="BE321"/>
    </row>
    <row r="322" spans="2:57" ht="13.5" customHeight="1" x14ac:dyDescent="0.2">
      <c r="B322" s="10">
        <v>16</v>
      </c>
      <c r="C322" s="34" t="s">
        <v>32</v>
      </c>
      <c r="D322" s="35">
        <f>SUMIF($O$8:$O$34,C322,$X$8:$X$34)</f>
        <v>3941</v>
      </c>
      <c r="E322" s="38">
        <f>SUMIF($O$8:$O$34,C322,$BO$8:$BO$34)</f>
        <v>6115</v>
      </c>
      <c r="F322" s="156">
        <f t="shared" si="48"/>
        <v>55.16</v>
      </c>
      <c r="G322" s="9"/>
      <c r="H322" s="44">
        <v>16</v>
      </c>
      <c r="I322" s="34" t="s">
        <v>40</v>
      </c>
      <c r="J322" s="35">
        <f>SUMIF($O$47:$O$73,I322,$X$47:$X$73)</f>
        <v>13462</v>
      </c>
      <c r="K322" s="38">
        <f>SUMIF($O$47:$O$73,I322,$BO$47:$BO$73)</f>
        <v>12100</v>
      </c>
      <c r="L322" s="156">
        <f t="shared" si="49"/>
        <v>-10.11</v>
      </c>
      <c r="Q322" s="9"/>
      <c r="R322" s="9"/>
      <c r="S322" s="9"/>
      <c r="AX322"/>
      <c r="AY322"/>
      <c r="AZ322"/>
      <c r="BA322"/>
      <c r="BB322"/>
      <c r="BC322"/>
      <c r="BD322"/>
      <c r="BE322"/>
    </row>
    <row r="323" spans="2:57" ht="13.5" customHeight="1" x14ac:dyDescent="0.2">
      <c r="B323" s="10">
        <v>17</v>
      </c>
      <c r="C323" s="34" t="s">
        <v>27</v>
      </c>
      <c r="D323" s="35">
        <f>SUMIF($O$8:$O$34,C323,$X$8:$X$34)</f>
        <v>4265</v>
      </c>
      <c r="E323" s="38">
        <f>SUMIF($O$8:$O$34,C323,$BO$8:$BO$34)</f>
        <v>5634</v>
      </c>
      <c r="F323" s="156">
        <f>IF(E323=0,0,TRUNC(((E323/D323)-1)*100,2))</f>
        <v>32.090000000000003</v>
      </c>
      <c r="G323" s="9"/>
      <c r="H323" s="44">
        <v>17</v>
      </c>
      <c r="I323" s="34" t="s">
        <v>39</v>
      </c>
      <c r="J323" s="35">
        <f>SUMIF($O$47:$O$73,I323,$X$47:$X$73)</f>
        <v>10401</v>
      </c>
      <c r="K323" s="38">
        <f>SUMIF($O$47:$O$73,I323,$BO$47:$BO$73)</f>
        <v>8414</v>
      </c>
      <c r="L323" s="156">
        <f>IF(K323=0,0,TRUNC(((K323/J323)-1)*100,2))</f>
        <v>-19.100000000000001</v>
      </c>
      <c r="Q323" s="9"/>
      <c r="R323" s="9"/>
      <c r="S323" s="9"/>
      <c r="AX323"/>
      <c r="AY323"/>
      <c r="AZ323"/>
      <c r="BA323"/>
      <c r="BB323"/>
      <c r="BC323"/>
      <c r="BD323"/>
      <c r="BE323"/>
    </row>
    <row r="324" spans="2:57" ht="13.5" customHeight="1" x14ac:dyDescent="0.2">
      <c r="B324" s="10">
        <v>18</v>
      </c>
      <c r="C324" s="34" t="s">
        <v>17</v>
      </c>
      <c r="D324" s="35">
        <f>SUMIF($O$8:$O$34,C324,$X$8:$X$34)</f>
        <v>2121</v>
      </c>
      <c r="E324" s="38">
        <f>SUMIF($O$8:$O$34,C324,$BO$8:$BO$34)</f>
        <v>4205</v>
      </c>
      <c r="F324" s="156">
        <f t="shared" ref="F324:F333" si="50">IF(E324=0,0,TRUNC(((E324/D324)-1)*100,2))</f>
        <v>98.25</v>
      </c>
      <c r="G324" s="9"/>
      <c r="H324" s="44">
        <v>18</v>
      </c>
      <c r="I324" s="34" t="s">
        <v>32</v>
      </c>
      <c r="J324" s="35">
        <f>SUMIF($O$47:$O$73,I324,$X$47:$X$73)</f>
        <v>5898</v>
      </c>
      <c r="K324" s="38">
        <f>SUMIF($O$47:$O$73,I324,$BO$47:$BO$73)</f>
        <v>4938</v>
      </c>
      <c r="L324" s="156">
        <f t="shared" ref="L324:L333" si="51">IF(K324=0,0,TRUNC(((K324/J324)-1)*100,2))</f>
        <v>-16.27</v>
      </c>
      <c r="Q324" s="9"/>
      <c r="R324" s="9"/>
      <c r="S324" s="9"/>
      <c r="AX324"/>
      <c r="AY324"/>
      <c r="AZ324"/>
      <c r="BA324"/>
      <c r="BB324"/>
      <c r="BC324"/>
      <c r="BD324"/>
      <c r="BE324"/>
    </row>
    <row r="325" spans="2:57" ht="13.5" customHeight="1" x14ac:dyDescent="0.2">
      <c r="B325" s="10">
        <v>19</v>
      </c>
      <c r="C325" s="34" t="s">
        <v>25</v>
      </c>
      <c r="D325" s="35">
        <f>SUMIF($O$8:$O$34,C325,$X$8:$X$34)</f>
        <v>4030</v>
      </c>
      <c r="E325" s="38">
        <f>SUMIF($O$8:$O$34,C325,$BO$8:$BO$34)</f>
        <v>3569</v>
      </c>
      <c r="F325" s="156">
        <f t="shared" si="50"/>
        <v>-11.43</v>
      </c>
      <c r="G325" s="9"/>
      <c r="H325" s="44">
        <v>19</v>
      </c>
      <c r="I325" s="34" t="s">
        <v>17</v>
      </c>
      <c r="J325" s="35">
        <f>SUMIF($O$47:$O$73,I325,$X$47:$X$73)</f>
        <v>2053</v>
      </c>
      <c r="K325" s="38">
        <f>SUMIF($O$47:$O$73,I325,$BO$47:$BO$73)</f>
        <v>4000</v>
      </c>
      <c r="L325" s="156">
        <f t="shared" si="51"/>
        <v>94.83</v>
      </c>
      <c r="Q325" s="9"/>
      <c r="R325" s="9"/>
      <c r="S325" s="9"/>
      <c r="AX325"/>
      <c r="AY325"/>
      <c r="AZ325"/>
      <c r="BA325"/>
      <c r="BB325"/>
      <c r="BC325"/>
      <c r="BD325"/>
      <c r="BE325"/>
    </row>
    <row r="326" spans="2:57" ht="13.5" customHeight="1" x14ac:dyDescent="0.2">
      <c r="B326" s="10">
        <v>20</v>
      </c>
      <c r="C326" s="34" t="s">
        <v>18</v>
      </c>
      <c r="D326" s="35">
        <f>SUMIF($O$8:$O$34,C326,$X$8:$X$34)</f>
        <v>1964</v>
      </c>
      <c r="E326" s="38">
        <f>SUMIF($O$8:$O$34,C326,$BO$8:$BO$34)</f>
        <v>1955</v>
      </c>
      <c r="F326" s="156">
        <f t="shared" si="50"/>
        <v>-0.45</v>
      </c>
      <c r="G326" s="9"/>
      <c r="H326" s="44">
        <v>20</v>
      </c>
      <c r="I326" s="34" t="s">
        <v>18</v>
      </c>
      <c r="J326" s="35">
        <f>SUMIF($O$47:$O$73,I326,$X$47:$X$73)</f>
        <v>2688</v>
      </c>
      <c r="K326" s="38">
        <f>SUMIF($O$47:$O$73,I326,$BO$47:$BO$73)</f>
        <v>2688</v>
      </c>
      <c r="L326" s="156">
        <f t="shared" si="51"/>
        <v>0</v>
      </c>
      <c r="Q326" s="9"/>
      <c r="R326" s="9"/>
      <c r="S326" s="9"/>
      <c r="AX326"/>
      <c r="AY326"/>
      <c r="AZ326"/>
      <c r="BA326"/>
      <c r="BB326"/>
      <c r="BC326"/>
      <c r="BD326"/>
      <c r="BE326"/>
    </row>
    <row r="327" spans="2:57" ht="13.5" customHeight="1" x14ac:dyDescent="0.2">
      <c r="B327" s="10">
        <v>21</v>
      </c>
      <c r="C327" s="34" t="s">
        <v>21</v>
      </c>
      <c r="D327" s="35">
        <f>SUMIF($O$8:$O$34,C327,$X$8:$X$34)</f>
        <v>1780</v>
      </c>
      <c r="E327" s="38">
        <f>SUMIF($O$8:$O$34,C327,$BO$8:$BO$34)</f>
        <v>1623</v>
      </c>
      <c r="F327" s="156">
        <f t="shared" si="50"/>
        <v>-8.82</v>
      </c>
      <c r="G327" s="9"/>
      <c r="H327" s="44">
        <v>21</v>
      </c>
      <c r="I327" s="34" t="s">
        <v>21</v>
      </c>
      <c r="J327" s="35">
        <f>SUMIF($O$47:$O$73,I327,$X$47:$X$73)</f>
        <v>2791</v>
      </c>
      <c r="K327" s="38">
        <f>SUMIF($O$47:$O$73,I327,$BO$47:$BO$73)</f>
        <v>2545</v>
      </c>
      <c r="L327" s="156">
        <f t="shared" si="51"/>
        <v>-8.81</v>
      </c>
      <c r="Q327" s="9"/>
      <c r="R327" s="9"/>
      <c r="S327" s="9"/>
      <c r="AX327"/>
      <c r="AY327"/>
      <c r="AZ327"/>
      <c r="BA327"/>
      <c r="BB327"/>
      <c r="BC327"/>
      <c r="BD327"/>
      <c r="BE327"/>
    </row>
    <row r="328" spans="2:57" ht="13.5" customHeight="1" x14ac:dyDescent="0.2">
      <c r="B328" s="10">
        <v>22</v>
      </c>
      <c r="C328" s="34" t="s">
        <v>33</v>
      </c>
      <c r="D328" s="35">
        <f>SUMIF($O$8:$O$34,C328,$X$8:$X$34)</f>
        <v>664</v>
      </c>
      <c r="E328" s="38">
        <f>SUMIF($O$8:$O$34,C328,$BO$8:$BO$34)</f>
        <v>806</v>
      </c>
      <c r="F328" s="156">
        <f t="shared" si="50"/>
        <v>21.38</v>
      </c>
      <c r="G328" s="9"/>
      <c r="H328" s="44">
        <v>22</v>
      </c>
      <c r="I328" s="34" t="s">
        <v>33</v>
      </c>
      <c r="J328" s="35">
        <f>SUMIF($O$47:$O$73,I328,$X$47:$X$73)</f>
        <v>717</v>
      </c>
      <c r="K328" s="38">
        <f>SUMIF($O$47:$O$73,I328,$BO$47:$BO$73)</f>
        <v>834</v>
      </c>
      <c r="L328" s="156">
        <f t="shared" si="51"/>
        <v>16.309999999999999</v>
      </c>
      <c r="Q328" s="9"/>
      <c r="R328" s="9"/>
      <c r="S328" s="9"/>
      <c r="AX328"/>
      <c r="AY328"/>
      <c r="AZ328"/>
      <c r="BA328"/>
      <c r="BB328"/>
      <c r="BC328"/>
      <c r="BD328"/>
      <c r="BE328"/>
    </row>
    <row r="329" spans="2:57" ht="13.5" customHeight="1" x14ac:dyDescent="0.2">
      <c r="B329" s="10">
        <v>23</v>
      </c>
      <c r="C329" s="34" t="s">
        <v>38</v>
      </c>
      <c r="D329" s="35">
        <f>SUMIF($O$8:$O$34,C329,$X$8:$X$34)</f>
        <v>1055</v>
      </c>
      <c r="E329" s="38">
        <f>SUMIF($O$8:$O$34,C329,$BO$8:$BO$34)</f>
        <v>779</v>
      </c>
      <c r="F329" s="156">
        <f t="shared" si="50"/>
        <v>-26.16</v>
      </c>
      <c r="G329" s="9"/>
      <c r="H329" s="44">
        <v>23</v>
      </c>
      <c r="I329" s="34" t="s">
        <v>28</v>
      </c>
      <c r="J329" s="35">
        <f>SUMIF($O$47:$O$73,I329,$X$47:$X$73)</f>
        <v>200</v>
      </c>
      <c r="K329" s="38">
        <f>SUMIF($O$47:$O$73,I329,$BO$47:$BO$73)</f>
        <v>572</v>
      </c>
      <c r="L329" s="156">
        <f t="shared" si="51"/>
        <v>186</v>
      </c>
      <c r="Q329" s="9"/>
      <c r="R329" s="9"/>
      <c r="S329" s="9"/>
      <c r="AX329"/>
      <c r="AY329"/>
      <c r="AZ329"/>
      <c r="BA329"/>
      <c r="BB329"/>
      <c r="BC329"/>
      <c r="BD329"/>
      <c r="BE329"/>
    </row>
    <row r="330" spans="2:57" ht="13.5" customHeight="1" x14ac:dyDescent="0.2">
      <c r="B330" s="10">
        <v>24</v>
      </c>
      <c r="C330" s="34" t="s">
        <v>29</v>
      </c>
      <c r="D330" s="35">
        <f>SUMIF($O$8:$O$34,C330,$X$8:$X$34)</f>
        <v>510</v>
      </c>
      <c r="E330" s="38">
        <f>SUMIF($O$8:$O$34,C330,$BO$8:$BO$34)</f>
        <v>360</v>
      </c>
      <c r="F330" s="156">
        <f t="shared" si="50"/>
        <v>-29.41</v>
      </c>
      <c r="G330" s="9"/>
      <c r="H330" s="44">
        <v>24</v>
      </c>
      <c r="I330" s="34" t="s">
        <v>38</v>
      </c>
      <c r="J330" s="35">
        <f>SUMIF($O$47:$O$73,I330,$X$47:$X$73)</f>
        <v>485</v>
      </c>
      <c r="K330" s="38">
        <f>SUMIF($O$47:$O$73,I330,$BO$47:$BO$73)</f>
        <v>540</v>
      </c>
      <c r="L330" s="156">
        <f t="shared" si="51"/>
        <v>11.34</v>
      </c>
      <c r="BA330"/>
      <c r="BB330"/>
      <c r="BC330"/>
      <c r="BD330"/>
      <c r="BE330"/>
    </row>
    <row r="331" spans="2:57" ht="13.5" customHeight="1" x14ac:dyDescent="0.2">
      <c r="B331" s="10">
        <v>25</v>
      </c>
      <c r="C331" s="34" t="s">
        <v>28</v>
      </c>
      <c r="D331" s="35">
        <f>SUMIF($O$8:$O$34,C331,$X$8:$X$34)</f>
        <v>120</v>
      </c>
      <c r="E331" s="38">
        <f>SUMIF($O$8:$O$34,C331,$BO$8:$BO$34)</f>
        <v>337</v>
      </c>
      <c r="F331" s="156">
        <f t="shared" si="50"/>
        <v>180.83</v>
      </c>
      <c r="G331" s="9"/>
      <c r="H331" s="44">
        <v>25</v>
      </c>
      <c r="I331" s="34" t="s">
        <v>29</v>
      </c>
      <c r="J331" s="35">
        <f>SUMIF($O$47:$O$73,I331,$X$47:$X$73)</f>
        <v>170</v>
      </c>
      <c r="K331" s="38">
        <f>SUMIF($O$47:$O$73,I331,$BO$47:$BO$73)</f>
        <v>120</v>
      </c>
      <c r="L331" s="156">
        <f t="shared" si="51"/>
        <v>-29.41</v>
      </c>
      <c r="BA331"/>
      <c r="BB331"/>
      <c r="BC331"/>
      <c r="BD331"/>
      <c r="BE331"/>
    </row>
    <row r="332" spans="2:57" ht="13.5" customHeight="1" x14ac:dyDescent="0.2">
      <c r="B332" s="10">
        <v>26</v>
      </c>
      <c r="C332" s="34" t="s">
        <v>16</v>
      </c>
      <c r="D332" s="35">
        <f>SUMIF($O$8:$O$34,C332,$X$8:$X$34)</f>
        <v>0</v>
      </c>
      <c r="E332" s="38">
        <f>SUMIF($O$8:$O$34,C332,$BO$8:$BO$34)</f>
        <v>0</v>
      </c>
      <c r="F332" s="156">
        <f t="shared" si="50"/>
        <v>0</v>
      </c>
      <c r="G332" s="9"/>
      <c r="H332" s="44">
        <v>26</v>
      </c>
      <c r="I332" s="34" t="s">
        <v>16</v>
      </c>
      <c r="J332" s="35">
        <f>SUMIF($O$47:$O$73,I332,$X$47:$X$73)</f>
        <v>0</v>
      </c>
      <c r="K332" s="38">
        <f>SUMIF($O$47:$O$73,I332,$BO$47:$BO$73)</f>
        <v>0</v>
      </c>
      <c r="L332" s="156">
        <f t="shared" si="51"/>
        <v>0</v>
      </c>
      <c r="BA332"/>
      <c r="BB332"/>
      <c r="BC332"/>
      <c r="BD332"/>
      <c r="BE332"/>
    </row>
    <row r="333" spans="2:57" ht="13.5" customHeight="1" x14ac:dyDescent="0.2">
      <c r="B333" s="10">
        <v>27</v>
      </c>
      <c r="C333" s="34" t="s">
        <v>20</v>
      </c>
      <c r="D333" s="35">
        <f>SUMIF($O$8:$O$34,C333,$X$8:$X$34)</f>
        <v>0</v>
      </c>
      <c r="E333" s="38">
        <f>SUMIF($O$8:$O$34,C333,$BO$8:$BO$34)</f>
        <v>0</v>
      </c>
      <c r="F333" s="156">
        <f t="shared" si="50"/>
        <v>0</v>
      </c>
      <c r="G333" s="9"/>
      <c r="H333" s="44">
        <v>27</v>
      </c>
      <c r="I333" s="34" t="s">
        <v>20</v>
      </c>
      <c r="J333" s="35">
        <f>SUMIF($O$47:$O$73,I333,$X$47:$X$73)</f>
        <v>0</v>
      </c>
      <c r="K333" s="38">
        <f>SUMIF($O$47:$O$73,I333,$BO$47:$BO$73)</f>
        <v>0</v>
      </c>
      <c r="L333" s="156">
        <f t="shared" si="51"/>
        <v>0</v>
      </c>
      <c r="BA333"/>
      <c r="BB333"/>
      <c r="BC333"/>
      <c r="BD333"/>
      <c r="BE333"/>
    </row>
    <row r="334" spans="2:57" ht="13.5" customHeight="1" x14ac:dyDescent="0.2">
      <c r="B334" s="10"/>
      <c r="C334" s="34" t="s">
        <v>9</v>
      </c>
      <c r="D334" s="39">
        <f>SUM(D307:D333)</f>
        <v>1350115</v>
      </c>
      <c r="E334" s="39">
        <f>SUM(E307:E333)</f>
        <v>1128932</v>
      </c>
      <c r="F334" s="158">
        <f t="shared" ref="F334:F335" si="52">TRUNC(((E334/D334)-1)*100,2)</f>
        <v>-16.38</v>
      </c>
      <c r="G334" s="9"/>
      <c r="H334" s="44"/>
      <c r="I334" s="34" t="s">
        <v>9</v>
      </c>
      <c r="J334" s="39">
        <f>SUM(J307:J333)</f>
        <v>1760483</v>
      </c>
      <c r="K334" s="39">
        <f>SUM(K307:K333)</f>
        <v>1579926</v>
      </c>
      <c r="L334" s="40">
        <f>TRUNC(((K334/J334)-1)*100,2)</f>
        <v>-10.25</v>
      </c>
      <c r="BA334"/>
      <c r="BB334"/>
      <c r="BC334"/>
      <c r="BD334"/>
      <c r="BE334"/>
    </row>
    <row r="335" spans="2:57" ht="13.5" customHeight="1" x14ac:dyDescent="0.2">
      <c r="B335" s="49"/>
      <c r="C335" s="55" t="s">
        <v>83</v>
      </c>
      <c r="D335" s="52">
        <f>SUM(X8:X34)</f>
        <v>1350115</v>
      </c>
      <c r="E335" s="52">
        <f>SUM(BO8:BO34)</f>
        <v>1128932</v>
      </c>
      <c r="F335" s="56">
        <f t="shared" si="52"/>
        <v>-16.38</v>
      </c>
      <c r="G335" s="1"/>
      <c r="H335" s="49"/>
      <c r="I335" s="55" t="s">
        <v>83</v>
      </c>
      <c r="J335" s="52">
        <f>SUM(X47:X73)</f>
        <v>1760483</v>
      </c>
      <c r="K335" s="52">
        <f>SUM(BO47:BO73)</f>
        <v>1579926</v>
      </c>
      <c r="L335" s="56">
        <f>TRUNC(((K335/J335)-1)*100,2)</f>
        <v>-10.25</v>
      </c>
      <c r="BA335"/>
      <c r="BB335"/>
      <c r="BC335"/>
      <c r="BD335"/>
      <c r="BE335"/>
    </row>
    <row r="336" spans="2:57" ht="13.5" customHeight="1" x14ac:dyDescent="0.2">
      <c r="BA336"/>
      <c r="BB336"/>
      <c r="BC336"/>
      <c r="BD336"/>
      <c r="BE336"/>
    </row>
    <row r="337" spans="2:57" ht="13.5" customHeight="1" x14ac:dyDescent="0.2">
      <c r="BA337"/>
      <c r="BB337"/>
      <c r="BC337"/>
      <c r="BD337"/>
      <c r="BE337"/>
    </row>
    <row r="338" spans="2:57" x14ac:dyDescent="0.2">
      <c r="BB338"/>
      <c r="BC338"/>
      <c r="BD338"/>
      <c r="BE338"/>
    </row>
    <row r="339" spans="2:57" x14ac:dyDescent="0.2">
      <c r="BB339"/>
      <c r="BC339"/>
      <c r="BD339"/>
      <c r="BE339"/>
    </row>
    <row r="340" spans="2:57" x14ac:dyDescent="0.2">
      <c r="B340" s="6" t="s">
        <v>88</v>
      </c>
      <c r="C340" s="242" t="s">
        <v>41</v>
      </c>
      <c r="D340" s="243"/>
      <c r="E340" s="244"/>
      <c r="F340" s="9"/>
      <c r="G340" s="9"/>
      <c r="H340" s="6" t="s">
        <v>88</v>
      </c>
      <c r="I340" s="239" t="s">
        <v>5</v>
      </c>
      <c r="J340" s="240"/>
      <c r="K340" s="241"/>
      <c r="L340" s="6" t="s">
        <v>89</v>
      </c>
      <c r="BB340"/>
      <c r="BC340"/>
      <c r="BD340"/>
      <c r="BE340"/>
    </row>
    <row r="341" spans="2:57" x14ac:dyDescent="0.2">
      <c r="B341" s="6" t="s">
        <v>4</v>
      </c>
      <c r="C341" s="260" t="s">
        <v>95</v>
      </c>
      <c r="D341" s="261"/>
      <c r="E341" s="262"/>
      <c r="F341" s="9"/>
      <c r="G341" s="9"/>
      <c r="H341" s="6" t="s">
        <v>4</v>
      </c>
      <c r="I341" s="263" t="str">
        <f>C341</f>
        <v>Produto: Feijão 2ª safra</v>
      </c>
      <c r="J341" s="264"/>
      <c r="K341" s="265"/>
      <c r="L341" s="6" t="s">
        <v>90</v>
      </c>
      <c r="BB341"/>
      <c r="BC341"/>
      <c r="BD341"/>
      <c r="BE341"/>
    </row>
    <row r="342" spans="2:57" x14ac:dyDescent="0.2">
      <c r="B342" s="128">
        <f>SUMIF(C344:C370,"Goiás",B344:B370)</f>
        <v>5</v>
      </c>
      <c r="C342" s="237" t="s">
        <v>14</v>
      </c>
      <c r="D342" s="237" t="str">
        <f>D305</f>
        <v>Safra 2015 (dezembro)</v>
      </c>
      <c r="E342" s="245" t="str">
        <f>E305</f>
        <v>Safra 2016 (dezembro)</v>
      </c>
      <c r="F342" s="5">
        <f>COUNTIF(E344:E370,"&gt;0")</f>
        <v>25</v>
      </c>
      <c r="G342" s="9"/>
      <c r="H342" s="128">
        <f>SUMIF(I344:I370,"Goiás",H344:H370)</f>
        <v>8</v>
      </c>
      <c r="I342" s="237" t="s">
        <v>14</v>
      </c>
      <c r="J342" s="237" t="str">
        <f>D342</f>
        <v>Safra 2015 (dezembro)</v>
      </c>
      <c r="K342" s="245" t="str">
        <f>E342</f>
        <v>Safra 2016 (dezembro)</v>
      </c>
      <c r="L342" s="129">
        <f>COUNTIF(K344:K370,"&gt;0")</f>
        <v>25</v>
      </c>
    </row>
    <row r="343" spans="2:57" x14ac:dyDescent="0.2">
      <c r="B343" s="6" t="s">
        <v>67</v>
      </c>
      <c r="C343" s="238"/>
      <c r="D343" s="238"/>
      <c r="E343" s="246"/>
      <c r="F343" s="37" t="s">
        <v>66</v>
      </c>
      <c r="G343" s="9"/>
      <c r="H343" s="37" t="s">
        <v>67</v>
      </c>
      <c r="I343" s="238"/>
      <c r="J343" s="238"/>
      <c r="K343" s="246"/>
      <c r="L343" s="37" t="s">
        <v>66</v>
      </c>
    </row>
    <row r="344" spans="2:57" x14ac:dyDescent="0.2">
      <c r="B344" s="10">
        <v>1</v>
      </c>
      <c r="C344" s="34" t="s">
        <v>35</v>
      </c>
      <c r="D344" s="35">
        <f>SUMIF($O$8:$O$34,C344,$Y$8:$Y$34)</f>
        <v>380490</v>
      </c>
      <c r="E344" s="38">
        <f>SUMIF($O$8:$O$34,C344,$BP$8:$BP$34)</f>
        <v>303909</v>
      </c>
      <c r="F344" s="156">
        <f t="shared" ref="F344:F359" si="53">IF(E344=0,0,TRUNC(((E344/D344)-1)*100,2))</f>
        <v>-20.12</v>
      </c>
      <c r="G344" s="9"/>
      <c r="H344" s="44">
        <v>1</v>
      </c>
      <c r="I344" s="34" t="s">
        <v>39</v>
      </c>
      <c r="J344" s="35">
        <f>SUMIF($O$47:$O$73,I344,$Y$47:$Y$73)</f>
        <v>199518</v>
      </c>
      <c r="K344" s="38">
        <f>SUMIF($O$47:$O$73,I344,$BP$47:$BP$73)</f>
        <v>213440</v>
      </c>
      <c r="L344" s="156">
        <f t="shared" ref="L344:L359" si="54">IF(K344=0,0,TRUNC(((K344/J344)-1)*100,2))</f>
        <v>6.97</v>
      </c>
    </row>
    <row r="345" spans="2:57" x14ac:dyDescent="0.2">
      <c r="B345" s="10">
        <v>2</v>
      </c>
      <c r="C345" s="34" t="s">
        <v>39</v>
      </c>
      <c r="D345" s="35">
        <f>SUMIF($O$8:$O$34,C345,$Y$8:$Y$34)</f>
        <v>240024</v>
      </c>
      <c r="E345" s="38">
        <f>SUMIF($O$8:$O$34,C345,$BP$8:$BP$34)</f>
        <v>160970</v>
      </c>
      <c r="F345" s="156">
        <f t="shared" si="53"/>
        <v>-32.93</v>
      </c>
      <c r="G345" s="9"/>
      <c r="H345" s="44">
        <v>2</v>
      </c>
      <c r="I345" s="34" t="s">
        <v>35</v>
      </c>
      <c r="J345" s="35">
        <f>SUMIF($O$47:$O$73,I345,$Y$47:$Y$73)</f>
        <v>210969</v>
      </c>
      <c r="K345" s="38">
        <f>SUMIF($O$47:$O$73,I345,$BP$47:$BP$73)</f>
        <v>204177</v>
      </c>
      <c r="L345" s="156">
        <f t="shared" si="54"/>
        <v>-3.21</v>
      </c>
    </row>
    <row r="346" spans="2:57" x14ac:dyDescent="0.2">
      <c r="B346" s="10">
        <v>3</v>
      </c>
      <c r="C346" s="34" t="s">
        <v>31</v>
      </c>
      <c r="D346" s="35">
        <f>SUMIF($O$8:$O$34,C346,$Y$8:$Y$34)</f>
        <v>157402</v>
      </c>
      <c r="E346" s="38">
        <f>SUMIF($O$8:$O$34,C346,$BP$8:$BP$34)</f>
        <v>151260</v>
      </c>
      <c r="F346" s="156">
        <f t="shared" si="53"/>
        <v>-3.9</v>
      </c>
      <c r="G346" s="9"/>
      <c r="H346" s="44">
        <v>3</v>
      </c>
      <c r="I346" s="34" t="s">
        <v>30</v>
      </c>
      <c r="J346" s="35">
        <f>SUMIF($O$47:$O$73,I346,$Y$47:$Y$73)</f>
        <v>256474</v>
      </c>
      <c r="K346" s="38">
        <f>SUMIF($O$47:$O$73,I346,$BP$47:$BP$73)</f>
        <v>186090</v>
      </c>
      <c r="L346" s="156">
        <f t="shared" si="54"/>
        <v>-27.44</v>
      </c>
      <c r="BA346"/>
      <c r="BB346"/>
      <c r="BC346"/>
      <c r="BD346"/>
      <c r="BE346"/>
    </row>
    <row r="347" spans="2:57" x14ac:dyDescent="0.2">
      <c r="B347" s="10">
        <v>4</v>
      </c>
      <c r="C347" s="34" t="s">
        <v>30</v>
      </c>
      <c r="D347" s="35">
        <f>SUMIF($O$8:$O$34,C347,$Y$8:$Y$34)</f>
        <v>189614</v>
      </c>
      <c r="E347" s="38">
        <f>SUMIF($O$8:$O$34,C347,$BP$8:$BP$34)</f>
        <v>85690</v>
      </c>
      <c r="F347" s="156">
        <f t="shared" si="53"/>
        <v>-54.8</v>
      </c>
      <c r="G347" s="9"/>
      <c r="H347" s="44">
        <v>4</v>
      </c>
      <c r="I347" s="34" t="s">
        <v>27</v>
      </c>
      <c r="J347" s="35">
        <f>SUMIF($O$47:$O$73,I347,$Y$47:$Y$73)</f>
        <v>105100</v>
      </c>
      <c r="K347" s="38">
        <f>SUMIF($O$47:$O$73,I347,$BP$47:$BP$73)</f>
        <v>122215</v>
      </c>
      <c r="L347" s="156">
        <f t="shared" si="54"/>
        <v>16.28</v>
      </c>
      <c r="BA347"/>
      <c r="BB347"/>
      <c r="BC347"/>
      <c r="BD347"/>
      <c r="BE347"/>
    </row>
    <row r="348" spans="2:57" x14ac:dyDescent="0.2">
      <c r="B348" s="10">
        <v>5</v>
      </c>
      <c r="C348" s="34" t="s">
        <v>4</v>
      </c>
      <c r="D348" s="35">
        <f>SUMIF($O$8:$O$34,C348,$Y$8:$Y$34)</f>
        <v>44231</v>
      </c>
      <c r="E348" s="38">
        <f>SUMIF($O$8:$O$34,C348,$BP$8:$BP$34)</f>
        <v>56924</v>
      </c>
      <c r="F348" s="156">
        <f t="shared" si="53"/>
        <v>28.69</v>
      </c>
      <c r="G348" s="9"/>
      <c r="H348" s="44">
        <v>5</v>
      </c>
      <c r="I348" s="34" t="s">
        <v>31</v>
      </c>
      <c r="J348" s="35">
        <f>SUMIF($O$47:$O$73,I348,$Y$47:$Y$73)</f>
        <v>114179</v>
      </c>
      <c r="K348" s="38">
        <f>SUMIF($O$47:$O$73,I348,$BP$47:$BP$73)</f>
        <v>118562</v>
      </c>
      <c r="L348" s="156">
        <f t="shared" si="54"/>
        <v>3.83</v>
      </c>
      <c r="BA348"/>
      <c r="BB348"/>
      <c r="BC348"/>
      <c r="BD348"/>
      <c r="BE348"/>
    </row>
    <row r="349" spans="2:57" x14ac:dyDescent="0.2">
      <c r="B349" s="10">
        <v>6</v>
      </c>
      <c r="C349" s="34" t="s">
        <v>36</v>
      </c>
      <c r="D349" s="35">
        <f>SUMIF($O$8:$O$34,C349,$Y$8:$Y$34)</f>
        <v>41719</v>
      </c>
      <c r="E349" s="38">
        <f>SUMIF($O$8:$O$34,C349,$BP$8:$BP$34)</f>
        <v>42396</v>
      </c>
      <c r="F349" s="156">
        <f t="shared" si="53"/>
        <v>1.62</v>
      </c>
      <c r="G349" s="9"/>
      <c r="H349" s="44">
        <v>6</v>
      </c>
      <c r="I349" s="34" t="s">
        <v>22</v>
      </c>
      <c r="J349" s="35">
        <f>SUMIF($O$47:$O$73,I349,$Y$47:$Y$73)</f>
        <v>52296</v>
      </c>
      <c r="K349" s="38">
        <f>SUMIF($O$47:$O$73,I349,$BP$47:$BP$73)</f>
        <v>45076</v>
      </c>
      <c r="L349" s="156">
        <f t="shared" si="54"/>
        <v>-13.8</v>
      </c>
      <c r="BA349"/>
      <c r="BB349"/>
      <c r="BC349"/>
      <c r="BD349"/>
      <c r="BE349"/>
    </row>
    <row r="350" spans="2:57" ht="14.25" customHeight="1" x14ac:dyDescent="0.2">
      <c r="B350" s="10">
        <v>7</v>
      </c>
      <c r="C350" s="34" t="s">
        <v>34</v>
      </c>
      <c r="D350" s="35">
        <f>SUMIF($O$8:$O$34,C350,$Y$8:$Y$34)</f>
        <v>55283</v>
      </c>
      <c r="E350" s="38">
        <f>SUMIF($O$8:$O$34,C350,$BP$8:$BP$34)</f>
        <v>29200</v>
      </c>
      <c r="F350" s="156">
        <f t="shared" si="53"/>
        <v>-47.18</v>
      </c>
      <c r="G350" s="9"/>
      <c r="H350" s="44">
        <v>7</v>
      </c>
      <c r="I350" s="34" t="s">
        <v>28</v>
      </c>
      <c r="J350" s="35">
        <f>SUMIF($O$47:$O$73,I350,$Y$47:$Y$73)</f>
        <v>49387</v>
      </c>
      <c r="K350" s="38">
        <f>SUMIF($O$47:$O$73,I350,$BP$47:$BP$73)</f>
        <v>37161</v>
      </c>
      <c r="L350" s="156">
        <f t="shared" si="54"/>
        <v>-24.75</v>
      </c>
      <c r="BA350"/>
      <c r="BB350"/>
      <c r="BC350"/>
      <c r="BD350"/>
      <c r="BE350"/>
    </row>
    <row r="351" spans="2:57" ht="12" customHeight="1" x14ac:dyDescent="0.2">
      <c r="B351" s="10">
        <v>8</v>
      </c>
      <c r="C351" s="34" t="s">
        <v>37</v>
      </c>
      <c r="D351" s="35">
        <f>SUMIF($O$8:$O$34,C351,$Y$8:$Y$34)</f>
        <v>34582</v>
      </c>
      <c r="E351" s="38">
        <f>SUMIF($O$8:$O$34,C351,$BP$8:$BP$34)</f>
        <v>28174</v>
      </c>
      <c r="F351" s="156">
        <f t="shared" si="53"/>
        <v>-18.52</v>
      </c>
      <c r="G351" s="9"/>
      <c r="H351" s="44">
        <v>8</v>
      </c>
      <c r="I351" s="34" t="s">
        <v>4</v>
      </c>
      <c r="J351" s="35">
        <f>SUMIF($O$47:$O$73,I351,$Y$47:$Y$73)</f>
        <v>21935</v>
      </c>
      <c r="K351" s="38">
        <f>SUMIF($O$47:$O$73,I351,$BP$47:$BP$73)</f>
        <v>32185</v>
      </c>
      <c r="L351" s="156">
        <f t="shared" si="54"/>
        <v>46.72</v>
      </c>
      <c r="BA351"/>
      <c r="BB351"/>
      <c r="BC351"/>
      <c r="BD351"/>
      <c r="BE351"/>
    </row>
    <row r="352" spans="2:57" ht="12.75" customHeight="1" x14ac:dyDescent="0.2">
      <c r="B352" s="10">
        <v>9</v>
      </c>
      <c r="C352" s="34" t="s">
        <v>22</v>
      </c>
      <c r="D352" s="35">
        <f>SUMIF($O$8:$O$34,C352,$Y$8:$Y$34)</f>
        <v>30295</v>
      </c>
      <c r="E352" s="38">
        <f>SUMIF($O$8:$O$34,C352,$BP$8:$BP$34)</f>
        <v>23088</v>
      </c>
      <c r="F352" s="156">
        <f t="shared" si="53"/>
        <v>-23.78</v>
      </c>
      <c r="G352" s="9"/>
      <c r="H352" s="44">
        <v>9</v>
      </c>
      <c r="I352" s="34" t="s">
        <v>36</v>
      </c>
      <c r="J352" s="35">
        <f>SUMIF($O$47:$O$73,I352,$Y$47:$Y$73)</f>
        <v>25743</v>
      </c>
      <c r="K352" s="38">
        <f>SUMIF($O$47:$O$73,I352,$BP$47:$BP$73)</f>
        <v>26943</v>
      </c>
      <c r="L352" s="156">
        <f t="shared" si="54"/>
        <v>4.66</v>
      </c>
      <c r="BA352"/>
      <c r="BB352"/>
      <c r="BC352"/>
      <c r="BD352"/>
      <c r="BE352"/>
    </row>
    <row r="353" spans="2:57" x14ac:dyDescent="0.2">
      <c r="B353" s="10">
        <v>10</v>
      </c>
      <c r="C353" s="34" t="s">
        <v>27</v>
      </c>
      <c r="D353" s="35">
        <f>SUMIF($O$8:$O$34,C353,$Y$8:$Y$34)</f>
        <v>29295</v>
      </c>
      <c r="E353" s="38">
        <f>SUMIF($O$8:$O$34,C353,$BP$8:$BP$34)</f>
        <v>19519</v>
      </c>
      <c r="F353" s="156">
        <f t="shared" si="53"/>
        <v>-33.369999999999997</v>
      </c>
      <c r="G353" s="9"/>
      <c r="H353" s="44">
        <v>10</v>
      </c>
      <c r="I353" s="34" t="s">
        <v>26</v>
      </c>
      <c r="J353" s="35">
        <f>SUMIF($O$47:$O$73,I353,$Y$47:$Y$73)</f>
        <v>22290</v>
      </c>
      <c r="K353" s="38">
        <f>SUMIF($O$47:$O$73,I353,$BP$47:$BP$73)</f>
        <v>24943</v>
      </c>
      <c r="L353" s="156">
        <f t="shared" si="54"/>
        <v>11.9</v>
      </c>
    </row>
    <row r="354" spans="2:57" x14ac:dyDescent="0.2">
      <c r="B354" s="10">
        <v>11</v>
      </c>
      <c r="C354" s="34" t="s">
        <v>19</v>
      </c>
      <c r="D354" s="35">
        <f>SUMIF($O$8:$O$34,C354,$Y$8:$Y$34)</f>
        <v>14916</v>
      </c>
      <c r="E354" s="38">
        <f>SUMIF($O$8:$O$34,C354,$BP$8:$BP$34)</f>
        <v>14903</v>
      </c>
      <c r="F354" s="156">
        <f t="shared" si="53"/>
        <v>-0.08</v>
      </c>
      <c r="G354" s="51"/>
      <c r="H354" s="44">
        <v>11</v>
      </c>
      <c r="I354" s="34" t="s">
        <v>37</v>
      </c>
      <c r="J354" s="35">
        <f>SUMIF($O$47:$O$73,I354,$Y$47:$Y$73)</f>
        <v>24194</v>
      </c>
      <c r="K354" s="38">
        <f>SUMIF($O$47:$O$73,I354,$BP$47:$BP$73)</f>
        <v>20899</v>
      </c>
      <c r="L354" s="156">
        <f t="shared" si="54"/>
        <v>-13.61</v>
      </c>
    </row>
    <row r="355" spans="2:57" x14ac:dyDescent="0.2">
      <c r="B355" s="10">
        <v>12</v>
      </c>
      <c r="C355" s="34" t="s">
        <v>38</v>
      </c>
      <c r="D355" s="35">
        <f>SUMIF($O$8:$O$34,C355,$Y$8:$Y$34)</f>
        <v>25822</v>
      </c>
      <c r="E355" s="38">
        <f>SUMIF($O$8:$O$34,C355,$BP$8:$BP$34)</f>
        <v>14159</v>
      </c>
      <c r="F355" s="156">
        <f t="shared" si="53"/>
        <v>-45.16</v>
      </c>
      <c r="G355" s="9"/>
      <c r="H355" s="44">
        <v>12</v>
      </c>
      <c r="I355" s="34" t="s">
        <v>19</v>
      </c>
      <c r="J355" s="35">
        <f>SUMIF($O$47:$O$73,I355,$Y$47:$Y$73)</f>
        <v>22397</v>
      </c>
      <c r="K355" s="38">
        <f>SUMIF($O$47:$O$73,I355,$BP$47:$BP$73)</f>
        <v>19404</v>
      </c>
      <c r="L355" s="156">
        <f t="shared" si="54"/>
        <v>-13.36</v>
      </c>
    </row>
    <row r="356" spans="2:57" x14ac:dyDescent="0.2">
      <c r="B356" s="10">
        <v>13</v>
      </c>
      <c r="C356" s="34" t="s">
        <v>28</v>
      </c>
      <c r="D356" s="35">
        <f>SUMIF($O$8:$O$34,C356,$Y$8:$Y$34)</f>
        <v>10532</v>
      </c>
      <c r="E356" s="38">
        <f>SUMIF($O$8:$O$34,C356,$BP$8:$BP$34)</f>
        <v>5627</v>
      </c>
      <c r="F356" s="156">
        <f t="shared" si="53"/>
        <v>-46.57</v>
      </c>
      <c r="G356" s="9"/>
      <c r="H356" s="44">
        <v>13</v>
      </c>
      <c r="I356" s="34" t="s">
        <v>34</v>
      </c>
      <c r="J356" s="35">
        <f>SUMIF($O$47:$O$73,I356,$Y$47:$Y$73)</f>
        <v>23966</v>
      </c>
      <c r="K356" s="38">
        <f>SUMIF($O$47:$O$73,I356,$BP$47:$BP$73)</f>
        <v>15300</v>
      </c>
      <c r="L356" s="156">
        <f t="shared" si="54"/>
        <v>-36.15</v>
      </c>
    </row>
    <row r="357" spans="2:57" ht="12.75" customHeight="1" x14ac:dyDescent="0.2">
      <c r="B357" s="10">
        <v>14</v>
      </c>
      <c r="C357" s="34" t="s">
        <v>21</v>
      </c>
      <c r="D357" s="35">
        <f>SUMIF($O$8:$O$34,C357,$Y$8:$Y$34)</f>
        <v>5343</v>
      </c>
      <c r="E357" s="38">
        <f>SUMIF($O$8:$O$34,C357,$BP$8:$BP$34)</f>
        <v>5131</v>
      </c>
      <c r="F357" s="156">
        <f t="shared" si="53"/>
        <v>-3.96</v>
      </c>
      <c r="G357" s="9"/>
      <c r="H357" s="44">
        <v>14</v>
      </c>
      <c r="I357" s="34" t="s">
        <v>38</v>
      </c>
      <c r="J357" s="35">
        <f>SUMIF($O$47:$O$73,I357,$Y$47:$Y$73)</f>
        <v>15817</v>
      </c>
      <c r="K357" s="38">
        <f>SUMIF($O$47:$O$73,I357,$BP$47:$BP$73)</f>
        <v>14635</v>
      </c>
      <c r="L357" s="156">
        <f t="shared" si="54"/>
        <v>-7.47</v>
      </c>
      <c r="AY357"/>
      <c r="AZ357"/>
      <c r="BA357"/>
      <c r="BB357"/>
      <c r="BC357"/>
      <c r="BD357"/>
      <c r="BE357"/>
    </row>
    <row r="358" spans="2:57" x14ac:dyDescent="0.2">
      <c r="B358" s="10">
        <v>15</v>
      </c>
      <c r="C358" s="34" t="s">
        <v>17</v>
      </c>
      <c r="D358" s="35">
        <f>SUMIF($O$8:$O$34,C358,$Y$8:$Y$34)</f>
        <v>308</v>
      </c>
      <c r="E358" s="38">
        <f>SUMIF($O$8:$O$34,C358,$BP$8:$BP$34)</f>
        <v>4919</v>
      </c>
      <c r="F358" s="156">
        <f t="shared" si="53"/>
        <v>1497.07</v>
      </c>
      <c r="G358" s="9"/>
      <c r="H358" s="44">
        <v>15</v>
      </c>
      <c r="I358" s="34" t="s">
        <v>29</v>
      </c>
      <c r="J358" s="35">
        <f>SUMIF($O$47:$O$73,I358,$Y$47:$Y$73)</f>
        <v>14743</v>
      </c>
      <c r="K358" s="38">
        <f>SUMIF($O$47:$O$73,I358,$BP$47:$BP$73)</f>
        <v>13260</v>
      </c>
      <c r="L358" s="156">
        <f t="shared" si="54"/>
        <v>-10.050000000000001</v>
      </c>
      <c r="AY358"/>
      <c r="AZ358"/>
      <c r="BA358"/>
      <c r="BB358"/>
      <c r="BC358"/>
      <c r="BD358"/>
      <c r="BE358"/>
    </row>
    <row r="359" spans="2:57" x14ac:dyDescent="0.2">
      <c r="B359" s="10">
        <v>16</v>
      </c>
      <c r="C359" s="34" t="s">
        <v>16</v>
      </c>
      <c r="D359" s="35">
        <f>SUMIF($O$8:$O$34,C359,$Y$8:$Y$34)</f>
        <v>4226</v>
      </c>
      <c r="E359" s="38">
        <f>SUMIF($O$8:$O$34,C359,$BP$8:$BP$34)</f>
        <v>4286</v>
      </c>
      <c r="F359" s="156">
        <f t="shared" si="53"/>
        <v>1.41</v>
      </c>
      <c r="G359" s="9"/>
      <c r="H359" s="44">
        <v>16</v>
      </c>
      <c r="I359" s="34" t="s">
        <v>16</v>
      </c>
      <c r="J359" s="35">
        <f>SUMIF($O$47:$O$73,I359,$Y$47:$Y$73)</f>
        <v>7579</v>
      </c>
      <c r="K359" s="38">
        <f>SUMIF($O$47:$O$73,I359,$BP$47:$BP$73)</f>
        <v>7444</v>
      </c>
      <c r="L359" s="156">
        <f t="shared" si="54"/>
        <v>-1.78</v>
      </c>
      <c r="AY359"/>
      <c r="AZ359"/>
      <c r="BA359"/>
      <c r="BB359"/>
      <c r="BC359"/>
      <c r="BD359"/>
      <c r="BE359"/>
    </row>
    <row r="360" spans="2:57" x14ac:dyDescent="0.2">
      <c r="B360" s="10">
        <v>17</v>
      </c>
      <c r="C360" s="34" t="s">
        <v>32</v>
      </c>
      <c r="D360" s="35">
        <f>SUMIF($O$8:$O$34,C360,$Y$8:$Y$34)</f>
        <v>9026</v>
      </c>
      <c r="E360" s="38">
        <f>SUMIF($O$8:$O$34,C360,$BP$8:$BP$34)</f>
        <v>4208</v>
      </c>
      <c r="F360" s="156">
        <f>IF(E360=0,0,TRUNC(((E360/D360)-1)*100,2))</f>
        <v>-53.37</v>
      </c>
      <c r="G360" s="9"/>
      <c r="H360" s="44">
        <v>17</v>
      </c>
      <c r="I360" s="34" t="s">
        <v>21</v>
      </c>
      <c r="J360" s="35">
        <f>SUMIF($O$47:$O$73,I360,$Y$47:$Y$73)</f>
        <v>5559</v>
      </c>
      <c r="K360" s="38">
        <f>SUMIF($O$47:$O$73,I360,$BP$47:$BP$73)</f>
        <v>5528</v>
      </c>
      <c r="L360" s="156">
        <f>IF(K360=0,0,TRUNC(((K360/J360)-1)*100,2))</f>
        <v>-0.55000000000000004</v>
      </c>
      <c r="AY360"/>
      <c r="AZ360"/>
      <c r="BA360"/>
      <c r="BB360"/>
      <c r="BC360"/>
      <c r="BD360"/>
      <c r="BE360"/>
    </row>
    <row r="361" spans="2:57" x14ac:dyDescent="0.2">
      <c r="B361" s="10">
        <v>18</v>
      </c>
      <c r="C361" s="34" t="s">
        <v>24</v>
      </c>
      <c r="D361" s="35">
        <f>SUMIF($O$8:$O$34,C361,$Y$8:$Y$34)</f>
        <v>4149</v>
      </c>
      <c r="E361" s="38">
        <f>SUMIF($O$8:$O$34,C361,$BP$8:$BP$34)</f>
        <v>4094</v>
      </c>
      <c r="F361" s="156">
        <f t="shared" ref="F361:F370" si="55">IF(E361=0,0,TRUNC(((E361/D361)-1)*100,2))</f>
        <v>-1.32</v>
      </c>
      <c r="G361" s="9"/>
      <c r="H361" s="44">
        <v>18</v>
      </c>
      <c r="I361" s="34" t="s">
        <v>17</v>
      </c>
      <c r="J361" s="35">
        <f>SUMIF($O$47:$O$73,I361,$Y$47:$Y$73)</f>
        <v>427</v>
      </c>
      <c r="K361" s="38">
        <f>SUMIF($O$47:$O$73,I361,$BP$47:$BP$73)</f>
        <v>5415</v>
      </c>
      <c r="L361" s="156">
        <f t="shared" ref="L361:L370" si="56">IF(K361=0,0,TRUNC(((K361/J361)-1)*100,2))</f>
        <v>1168.1400000000001</v>
      </c>
      <c r="AY361"/>
      <c r="AZ361"/>
      <c r="BA361"/>
      <c r="BB361"/>
      <c r="BC361"/>
      <c r="BD361"/>
      <c r="BE361"/>
    </row>
    <row r="362" spans="2:57" x14ac:dyDescent="0.2">
      <c r="B362" s="10">
        <v>19</v>
      </c>
      <c r="C362" s="34" t="s">
        <v>26</v>
      </c>
      <c r="D362" s="35">
        <f>SUMIF($O$8:$O$34,C362,$Y$8:$Y$34)</f>
        <v>3464</v>
      </c>
      <c r="E362" s="38">
        <f>SUMIF($O$8:$O$34,C362,$BP$8:$BP$34)</f>
        <v>3116</v>
      </c>
      <c r="F362" s="156">
        <f t="shared" si="55"/>
        <v>-10.039999999999999</v>
      </c>
      <c r="G362" s="9"/>
      <c r="H362" s="44">
        <v>19</v>
      </c>
      <c r="I362" s="34" t="s">
        <v>32</v>
      </c>
      <c r="J362" s="35">
        <f>SUMIF($O$47:$O$73,I362,$Y$47:$Y$73)</f>
        <v>8179</v>
      </c>
      <c r="K362" s="38">
        <f>SUMIF($O$47:$O$73,I362,$BP$47:$BP$73)</f>
        <v>5251</v>
      </c>
      <c r="L362" s="156">
        <f t="shared" si="56"/>
        <v>-35.79</v>
      </c>
      <c r="AY362"/>
      <c r="AZ362"/>
      <c r="BA362"/>
      <c r="BB362"/>
      <c r="BC362"/>
      <c r="BD362"/>
      <c r="BE362"/>
    </row>
    <row r="363" spans="2:57" x14ac:dyDescent="0.2">
      <c r="B363" s="10">
        <v>20</v>
      </c>
      <c r="C363" s="34" t="s">
        <v>29</v>
      </c>
      <c r="D363" s="35">
        <f>SUMIF($O$8:$O$34,C363,$Y$8:$Y$34)</f>
        <v>7482</v>
      </c>
      <c r="E363" s="38">
        <f>SUMIF($O$8:$O$34,C363,$BP$8:$BP$34)</f>
        <v>2331</v>
      </c>
      <c r="F363" s="156">
        <f t="shared" si="55"/>
        <v>-68.84</v>
      </c>
      <c r="G363" s="9"/>
      <c r="H363" s="44">
        <v>20</v>
      </c>
      <c r="I363" s="34" t="s">
        <v>24</v>
      </c>
      <c r="J363" s="35">
        <f>SUMIF($O$47:$O$73,I363,$Y$47:$Y$73)</f>
        <v>4083</v>
      </c>
      <c r="K363" s="38">
        <f>SUMIF($O$47:$O$73,I363,$BP$47:$BP$73)</f>
        <v>4089</v>
      </c>
      <c r="L363" s="156">
        <f t="shared" si="56"/>
        <v>0.14000000000000001</v>
      </c>
      <c r="AY363"/>
      <c r="AZ363"/>
      <c r="BA363"/>
      <c r="BB363"/>
      <c r="BC363"/>
      <c r="BD363"/>
      <c r="BE363"/>
    </row>
    <row r="364" spans="2:57" x14ac:dyDescent="0.2">
      <c r="B364" s="10">
        <v>21</v>
      </c>
      <c r="C364" s="34" t="s">
        <v>23</v>
      </c>
      <c r="D364" s="35">
        <f>SUMIF($O$8:$O$34,C364,$Y$8:$Y$34)</f>
        <v>1653</v>
      </c>
      <c r="E364" s="38">
        <f>SUMIF($O$8:$O$34,C364,$BP$8:$BP$34)</f>
        <v>1771</v>
      </c>
      <c r="F364" s="156">
        <f t="shared" si="55"/>
        <v>7.13</v>
      </c>
      <c r="G364" s="9"/>
      <c r="H364" s="44">
        <v>21</v>
      </c>
      <c r="I364" s="34" t="s">
        <v>23</v>
      </c>
      <c r="J364" s="35">
        <f>SUMIF($O$47:$O$73,I364,$Y$47:$Y$73)</f>
        <v>2977</v>
      </c>
      <c r="K364" s="38">
        <f>SUMIF($O$47:$O$73,I364,$BP$47:$BP$73)</f>
        <v>3007</v>
      </c>
      <c r="L364" s="156">
        <f t="shared" si="56"/>
        <v>1</v>
      </c>
      <c r="AY364"/>
      <c r="AZ364"/>
      <c r="BA364"/>
      <c r="BB364"/>
      <c r="BC364"/>
      <c r="BD364"/>
      <c r="BE364"/>
    </row>
    <row r="365" spans="2:57" x14ac:dyDescent="0.2">
      <c r="B365" s="10">
        <v>22</v>
      </c>
      <c r="C365" s="34" t="s">
        <v>40</v>
      </c>
      <c r="D365" s="35">
        <f>SUMIF($O$8:$O$34,C365,$Y$8:$Y$34)</f>
        <v>3087</v>
      </c>
      <c r="E365" s="38">
        <f>SUMIF($O$8:$O$34,C365,$BP$8:$BP$34)</f>
        <v>1755</v>
      </c>
      <c r="F365" s="156">
        <f t="shared" si="55"/>
        <v>-43.14</v>
      </c>
      <c r="G365" s="9"/>
      <c r="H365" s="44">
        <v>22</v>
      </c>
      <c r="I365" s="34" t="s">
        <v>20</v>
      </c>
      <c r="J365" s="35">
        <f>SUMIF($O$47:$O$73,I365,$Y$47:$Y$73)</f>
        <v>1129</v>
      </c>
      <c r="K365" s="38">
        <f>SUMIF($O$47:$O$73,I365,$BP$47:$BP$73)</f>
        <v>1300</v>
      </c>
      <c r="L365" s="156">
        <f t="shared" si="56"/>
        <v>15.14</v>
      </c>
      <c r="AY365"/>
      <c r="AZ365"/>
      <c r="BA365"/>
      <c r="BB365"/>
      <c r="BC365"/>
      <c r="BD365"/>
      <c r="BE365"/>
    </row>
    <row r="366" spans="2:57" x14ac:dyDescent="0.2">
      <c r="B366" s="10">
        <v>23</v>
      </c>
      <c r="C366" s="34" t="s">
        <v>20</v>
      </c>
      <c r="D366" s="35">
        <f>SUMIF($O$8:$O$34,C366,$Y$8:$Y$34)</f>
        <v>980</v>
      </c>
      <c r="E366" s="38">
        <f>SUMIF($O$8:$O$34,C366,$BP$8:$BP$34)</f>
        <v>1100</v>
      </c>
      <c r="F366" s="156">
        <f t="shared" si="55"/>
        <v>12.24</v>
      </c>
      <c r="G366" s="9"/>
      <c r="H366" s="44">
        <v>23</v>
      </c>
      <c r="I366" s="34" t="s">
        <v>40</v>
      </c>
      <c r="J366" s="35">
        <f>SUMIF($O$47:$O$73,I366,$Y$47:$Y$73)</f>
        <v>1029</v>
      </c>
      <c r="K366" s="38">
        <f>SUMIF($O$47:$O$73,I366,$BP$47:$BP$73)</f>
        <v>900</v>
      </c>
      <c r="L366" s="156">
        <f t="shared" si="56"/>
        <v>-12.53</v>
      </c>
      <c r="AY366"/>
      <c r="AZ366"/>
      <c r="BA366"/>
      <c r="BB366"/>
      <c r="BC366"/>
      <c r="BD366"/>
      <c r="BE366"/>
    </row>
    <row r="367" spans="2:57" x14ac:dyDescent="0.2">
      <c r="B367" s="10">
        <v>24</v>
      </c>
      <c r="C367" s="34" t="s">
        <v>33</v>
      </c>
      <c r="D367" s="35">
        <f>SUMIF($O$8:$O$34,C367,$Y$8:$Y$34)</f>
        <v>1083</v>
      </c>
      <c r="E367" s="38">
        <f>SUMIF($O$8:$O$34,C367,$BP$8:$BP$34)</f>
        <v>858</v>
      </c>
      <c r="F367" s="156">
        <f t="shared" si="55"/>
        <v>-20.77</v>
      </c>
      <c r="G367" s="9"/>
      <c r="H367" s="44">
        <v>24</v>
      </c>
      <c r="I367" s="34" t="s">
        <v>33</v>
      </c>
      <c r="J367" s="35">
        <f>SUMIF($O$47:$O$73,I367,$Y$47:$Y$73)</f>
        <v>990</v>
      </c>
      <c r="K367" s="38">
        <f>SUMIF($O$47:$O$73,I367,$BP$47:$BP$73)</f>
        <v>896</v>
      </c>
      <c r="L367" s="156">
        <f t="shared" si="56"/>
        <v>-9.49</v>
      </c>
      <c r="AY367"/>
      <c r="AZ367"/>
      <c r="BA367"/>
      <c r="BB367"/>
      <c r="BC367"/>
      <c r="BD367"/>
      <c r="BE367"/>
    </row>
    <row r="368" spans="2:57" x14ac:dyDescent="0.2">
      <c r="B368" s="10">
        <v>25</v>
      </c>
      <c r="C368" s="34" t="s">
        <v>25</v>
      </c>
      <c r="D368" s="35">
        <f>SUMIF($O$8:$O$34,C368,$Y$8:$Y$34)</f>
        <v>139</v>
      </c>
      <c r="E368" s="38">
        <f>SUMIF($O$8:$O$34,C368,$BP$8:$BP$34)</f>
        <v>330</v>
      </c>
      <c r="F368" s="156">
        <f t="shared" si="55"/>
        <v>137.41</v>
      </c>
      <c r="G368" s="9"/>
      <c r="H368" s="44">
        <v>25</v>
      </c>
      <c r="I368" s="34" t="s">
        <v>25</v>
      </c>
      <c r="J368" s="35">
        <f>SUMIF($O$47:$O$73,I368,$Y$47:$Y$73)</f>
        <v>200</v>
      </c>
      <c r="K368" s="38">
        <f>SUMIF($O$47:$O$73,I368,$BP$47:$BP$73)</f>
        <v>250</v>
      </c>
      <c r="L368" s="156">
        <f t="shared" si="56"/>
        <v>25</v>
      </c>
      <c r="AY368"/>
      <c r="AZ368"/>
      <c r="BA368"/>
      <c r="BB368"/>
      <c r="BC368"/>
      <c r="BD368"/>
      <c r="BE368"/>
    </row>
    <row r="369" spans="2:57" x14ac:dyDescent="0.2">
      <c r="B369" s="10">
        <v>26</v>
      </c>
      <c r="C369" s="34" t="s">
        <v>18</v>
      </c>
      <c r="D369" s="35">
        <f>SUMIF($O$8:$O$34,C369,$Y$8:$Y$34)</f>
        <v>0</v>
      </c>
      <c r="E369" s="38">
        <f>SUMIF($O$8:$O$34,C369,$BP$8:$BP$34)</f>
        <v>0</v>
      </c>
      <c r="F369" s="156">
        <f t="shared" si="55"/>
        <v>0</v>
      </c>
      <c r="G369" s="9"/>
      <c r="H369" s="44">
        <v>26</v>
      </c>
      <c r="I369" s="34" t="s">
        <v>18</v>
      </c>
      <c r="J369" s="35">
        <f>SUMIF($O$47:$O$73,I369,$Y$47:$Y$73)</f>
        <v>0</v>
      </c>
      <c r="K369" s="38">
        <f>SUMIF($O$47:$O$73,I369,$BP$47:$BP$73)</f>
        <v>0</v>
      </c>
      <c r="L369" s="156">
        <f t="shared" si="56"/>
        <v>0</v>
      </c>
      <c r="AY369"/>
      <c r="AZ369"/>
      <c r="BA369"/>
      <c r="BB369"/>
      <c r="BC369"/>
      <c r="BD369"/>
      <c r="BE369"/>
    </row>
    <row r="370" spans="2:57" x14ac:dyDescent="0.2">
      <c r="B370" s="10">
        <v>27</v>
      </c>
      <c r="C370" s="34" t="s">
        <v>15</v>
      </c>
      <c r="D370" s="35">
        <f>SUMIF($O$8:$O$34,C370,$Y$8:$Y$34)</f>
        <v>0</v>
      </c>
      <c r="E370" s="38">
        <f>SUMIF($O$8:$O$34,C370,$BP$8:$BP$34)</f>
        <v>0</v>
      </c>
      <c r="F370" s="156">
        <f t="shared" si="55"/>
        <v>0</v>
      </c>
      <c r="G370" s="9"/>
      <c r="H370" s="44">
        <v>27</v>
      </c>
      <c r="I370" s="34" t="s">
        <v>15</v>
      </c>
      <c r="J370" s="35">
        <f>SUMIF($O$47:$O$73,I370,$Y$47:$Y$73)</f>
        <v>0</v>
      </c>
      <c r="K370" s="38">
        <f>SUMIF($O$47:$O$73,I370,$BP$47:$BP$73)</f>
        <v>0</v>
      </c>
      <c r="L370" s="156">
        <f t="shared" si="56"/>
        <v>0</v>
      </c>
      <c r="AY370"/>
      <c r="AZ370"/>
      <c r="BA370"/>
      <c r="BB370"/>
      <c r="BC370"/>
      <c r="BD370"/>
      <c r="BE370"/>
    </row>
    <row r="371" spans="2:57" x14ac:dyDescent="0.2">
      <c r="B371" s="10"/>
      <c r="C371" s="34" t="s">
        <v>9</v>
      </c>
      <c r="D371" s="39">
        <f>SUM(D344:D370)</f>
        <v>1295145</v>
      </c>
      <c r="E371" s="39">
        <f>SUM(E344:E370)</f>
        <v>969718</v>
      </c>
      <c r="F371" s="40">
        <f t="shared" ref="F371:F372" si="57">TRUNC(((E371/D371)-1)*100,2)</f>
        <v>-25.12</v>
      </c>
      <c r="G371" s="9"/>
      <c r="H371" s="44"/>
      <c r="I371" s="34" t="s">
        <v>9</v>
      </c>
      <c r="J371" s="39">
        <f>SUM(J344:J370)</f>
        <v>1191160</v>
      </c>
      <c r="K371" s="39">
        <f>SUM(K344:K370)</f>
        <v>1128370</v>
      </c>
      <c r="L371" s="40">
        <f>TRUNC(((K371/J371)-1)*100,2)</f>
        <v>-5.27</v>
      </c>
      <c r="AY371"/>
      <c r="AZ371"/>
      <c r="BA371"/>
      <c r="BB371"/>
      <c r="BC371"/>
      <c r="BD371"/>
      <c r="BE371"/>
    </row>
    <row r="372" spans="2:57" x14ac:dyDescent="0.2">
      <c r="B372" s="49"/>
      <c r="C372" s="55" t="s">
        <v>83</v>
      </c>
      <c r="D372" s="52">
        <f>SUM(Y8:Y34)</f>
        <v>1295145</v>
      </c>
      <c r="E372" s="52">
        <f>SUM(BP8:BP34)</f>
        <v>969718</v>
      </c>
      <c r="F372" s="56">
        <f t="shared" si="57"/>
        <v>-25.12</v>
      </c>
      <c r="G372" s="1"/>
      <c r="H372" s="49"/>
      <c r="I372" s="55" t="s">
        <v>83</v>
      </c>
      <c r="J372" s="52">
        <f>SUM(Y47:Y73)</f>
        <v>1191160</v>
      </c>
      <c r="K372" s="52">
        <f>SUM(BP47:BP73)</f>
        <v>1128370</v>
      </c>
      <c r="L372" s="56">
        <f>TRUNC(((K372/J372)-1)*100,2)</f>
        <v>-5.27</v>
      </c>
      <c r="AY372"/>
      <c r="AZ372"/>
      <c r="BA372"/>
      <c r="BB372"/>
      <c r="BC372"/>
      <c r="BD372"/>
      <c r="BE372"/>
    </row>
    <row r="373" spans="2:57" x14ac:dyDescent="0.2">
      <c r="AY373"/>
      <c r="AZ373"/>
      <c r="BA373"/>
      <c r="BB373"/>
      <c r="BC373"/>
      <c r="BD373"/>
      <c r="BE373"/>
    </row>
    <row r="374" spans="2:57" x14ac:dyDescent="0.2">
      <c r="AY374"/>
      <c r="AZ374"/>
      <c r="BA374"/>
      <c r="BB374"/>
      <c r="BC374"/>
      <c r="BD374"/>
      <c r="BE374"/>
    </row>
    <row r="375" spans="2:57" x14ac:dyDescent="0.2">
      <c r="AY375"/>
      <c r="AZ375"/>
      <c r="BA375"/>
      <c r="BB375"/>
      <c r="BC375"/>
      <c r="BD375"/>
      <c r="BE375"/>
    </row>
    <row r="376" spans="2:57" x14ac:dyDescent="0.2">
      <c r="AY376"/>
      <c r="AZ376"/>
      <c r="BA376"/>
      <c r="BB376"/>
      <c r="BC376"/>
      <c r="BD376"/>
      <c r="BE376"/>
    </row>
    <row r="377" spans="2:57" x14ac:dyDescent="0.2">
      <c r="B377" s="6" t="s">
        <v>88</v>
      </c>
      <c r="C377" s="242" t="s">
        <v>41</v>
      </c>
      <c r="D377" s="243"/>
      <c r="E377" s="244"/>
      <c r="F377" s="9"/>
      <c r="G377" s="9"/>
      <c r="H377" s="6" t="s">
        <v>88</v>
      </c>
      <c r="I377" s="239" t="s">
        <v>5</v>
      </c>
      <c r="J377" s="240"/>
      <c r="K377" s="241"/>
      <c r="L377" s="6" t="s">
        <v>89</v>
      </c>
      <c r="AY377"/>
      <c r="AZ377"/>
      <c r="BA377"/>
      <c r="BB377"/>
      <c r="BC377"/>
      <c r="BD377"/>
      <c r="BE377"/>
    </row>
    <row r="378" spans="2:57" x14ac:dyDescent="0.2">
      <c r="B378" s="6" t="s">
        <v>4</v>
      </c>
      <c r="C378" s="260" t="s">
        <v>94</v>
      </c>
      <c r="D378" s="261"/>
      <c r="E378" s="262"/>
      <c r="F378" s="9"/>
      <c r="G378" s="9"/>
      <c r="H378" s="6" t="s">
        <v>4</v>
      </c>
      <c r="I378" s="263" t="str">
        <f>C378</f>
        <v>Produto: Feijão 3ª safra</v>
      </c>
      <c r="J378" s="264"/>
      <c r="K378" s="265"/>
      <c r="L378" s="6" t="s">
        <v>90</v>
      </c>
      <c r="AY378"/>
      <c r="AZ378"/>
      <c r="BA378"/>
      <c r="BB378"/>
      <c r="BC378"/>
      <c r="BD378"/>
      <c r="BE378"/>
    </row>
    <row r="379" spans="2:57" x14ac:dyDescent="0.2">
      <c r="B379" s="128">
        <f>SUMIF(C381:C407,"Goiás",B381:B407)</f>
        <v>2</v>
      </c>
      <c r="C379" s="237" t="s">
        <v>14</v>
      </c>
      <c r="D379" s="237" t="str">
        <f>D342</f>
        <v>Safra 2015 (dezembro)</v>
      </c>
      <c r="E379" s="245" t="str">
        <f>E342</f>
        <v>Safra 2016 (dezembro)</v>
      </c>
      <c r="F379" s="5">
        <f>COUNTIF(E381:E407,"&gt;0")</f>
        <v>11</v>
      </c>
      <c r="G379" s="9"/>
      <c r="H379" s="128">
        <f>SUMIF(I381:I407,"Goiás",H381:H407)</f>
        <v>2</v>
      </c>
      <c r="I379" s="237" t="s">
        <v>14</v>
      </c>
      <c r="J379" s="237" t="str">
        <f>D379</f>
        <v>Safra 2015 (dezembro)</v>
      </c>
      <c r="K379" s="245" t="str">
        <f>E379</f>
        <v>Safra 2016 (dezembro)</v>
      </c>
      <c r="L379" s="129">
        <f>COUNTIF(K381:K407,"&gt;0")</f>
        <v>11</v>
      </c>
      <c r="AY379"/>
      <c r="AZ379"/>
      <c r="BA379"/>
      <c r="BB379"/>
      <c r="BC379"/>
      <c r="BD379"/>
      <c r="BE379"/>
    </row>
    <row r="380" spans="2:57" x14ac:dyDescent="0.2">
      <c r="B380" s="6" t="s">
        <v>67</v>
      </c>
      <c r="C380" s="238"/>
      <c r="D380" s="238"/>
      <c r="E380" s="246"/>
      <c r="F380" s="37" t="s">
        <v>66</v>
      </c>
      <c r="G380" s="9"/>
      <c r="H380" s="37" t="s">
        <v>67</v>
      </c>
      <c r="I380" s="238"/>
      <c r="J380" s="238"/>
      <c r="K380" s="246"/>
      <c r="L380" s="37" t="s">
        <v>66</v>
      </c>
      <c r="AY380"/>
      <c r="AZ380"/>
      <c r="BA380"/>
      <c r="BB380"/>
      <c r="BC380"/>
      <c r="BD380"/>
      <c r="BE380"/>
    </row>
    <row r="381" spans="2:57" x14ac:dyDescent="0.2">
      <c r="B381" s="10">
        <v>1</v>
      </c>
      <c r="C381" s="34" t="s">
        <v>31</v>
      </c>
      <c r="D381" s="35">
        <f>SUMIF($O$8:$O$34,C381,$Z$8:$Z$34)</f>
        <v>190049</v>
      </c>
      <c r="E381" s="38">
        <f>SUMIF($O$8:$O$34,C381,$BQ$8:$BQ$34)</f>
        <v>183316</v>
      </c>
      <c r="F381" s="156">
        <f t="shared" ref="F381:F396" si="58">IF(E381=0,0,TRUNC(((E381/D381)-1)*100,2))</f>
        <v>-3.54</v>
      </c>
      <c r="G381" s="9"/>
      <c r="H381" s="44">
        <v>1</v>
      </c>
      <c r="I381" s="34" t="s">
        <v>31</v>
      </c>
      <c r="J381" s="35">
        <f>SUMIF($O$47:$O$73,I381,$Z$47:$Z$73)</f>
        <v>74264</v>
      </c>
      <c r="K381" s="38">
        <f>SUMIF($O$47:$O$73,I381,$BQ$47:$BQ$73)</f>
        <v>71810</v>
      </c>
      <c r="L381" s="156">
        <f t="shared" ref="L381:L396" si="59">IF(K381=0,0,TRUNC(((K381/J381)-1)*100,2))</f>
        <v>-3.3</v>
      </c>
      <c r="AY381"/>
      <c r="AZ381"/>
      <c r="BA381"/>
      <c r="BB381"/>
      <c r="BC381"/>
      <c r="BD381"/>
      <c r="BE381"/>
    </row>
    <row r="382" spans="2:57" x14ac:dyDescent="0.2">
      <c r="B382" s="10">
        <v>2</v>
      </c>
      <c r="C382" s="34" t="s">
        <v>4</v>
      </c>
      <c r="D382" s="35">
        <f>SUMIF($O$8:$O$34,C382,$Z$8:$Z$34)</f>
        <v>114090</v>
      </c>
      <c r="E382" s="38">
        <f>SUMIF($O$8:$O$34,C382,$BQ$8:$BQ$34)</f>
        <v>153989</v>
      </c>
      <c r="F382" s="156">
        <f t="shared" si="58"/>
        <v>34.97</v>
      </c>
      <c r="G382" s="9"/>
      <c r="H382" s="44">
        <v>2</v>
      </c>
      <c r="I382" s="34" t="s">
        <v>4</v>
      </c>
      <c r="J382" s="35">
        <f>SUMIF($O$47:$O$73,I382,$Z$47:$Z$73)</f>
        <v>41198</v>
      </c>
      <c r="K382" s="38">
        <f>SUMIF($O$47:$O$73,I382,$BQ$47:$BQ$73)</f>
        <v>57724</v>
      </c>
      <c r="L382" s="156">
        <f t="shared" si="59"/>
        <v>40.11</v>
      </c>
      <c r="AY382"/>
      <c r="AZ382"/>
      <c r="BA382"/>
      <c r="BB382"/>
      <c r="BC382"/>
      <c r="BD382"/>
      <c r="BE382"/>
    </row>
    <row r="383" spans="2:57" x14ac:dyDescent="0.2">
      <c r="B383" s="10">
        <v>3</v>
      </c>
      <c r="C383" s="34" t="s">
        <v>34</v>
      </c>
      <c r="D383" s="35">
        <f>SUMIF($O$8:$O$34,C383,$Z$8:$Z$34)</f>
        <v>70043</v>
      </c>
      <c r="E383" s="38">
        <f>SUMIF($O$8:$O$34,C383,$BQ$8:$BQ$34)</f>
        <v>66277</v>
      </c>
      <c r="F383" s="156">
        <f t="shared" si="58"/>
        <v>-5.37</v>
      </c>
      <c r="G383" s="9"/>
      <c r="H383" s="44">
        <v>3</v>
      </c>
      <c r="I383" s="34" t="s">
        <v>39</v>
      </c>
      <c r="J383" s="35">
        <f>SUMIF($O$47:$O$73,I383,$Z$47:$Z$73)</f>
        <v>29922</v>
      </c>
      <c r="K383" s="38">
        <f>SUMIF($O$47:$O$73,I383,$BQ$47:$BQ$73)</f>
        <v>29818</v>
      </c>
      <c r="L383" s="156">
        <f t="shared" si="59"/>
        <v>-0.34</v>
      </c>
      <c r="AY383"/>
      <c r="AZ383"/>
      <c r="BA383"/>
      <c r="BB383"/>
      <c r="BC383"/>
      <c r="BD383"/>
      <c r="BE383"/>
    </row>
    <row r="384" spans="2:57" x14ac:dyDescent="0.2">
      <c r="B384" s="10">
        <v>4</v>
      </c>
      <c r="C384" s="34" t="s">
        <v>39</v>
      </c>
      <c r="D384" s="35">
        <f>SUMIF($O$8:$O$34,C384,$Z$8:$Z$34)</f>
        <v>60367</v>
      </c>
      <c r="E384" s="38">
        <f>SUMIF($O$8:$O$34,C384,$BQ$8:$BQ$34)</f>
        <v>58530</v>
      </c>
      <c r="F384" s="156">
        <f t="shared" si="58"/>
        <v>-3.04</v>
      </c>
      <c r="G384" s="9"/>
      <c r="H384" s="44">
        <v>4</v>
      </c>
      <c r="I384" s="34" t="s">
        <v>34</v>
      </c>
      <c r="J384" s="35">
        <f>SUMIF($O$47:$O$73,I384,$Z$47:$Z$73)</f>
        <v>26425</v>
      </c>
      <c r="K384" s="38">
        <f>SUMIF($O$47:$O$73,I384,$BQ$47:$BQ$73)</f>
        <v>25668</v>
      </c>
      <c r="L384" s="156">
        <f t="shared" si="59"/>
        <v>-2.86</v>
      </c>
      <c r="AY384"/>
      <c r="AZ384"/>
      <c r="BA384"/>
      <c r="BB384"/>
      <c r="BC384"/>
      <c r="BD384"/>
      <c r="BE384"/>
    </row>
    <row r="385" spans="2:57" x14ac:dyDescent="0.2">
      <c r="B385" s="10">
        <v>5</v>
      </c>
      <c r="C385" s="34" t="s">
        <v>40</v>
      </c>
      <c r="D385" s="35">
        <f>SUMIF($O$8:$O$34,C385,$Z$8:$Z$34)</f>
        <v>4172</v>
      </c>
      <c r="E385" s="38">
        <f>SUMIF($O$8:$O$34,C385,$BQ$8:$BQ$34)</f>
        <v>5890</v>
      </c>
      <c r="F385" s="156">
        <f t="shared" si="58"/>
        <v>41.17</v>
      </c>
      <c r="G385" s="9"/>
      <c r="H385" s="44">
        <v>5</v>
      </c>
      <c r="I385" s="34" t="s">
        <v>35</v>
      </c>
      <c r="J385" s="35">
        <f>SUMIF($O$47:$O$73,I385,$Z$47:$Z$73)</f>
        <v>4341</v>
      </c>
      <c r="K385" s="38">
        <f>SUMIF($O$47:$O$73,I385,$BQ$47:$BQ$73)</f>
        <v>4663</v>
      </c>
      <c r="L385" s="156">
        <f t="shared" si="59"/>
        <v>7.41</v>
      </c>
      <c r="AY385"/>
      <c r="AZ385"/>
      <c r="BA385"/>
      <c r="BB385"/>
      <c r="BC385"/>
      <c r="BD385"/>
      <c r="BE385"/>
    </row>
    <row r="386" spans="2:57" x14ac:dyDescent="0.2">
      <c r="B386" s="10">
        <v>6</v>
      </c>
      <c r="C386" s="34" t="s">
        <v>35</v>
      </c>
      <c r="D386" s="35">
        <f>SUMIF($O$8:$O$34,C386,$Z$8:$Z$34)</f>
        <v>4618</v>
      </c>
      <c r="E386" s="38">
        <f>SUMIF($O$8:$O$34,C386,$BQ$8:$BQ$34)</f>
        <v>2194</v>
      </c>
      <c r="F386" s="156">
        <f t="shared" si="58"/>
        <v>-52.49</v>
      </c>
      <c r="G386" s="9"/>
      <c r="H386" s="44">
        <v>6</v>
      </c>
      <c r="I386" s="34" t="s">
        <v>40</v>
      </c>
      <c r="J386" s="35">
        <f>SUMIF($O$47:$O$73,I386,$Z$47:$Z$73)</f>
        <v>1217</v>
      </c>
      <c r="K386" s="38">
        <f>SUMIF($O$47:$O$73,I386,$BQ$47:$BQ$73)</f>
        <v>3100</v>
      </c>
      <c r="L386" s="156">
        <f t="shared" si="59"/>
        <v>154.72</v>
      </c>
      <c r="AY386"/>
      <c r="AZ386"/>
      <c r="BA386"/>
      <c r="BB386"/>
      <c r="BC386"/>
      <c r="BD386"/>
      <c r="BE386"/>
    </row>
    <row r="387" spans="2:57" x14ac:dyDescent="0.2">
      <c r="B387" s="10">
        <v>7</v>
      </c>
      <c r="C387" s="34" t="s">
        <v>38</v>
      </c>
      <c r="D387" s="35">
        <f>SUMIF($O$8:$O$34,C387,$Z$8:$Z$34)</f>
        <v>180</v>
      </c>
      <c r="E387" s="38">
        <f>SUMIF($O$8:$O$34,C387,$BQ$8:$BQ$34)</f>
        <v>1508</v>
      </c>
      <c r="F387" s="156">
        <f t="shared" si="58"/>
        <v>737.77</v>
      </c>
      <c r="G387" s="9"/>
      <c r="H387" s="44">
        <v>7</v>
      </c>
      <c r="I387" s="34" t="s">
        <v>38</v>
      </c>
      <c r="J387" s="35">
        <f>SUMIF($O$47:$O$73,I387,$Z$47:$Z$73)</f>
        <v>150</v>
      </c>
      <c r="K387" s="38">
        <f>SUMIF($O$47:$O$73,I387,$BQ$47:$BQ$73)</f>
        <v>760</v>
      </c>
      <c r="L387" s="156">
        <f t="shared" si="59"/>
        <v>406.66</v>
      </c>
      <c r="AY387"/>
      <c r="AZ387"/>
      <c r="BA387"/>
      <c r="BB387"/>
      <c r="BC387"/>
      <c r="BD387"/>
      <c r="BE387"/>
    </row>
    <row r="388" spans="2:57" x14ac:dyDescent="0.2">
      <c r="B388" s="10">
        <v>8</v>
      </c>
      <c r="C388" s="34" t="s">
        <v>21</v>
      </c>
      <c r="D388" s="35">
        <f>SUMIF($O$8:$O$34,C388,$Z$8:$Z$34)</f>
        <v>528</v>
      </c>
      <c r="E388" s="38">
        <f>SUMIF($O$8:$O$34,C388,$BQ$8:$BQ$34)</f>
        <v>594</v>
      </c>
      <c r="F388" s="156">
        <f t="shared" si="58"/>
        <v>12.5</v>
      </c>
      <c r="G388" s="9"/>
      <c r="H388" s="44">
        <v>8</v>
      </c>
      <c r="I388" s="34" t="s">
        <v>30</v>
      </c>
      <c r="J388" s="35">
        <f>SUMIF($O$47:$O$73,I388,$Z$47:$Z$73)</f>
        <v>344</v>
      </c>
      <c r="K388" s="38">
        <f>SUMIF($O$47:$O$73,I388,$BQ$47:$BQ$73)</f>
        <v>344</v>
      </c>
      <c r="L388" s="156">
        <f t="shared" si="59"/>
        <v>0</v>
      </c>
      <c r="AY388"/>
      <c r="AZ388"/>
      <c r="BA388"/>
      <c r="BB388"/>
      <c r="BC388"/>
      <c r="BD388"/>
      <c r="BE388"/>
    </row>
    <row r="389" spans="2:57" x14ac:dyDescent="0.2">
      <c r="B389" s="10">
        <v>9</v>
      </c>
      <c r="C389" s="34" t="s">
        <v>32</v>
      </c>
      <c r="D389" s="35">
        <f>SUMIF($O$8:$O$34,C389,$Z$8:$Z$34)</f>
        <v>516</v>
      </c>
      <c r="E389" s="38">
        <f>SUMIF($O$8:$O$34,C389,$BQ$8:$BQ$34)</f>
        <v>526</v>
      </c>
      <c r="F389" s="156">
        <f t="shared" si="58"/>
        <v>1.93</v>
      </c>
      <c r="G389" s="9"/>
      <c r="H389" s="44">
        <v>9</v>
      </c>
      <c r="I389" s="34" t="s">
        <v>32</v>
      </c>
      <c r="J389" s="35">
        <f>SUMIF($O$47:$O$73,I389,$Z$47:$Z$73)</f>
        <v>306</v>
      </c>
      <c r="K389" s="38">
        <f>SUMIF($O$47:$O$73,I389,$BQ$47:$BQ$73)</f>
        <v>314</v>
      </c>
      <c r="L389" s="156">
        <f t="shared" si="59"/>
        <v>2.61</v>
      </c>
      <c r="AY389"/>
      <c r="AZ389"/>
      <c r="BA389"/>
      <c r="BB389"/>
      <c r="BC389"/>
      <c r="BD389"/>
      <c r="BE389"/>
    </row>
    <row r="390" spans="2:57" x14ac:dyDescent="0.2">
      <c r="B390" s="10">
        <v>10</v>
      </c>
      <c r="C390" s="34" t="s">
        <v>30</v>
      </c>
      <c r="D390" s="35">
        <f>SUMIF($O$8:$O$34,C390,$Z$8:$Z$34)</f>
        <v>186</v>
      </c>
      <c r="E390" s="38">
        <f>SUMIF($O$8:$O$34,C390,$BQ$8:$BQ$34)</f>
        <v>186</v>
      </c>
      <c r="F390" s="156">
        <f t="shared" si="58"/>
        <v>0</v>
      </c>
      <c r="G390" s="9"/>
      <c r="H390" s="44">
        <v>10</v>
      </c>
      <c r="I390" s="34" t="s">
        <v>21</v>
      </c>
      <c r="J390" s="35">
        <f>SUMIF($O$47:$O$73,I390,$Z$47:$Z$73)</f>
        <v>220</v>
      </c>
      <c r="K390" s="38">
        <f>SUMIF($O$47:$O$73,I390,$BQ$47:$BQ$73)</f>
        <v>220</v>
      </c>
      <c r="L390" s="156">
        <f t="shared" si="59"/>
        <v>0</v>
      </c>
      <c r="AY390"/>
      <c r="AZ390"/>
      <c r="BA390"/>
      <c r="BB390"/>
      <c r="BC390"/>
      <c r="BD390"/>
      <c r="BE390"/>
    </row>
    <row r="391" spans="2:57" x14ac:dyDescent="0.2">
      <c r="B391" s="10">
        <v>11</v>
      </c>
      <c r="C391" s="34" t="s">
        <v>17</v>
      </c>
      <c r="D391" s="35">
        <f>SUMIF($O$8:$O$34,C391,$Z$8:$Z$34)</f>
        <v>5</v>
      </c>
      <c r="E391" s="38">
        <f>SUMIF($O$8:$O$34,C391,$BQ$8:$BQ$34)</f>
        <v>5</v>
      </c>
      <c r="F391" s="156">
        <f t="shared" si="58"/>
        <v>0</v>
      </c>
      <c r="G391" s="51"/>
      <c r="H391" s="44">
        <v>11</v>
      </c>
      <c r="I391" s="34" t="s">
        <v>17</v>
      </c>
      <c r="J391" s="35">
        <f>SUMIF($O$47:$O$73,I391,$Z$47:$Z$73)</f>
        <v>6</v>
      </c>
      <c r="K391" s="38">
        <f>SUMIF($O$47:$O$73,I391,$BQ$47:$BQ$73)</f>
        <v>6</v>
      </c>
      <c r="L391" s="156">
        <f t="shared" si="59"/>
        <v>0</v>
      </c>
      <c r="AY391"/>
      <c r="AZ391"/>
      <c r="BA391"/>
      <c r="BB391"/>
      <c r="BC391"/>
      <c r="BD391"/>
      <c r="BE391"/>
    </row>
    <row r="392" spans="2:57" x14ac:dyDescent="0.2">
      <c r="B392" s="10">
        <v>12</v>
      </c>
      <c r="C392" s="34" t="s">
        <v>28</v>
      </c>
      <c r="D392" s="35">
        <f>SUMIF($O$8:$O$34,C392,$Z$8:$Z$34)</f>
        <v>0</v>
      </c>
      <c r="E392" s="38">
        <f>SUMIF($O$8:$O$34,C392,$BQ$8:$BQ$34)</f>
        <v>0</v>
      </c>
      <c r="F392" s="156">
        <f t="shared" si="58"/>
        <v>0</v>
      </c>
      <c r="G392" s="9"/>
      <c r="H392" s="44">
        <v>12</v>
      </c>
      <c r="I392" s="34" t="s">
        <v>28</v>
      </c>
      <c r="J392" s="35">
        <f>SUMIF($O$47:$O$73,I392,$Z$47:$Z$73)</f>
        <v>0</v>
      </c>
      <c r="K392" s="38">
        <f>SUMIF($O$47:$O$73,I392,$BQ$47:$BQ$73)</f>
        <v>0</v>
      </c>
      <c r="L392" s="156">
        <f t="shared" si="59"/>
        <v>0</v>
      </c>
      <c r="AY392"/>
      <c r="AZ392"/>
      <c r="BA392"/>
      <c r="BB392"/>
      <c r="BC392"/>
      <c r="BD392"/>
      <c r="BE392"/>
    </row>
    <row r="393" spans="2:57" x14ac:dyDescent="0.2">
      <c r="B393" s="10">
        <v>13</v>
      </c>
      <c r="C393" s="34" t="s">
        <v>37</v>
      </c>
      <c r="D393" s="35">
        <f>SUMIF($O$8:$O$34,C393,$Z$8:$Z$34)</f>
        <v>0</v>
      </c>
      <c r="E393" s="38">
        <f>SUMIF($O$8:$O$34,C393,$BQ$8:$BQ$34)</f>
        <v>0</v>
      </c>
      <c r="F393" s="156">
        <f t="shared" si="58"/>
        <v>0</v>
      </c>
      <c r="G393" s="9"/>
      <c r="H393" s="44">
        <v>13</v>
      </c>
      <c r="I393" s="34" t="s">
        <v>37</v>
      </c>
      <c r="J393" s="35">
        <f>SUMIF($O$47:$O$73,I393,$Z$47:$Z$73)</f>
        <v>0</v>
      </c>
      <c r="K393" s="38">
        <f>SUMIF($O$47:$O$73,I393,$BQ$47:$BQ$73)</f>
        <v>0</v>
      </c>
      <c r="L393" s="156">
        <f t="shared" si="59"/>
        <v>0</v>
      </c>
    </row>
    <row r="394" spans="2:57" x14ac:dyDescent="0.2">
      <c r="B394" s="10">
        <v>14</v>
      </c>
      <c r="C394" s="34" t="s">
        <v>25</v>
      </c>
      <c r="D394" s="35">
        <f>SUMIF($O$8:$O$34,C394,$Z$8:$Z$34)</f>
        <v>0</v>
      </c>
      <c r="E394" s="38">
        <f>SUMIF($O$8:$O$34,C394,$BQ$8:$BQ$34)</f>
        <v>0</v>
      </c>
      <c r="F394" s="156">
        <f t="shared" si="58"/>
        <v>0</v>
      </c>
      <c r="G394" s="9"/>
      <c r="H394" s="44">
        <v>14</v>
      </c>
      <c r="I394" s="34" t="s">
        <v>25</v>
      </c>
      <c r="J394" s="35">
        <f>SUMIF($O$47:$O$73,I394,$Z$47:$Z$73)</f>
        <v>0</v>
      </c>
      <c r="K394" s="38">
        <f>SUMIF($O$47:$O$73,I394,$BQ$47:$BQ$73)</f>
        <v>0</v>
      </c>
      <c r="L394" s="156">
        <f t="shared" si="59"/>
        <v>0</v>
      </c>
    </row>
    <row r="395" spans="2:57" x14ac:dyDescent="0.2">
      <c r="B395" s="10">
        <v>15</v>
      </c>
      <c r="C395" s="34" t="s">
        <v>27</v>
      </c>
      <c r="D395" s="35">
        <f>SUMIF($O$8:$O$34,C395,$Z$8:$Z$34)</f>
        <v>0</v>
      </c>
      <c r="E395" s="38">
        <f>SUMIF($O$8:$O$34,C395,$BQ$8:$BQ$34)</f>
        <v>0</v>
      </c>
      <c r="F395" s="156">
        <f t="shared" si="58"/>
        <v>0</v>
      </c>
      <c r="G395" s="9"/>
      <c r="H395" s="44">
        <v>15</v>
      </c>
      <c r="I395" s="34" t="s">
        <v>27</v>
      </c>
      <c r="J395" s="35">
        <f>SUMIF($O$47:$O$73,I395,$Z$47:$Z$73)</f>
        <v>0</v>
      </c>
      <c r="K395" s="38">
        <f>SUMIF($O$47:$O$73,I395,$BQ$47:$BQ$73)</f>
        <v>0</v>
      </c>
      <c r="L395" s="156">
        <f t="shared" si="59"/>
        <v>0</v>
      </c>
    </row>
    <row r="396" spans="2:57" x14ac:dyDescent="0.2">
      <c r="B396" s="10">
        <v>16</v>
      </c>
      <c r="C396" s="34" t="s">
        <v>24</v>
      </c>
      <c r="D396" s="35">
        <f>SUMIF($O$8:$O$34,C396,$Z$8:$Z$34)</f>
        <v>0</v>
      </c>
      <c r="E396" s="38">
        <f>SUMIF($O$8:$O$34,C396,$BQ$8:$BQ$34)</f>
        <v>0</v>
      </c>
      <c r="F396" s="156">
        <f t="shared" si="58"/>
        <v>0</v>
      </c>
      <c r="G396" s="9"/>
      <c r="H396" s="44">
        <v>16</v>
      </c>
      <c r="I396" s="34" t="s">
        <v>24</v>
      </c>
      <c r="J396" s="35">
        <f>SUMIF($O$47:$O$73,I396,$Z$47:$Z$73)</f>
        <v>0</v>
      </c>
      <c r="K396" s="38">
        <f>SUMIF($O$47:$O$73,I396,$BQ$47:$BQ$73)</f>
        <v>0</v>
      </c>
      <c r="L396" s="156">
        <f t="shared" si="59"/>
        <v>0</v>
      </c>
    </row>
    <row r="397" spans="2:57" x14ac:dyDescent="0.2">
      <c r="B397" s="10">
        <v>17</v>
      </c>
      <c r="C397" s="34" t="s">
        <v>36</v>
      </c>
      <c r="D397" s="35">
        <f>SUMIF($O$8:$O$34,C397,$Z$8:$Z$34)</f>
        <v>0</v>
      </c>
      <c r="E397" s="38">
        <f>SUMIF($O$8:$O$34,C397,$BQ$8:$BQ$34)</f>
        <v>0</v>
      </c>
      <c r="F397" s="156">
        <f>IF(E397=0,0,TRUNC(((E397/D397)-1)*100,2))</f>
        <v>0</v>
      </c>
      <c r="G397" s="9"/>
      <c r="H397" s="44">
        <v>17</v>
      </c>
      <c r="I397" s="34" t="s">
        <v>36</v>
      </c>
      <c r="J397" s="35">
        <f>SUMIF($O$47:$O$73,I397,$Z$47:$Z$73)</f>
        <v>0</v>
      </c>
      <c r="K397" s="38">
        <f>SUMIF($O$47:$O$73,I397,$BQ$47:$BQ$73)</f>
        <v>0</v>
      </c>
      <c r="L397" s="156">
        <f>IF(K397=0,0,TRUNC(((K397/J397)-1)*100,2))</f>
        <v>0</v>
      </c>
    </row>
    <row r="398" spans="2:57" x14ac:dyDescent="0.2">
      <c r="B398" s="10">
        <v>18</v>
      </c>
      <c r="C398" s="34" t="s">
        <v>22</v>
      </c>
      <c r="D398" s="35">
        <f>SUMIF($O$8:$O$34,C398,$Z$8:$Z$34)</f>
        <v>0</v>
      </c>
      <c r="E398" s="38">
        <f>SUMIF($O$8:$O$34,C398,$BQ$8:$BQ$34)</f>
        <v>0</v>
      </c>
      <c r="F398" s="156">
        <f t="shared" ref="F398:F407" si="60">IF(E398=0,0,TRUNC(((E398/D398)-1)*100,2))</f>
        <v>0</v>
      </c>
      <c r="G398" s="9"/>
      <c r="H398" s="44">
        <v>18</v>
      </c>
      <c r="I398" s="34" t="s">
        <v>22</v>
      </c>
      <c r="J398" s="35">
        <f>SUMIF($O$47:$O$73,I398,$Z$47:$Z$73)</f>
        <v>0</v>
      </c>
      <c r="K398" s="38">
        <f>SUMIF($O$47:$O$73,I398,$BQ$47:$BQ$73)</f>
        <v>0</v>
      </c>
      <c r="L398" s="156">
        <f t="shared" ref="L398:L407" si="61">IF(K398=0,0,TRUNC(((K398/J398)-1)*100,2))</f>
        <v>0</v>
      </c>
    </row>
    <row r="399" spans="2:57" x14ac:dyDescent="0.2">
      <c r="B399" s="10">
        <v>19</v>
      </c>
      <c r="C399" s="34" t="s">
        <v>23</v>
      </c>
      <c r="D399" s="35">
        <f>SUMIF($O$8:$O$34,C399,$Z$8:$Z$34)</f>
        <v>0</v>
      </c>
      <c r="E399" s="38">
        <f>SUMIF($O$8:$O$34,C399,$BQ$8:$BQ$34)</f>
        <v>0</v>
      </c>
      <c r="F399" s="156">
        <f t="shared" si="60"/>
        <v>0</v>
      </c>
      <c r="G399" s="9"/>
      <c r="H399" s="44">
        <v>19</v>
      </c>
      <c r="I399" s="34" t="s">
        <v>23</v>
      </c>
      <c r="J399" s="35">
        <f>SUMIF($O$47:$O$73,I399,$Z$47:$Z$73)</f>
        <v>0</v>
      </c>
      <c r="K399" s="38">
        <f>SUMIF($O$47:$O$73,I399,$BQ$47:$BQ$73)</f>
        <v>0</v>
      </c>
      <c r="L399" s="156">
        <f t="shared" si="61"/>
        <v>0</v>
      </c>
    </row>
    <row r="400" spans="2:57" x14ac:dyDescent="0.2">
      <c r="B400" s="10">
        <v>20</v>
      </c>
      <c r="C400" s="34" t="s">
        <v>19</v>
      </c>
      <c r="D400" s="35">
        <f>SUMIF($O$8:$O$34,C400,$Z$8:$Z$34)</f>
        <v>0</v>
      </c>
      <c r="E400" s="38">
        <f>SUMIF($O$8:$O$34,C400,$BQ$8:$BQ$34)</f>
        <v>0</v>
      </c>
      <c r="F400" s="156">
        <f t="shared" si="60"/>
        <v>0</v>
      </c>
      <c r="G400" s="9"/>
      <c r="H400" s="44">
        <v>20</v>
      </c>
      <c r="I400" s="34" t="s">
        <v>19</v>
      </c>
      <c r="J400" s="35">
        <f>SUMIF($O$47:$O$73,I400,$Z$47:$Z$73)</f>
        <v>0</v>
      </c>
      <c r="K400" s="38">
        <f>SUMIF($O$47:$O$73,I400,$BQ$47:$BQ$73)</f>
        <v>0</v>
      </c>
      <c r="L400" s="156">
        <f t="shared" si="61"/>
        <v>0</v>
      </c>
    </row>
    <row r="401" spans="2:12" x14ac:dyDescent="0.2">
      <c r="B401" s="10">
        <v>21</v>
      </c>
      <c r="C401" s="34" t="s">
        <v>15</v>
      </c>
      <c r="D401" s="35">
        <f>SUMIF($O$8:$O$34,C401,$Z$8:$Z$34)</f>
        <v>0</v>
      </c>
      <c r="E401" s="38">
        <f>SUMIF($O$8:$O$34,C401,$BQ$8:$BQ$34)</f>
        <v>0</v>
      </c>
      <c r="F401" s="156">
        <f t="shared" si="60"/>
        <v>0</v>
      </c>
      <c r="G401" s="9"/>
      <c r="H401" s="44">
        <v>21</v>
      </c>
      <c r="I401" s="34" t="s">
        <v>15</v>
      </c>
      <c r="J401" s="35">
        <f>SUMIF($O$47:$O$73,I401,$Z$47:$Z$73)</f>
        <v>0</v>
      </c>
      <c r="K401" s="38">
        <f>SUMIF($O$47:$O$73,I401,$BQ$47:$BQ$73)</f>
        <v>0</v>
      </c>
      <c r="L401" s="156">
        <f t="shared" si="61"/>
        <v>0</v>
      </c>
    </row>
    <row r="402" spans="2:12" x14ac:dyDescent="0.2">
      <c r="B402" s="10">
        <v>22</v>
      </c>
      <c r="C402" s="34" t="s">
        <v>29</v>
      </c>
      <c r="D402" s="35">
        <f>SUMIF($O$8:$O$34,C402,$Z$8:$Z$34)</f>
        <v>0</v>
      </c>
      <c r="E402" s="38">
        <f>SUMIF($O$8:$O$34,C402,$BQ$8:$BQ$34)</f>
        <v>0</v>
      </c>
      <c r="F402" s="156">
        <f t="shared" si="60"/>
        <v>0</v>
      </c>
      <c r="G402" s="9"/>
      <c r="H402" s="44">
        <v>22</v>
      </c>
      <c r="I402" s="34" t="s">
        <v>29</v>
      </c>
      <c r="J402" s="35">
        <f>SUMIF($O$47:$O$73,I402,$Z$47:$Z$73)</f>
        <v>0</v>
      </c>
      <c r="K402" s="38">
        <f>SUMIF($O$47:$O$73,I402,$BQ$47:$BQ$73)</f>
        <v>0</v>
      </c>
      <c r="L402" s="156">
        <f t="shared" si="61"/>
        <v>0</v>
      </c>
    </row>
    <row r="403" spans="2:12" x14ac:dyDescent="0.2">
      <c r="B403" s="10">
        <v>23</v>
      </c>
      <c r="C403" s="34" t="s">
        <v>16</v>
      </c>
      <c r="D403" s="35">
        <f>SUMIF($O$8:$O$34,C403,$Z$8:$Z$34)</f>
        <v>0</v>
      </c>
      <c r="E403" s="38">
        <f>SUMIF($O$8:$O$34,C403,$BQ$8:$BQ$34)</f>
        <v>0</v>
      </c>
      <c r="F403" s="156">
        <f t="shared" si="60"/>
        <v>0</v>
      </c>
      <c r="G403" s="9"/>
      <c r="H403" s="44">
        <v>23</v>
      </c>
      <c r="I403" s="34" t="s">
        <v>16</v>
      </c>
      <c r="J403" s="35">
        <f>SUMIF($O$47:$O$73,I403,$Z$47:$Z$73)</f>
        <v>0</v>
      </c>
      <c r="K403" s="38">
        <f>SUMIF($O$47:$O$73,I403,$BQ$47:$BQ$73)</f>
        <v>0</v>
      </c>
      <c r="L403" s="156">
        <f t="shared" si="61"/>
        <v>0</v>
      </c>
    </row>
    <row r="404" spans="2:12" x14ac:dyDescent="0.2">
      <c r="B404" s="10">
        <v>24</v>
      </c>
      <c r="C404" s="34" t="s">
        <v>18</v>
      </c>
      <c r="D404" s="35">
        <f>SUMIF($O$8:$O$34,C404,$Z$8:$Z$34)</f>
        <v>0</v>
      </c>
      <c r="E404" s="38">
        <f>SUMIF($O$8:$O$34,C404,$BQ$8:$BQ$34)</f>
        <v>0</v>
      </c>
      <c r="F404" s="156">
        <f t="shared" si="60"/>
        <v>0</v>
      </c>
      <c r="G404" s="9"/>
      <c r="H404" s="44">
        <v>24</v>
      </c>
      <c r="I404" s="34" t="s">
        <v>18</v>
      </c>
      <c r="J404" s="35">
        <f>SUMIF($O$47:$O$73,I404,$Z$47:$Z$73)</f>
        <v>0</v>
      </c>
      <c r="K404" s="38">
        <f>SUMIF($O$47:$O$73,I404,$BQ$47:$BQ$73)</f>
        <v>0</v>
      </c>
      <c r="L404" s="156">
        <f t="shared" si="61"/>
        <v>0</v>
      </c>
    </row>
    <row r="405" spans="2:12" x14ac:dyDescent="0.2">
      <c r="B405" s="10">
        <v>25</v>
      </c>
      <c r="C405" s="34" t="s">
        <v>26</v>
      </c>
      <c r="D405" s="35">
        <f>SUMIF($O$8:$O$34,C405,$Z$8:$Z$34)</f>
        <v>0</v>
      </c>
      <c r="E405" s="38">
        <f>SUMIF($O$8:$O$34,C405,$BQ$8:$BQ$34)</f>
        <v>0</v>
      </c>
      <c r="F405" s="156">
        <f t="shared" si="60"/>
        <v>0</v>
      </c>
      <c r="G405" s="9"/>
      <c r="H405" s="44">
        <v>25</v>
      </c>
      <c r="I405" s="34" t="s">
        <v>26</v>
      </c>
      <c r="J405" s="35">
        <f>SUMIF($O$47:$O$73,I405,$Z$47:$Z$73)</f>
        <v>0</v>
      </c>
      <c r="K405" s="38">
        <f>SUMIF($O$47:$O$73,I405,$BQ$47:$BQ$73)</f>
        <v>0</v>
      </c>
      <c r="L405" s="156">
        <f t="shared" si="61"/>
        <v>0</v>
      </c>
    </row>
    <row r="406" spans="2:12" x14ac:dyDescent="0.2">
      <c r="B406" s="10">
        <v>26</v>
      </c>
      <c r="C406" s="34" t="s">
        <v>33</v>
      </c>
      <c r="D406" s="35">
        <f>SUMIF($O$8:$O$34,C406,$Z$8:$Z$34)</f>
        <v>0</v>
      </c>
      <c r="E406" s="38">
        <f>SUMIF($O$8:$O$34,C406,$BQ$8:$BQ$34)</f>
        <v>0</v>
      </c>
      <c r="F406" s="156">
        <f t="shared" si="60"/>
        <v>0</v>
      </c>
      <c r="G406" s="9"/>
      <c r="H406" s="44">
        <v>26</v>
      </c>
      <c r="I406" s="34" t="s">
        <v>33</v>
      </c>
      <c r="J406" s="35">
        <f>SUMIF($O$47:$O$73,I406,$Z$47:$Z$73)</f>
        <v>0</v>
      </c>
      <c r="K406" s="38">
        <f>SUMIF($O$47:$O$73,I406,$BQ$47:$BQ$73)</f>
        <v>0</v>
      </c>
      <c r="L406" s="156">
        <f t="shared" si="61"/>
        <v>0</v>
      </c>
    </row>
    <row r="407" spans="2:12" x14ac:dyDescent="0.2">
      <c r="B407" s="10">
        <v>27</v>
      </c>
      <c r="C407" s="34" t="s">
        <v>20</v>
      </c>
      <c r="D407" s="35">
        <f>SUMIF($O$8:$O$34,C407,$Z$8:$Z$34)</f>
        <v>0</v>
      </c>
      <c r="E407" s="38">
        <f>SUMIF($O$8:$O$34,C407,$BQ$8:$BQ$34)</f>
        <v>0</v>
      </c>
      <c r="F407" s="156">
        <f t="shared" si="60"/>
        <v>0</v>
      </c>
      <c r="G407" s="9"/>
      <c r="H407" s="44">
        <v>27</v>
      </c>
      <c r="I407" s="34" t="s">
        <v>20</v>
      </c>
      <c r="J407" s="35">
        <f>SUMIF($O$47:$O$73,I407,$Z$47:$Z$73)</f>
        <v>0</v>
      </c>
      <c r="K407" s="38">
        <f>SUMIF($O$47:$O$73,I407,$BQ$47:$BQ$73)</f>
        <v>0</v>
      </c>
      <c r="L407" s="156">
        <f t="shared" si="61"/>
        <v>0</v>
      </c>
    </row>
    <row r="408" spans="2:12" x14ac:dyDescent="0.2">
      <c r="B408" s="10"/>
      <c r="C408" s="34" t="s">
        <v>9</v>
      </c>
      <c r="D408" s="39">
        <f>SUM(D381:D407)</f>
        <v>444754</v>
      </c>
      <c r="E408" s="39">
        <f>SUM(E381:E407)</f>
        <v>473015</v>
      </c>
      <c r="F408" s="40">
        <f t="shared" ref="F408:F409" si="62">TRUNC(((E408/D408)-1)*100,2)</f>
        <v>6.35</v>
      </c>
      <c r="G408" s="9"/>
      <c r="H408" s="44"/>
      <c r="I408" s="34" t="s">
        <v>9</v>
      </c>
      <c r="J408" s="39">
        <f>SUM(J381:J407)</f>
        <v>178393</v>
      </c>
      <c r="K408" s="39">
        <f>SUM(K381:K407)</f>
        <v>194427</v>
      </c>
      <c r="L408" s="40">
        <f>TRUNC(((K408/J408)-1)*100,2)</f>
        <v>8.98</v>
      </c>
    </row>
    <row r="409" spans="2:12" x14ac:dyDescent="0.2">
      <c r="B409" s="49"/>
      <c r="C409" s="55" t="s">
        <v>83</v>
      </c>
      <c r="D409" s="52">
        <f>SUM(Z8:Z34)</f>
        <v>444754</v>
      </c>
      <c r="E409" s="52">
        <f>SUM(BQ8:BQ34)</f>
        <v>473015</v>
      </c>
      <c r="F409" s="56">
        <f t="shared" si="62"/>
        <v>6.35</v>
      </c>
      <c r="G409" s="1"/>
      <c r="H409" s="49"/>
      <c r="I409" s="55" t="s">
        <v>83</v>
      </c>
      <c r="J409" s="52">
        <f>SUM(Z47:Z73)</f>
        <v>178393</v>
      </c>
      <c r="K409" s="52">
        <f>SUM(BQ47:BQ73)</f>
        <v>194427</v>
      </c>
      <c r="L409" s="56">
        <f>TRUNC(((K409/J409)-1)*100,2)</f>
        <v>8.98</v>
      </c>
    </row>
    <row r="414" spans="2:12" x14ac:dyDescent="0.2">
      <c r="B414" s="6" t="s">
        <v>88</v>
      </c>
      <c r="C414" s="242" t="s">
        <v>41</v>
      </c>
      <c r="D414" s="243"/>
      <c r="E414" s="244"/>
      <c r="F414" s="9"/>
      <c r="G414" s="9"/>
      <c r="H414" s="6" t="s">
        <v>88</v>
      </c>
      <c r="I414" s="239" t="s">
        <v>5</v>
      </c>
      <c r="J414" s="240"/>
      <c r="K414" s="241"/>
      <c r="L414" s="6" t="s">
        <v>89</v>
      </c>
    </row>
    <row r="415" spans="2:12" x14ac:dyDescent="0.2">
      <c r="B415" s="6" t="s">
        <v>4</v>
      </c>
      <c r="C415" s="260" t="s">
        <v>96</v>
      </c>
      <c r="D415" s="261"/>
      <c r="E415" s="262"/>
      <c r="F415" s="9"/>
      <c r="G415" s="9"/>
      <c r="H415" s="6" t="s">
        <v>4</v>
      </c>
      <c r="I415" s="263" t="str">
        <f>C415</f>
        <v>Produto: Girassol</v>
      </c>
      <c r="J415" s="264"/>
      <c r="K415" s="265"/>
      <c r="L415" s="6" t="s">
        <v>90</v>
      </c>
    </row>
    <row r="416" spans="2:12" x14ac:dyDescent="0.2">
      <c r="B416" s="128">
        <f>SUMIF(C418:C444,"Goiás",B418:B444)</f>
        <v>2</v>
      </c>
      <c r="C416" s="237" t="s">
        <v>14</v>
      </c>
      <c r="D416" s="237" t="str">
        <f>D379</f>
        <v>Safra 2015 (dezembro)</v>
      </c>
      <c r="E416" s="245" t="str">
        <f>E379</f>
        <v>Safra 2016 (dezembro)</v>
      </c>
      <c r="F416" s="5">
        <f>COUNTIF(E418:E444,"&gt;0")</f>
        <v>8</v>
      </c>
      <c r="G416" s="9"/>
      <c r="H416" s="128">
        <f>SUMIF(I418:I444,"Goiás",H418:H444)</f>
        <v>2</v>
      </c>
      <c r="I416" s="237" t="s">
        <v>14</v>
      </c>
      <c r="J416" s="237" t="str">
        <f>D416</f>
        <v>Safra 2015 (dezembro)</v>
      </c>
      <c r="K416" s="245" t="str">
        <f>E416</f>
        <v>Safra 2016 (dezembro)</v>
      </c>
      <c r="L416" s="129">
        <f>COUNTIF(K418:K444,"&gt;0")</f>
        <v>8</v>
      </c>
    </row>
    <row r="417" spans="2:12" x14ac:dyDescent="0.2">
      <c r="B417" s="6" t="s">
        <v>67</v>
      </c>
      <c r="C417" s="238"/>
      <c r="D417" s="238"/>
      <c r="E417" s="246"/>
      <c r="F417" s="37" t="s">
        <v>66</v>
      </c>
      <c r="G417" s="9"/>
      <c r="H417" s="37" t="s">
        <v>67</v>
      </c>
      <c r="I417" s="238"/>
      <c r="J417" s="238"/>
      <c r="K417" s="246"/>
      <c r="L417" s="37" t="s">
        <v>66</v>
      </c>
    </row>
    <row r="418" spans="2:12" x14ac:dyDescent="0.2">
      <c r="B418" s="10">
        <v>1</v>
      </c>
      <c r="C418" s="34" t="s">
        <v>39</v>
      </c>
      <c r="D418" s="35">
        <f>SUMIF($O$8:$O$34,C418,$AA$8:$AA$34)</f>
        <v>115936</v>
      </c>
      <c r="E418" s="38">
        <f>SUMIF($O$8:$O$34,C418,$BR$8:$BR$34)</f>
        <v>43486</v>
      </c>
      <c r="F418" s="156">
        <f t="shared" ref="F418:F433" si="63">IF(E418=0,0,TRUNC(((E418/D418)-1)*100,2))</f>
        <v>-62.49</v>
      </c>
      <c r="G418" s="9"/>
      <c r="H418" s="44">
        <v>1</v>
      </c>
      <c r="I418" s="34" t="s">
        <v>39</v>
      </c>
      <c r="J418" s="35">
        <f>SUMIF($O$47:$O$73,I418,$AA$47:$AA$73)</f>
        <v>85505</v>
      </c>
      <c r="K418" s="38">
        <f>SUMIF($O$47:$O$73,I418,$BR$47:$BR$73)</f>
        <v>29192</v>
      </c>
      <c r="L418" s="156">
        <f t="shared" ref="L418:L433" si="64">IF(K418=0,0,TRUNC(((K418/J418)-1)*100,2))</f>
        <v>-65.849999999999994</v>
      </c>
    </row>
    <row r="419" spans="2:12" x14ac:dyDescent="0.2">
      <c r="B419" s="10">
        <v>2</v>
      </c>
      <c r="C419" s="34" t="s">
        <v>4</v>
      </c>
      <c r="D419" s="35">
        <f>SUMIF($O$8:$O$34,C419,$AA$8:$AA$34)</f>
        <v>11133</v>
      </c>
      <c r="E419" s="38">
        <f>SUMIF($O$8:$O$34,C419,$BR$8:$BR$34)</f>
        <v>14712</v>
      </c>
      <c r="F419" s="156">
        <f t="shared" si="63"/>
        <v>32.14</v>
      </c>
      <c r="G419" s="9"/>
      <c r="H419" s="44">
        <v>2</v>
      </c>
      <c r="I419" s="34" t="s">
        <v>4</v>
      </c>
      <c r="J419" s="35">
        <f>SUMIF($O$47:$O$73,I419,$AA$47:$AA$73)</f>
        <v>7290</v>
      </c>
      <c r="K419" s="38">
        <f>SUMIF($O$47:$O$73,I419,$BR$47:$BR$73)</f>
        <v>16681</v>
      </c>
      <c r="L419" s="156">
        <f t="shared" si="64"/>
        <v>128.82</v>
      </c>
    </row>
    <row r="420" spans="2:12" x14ac:dyDescent="0.2">
      <c r="B420" s="10">
        <v>3</v>
      </c>
      <c r="C420" s="34" t="s">
        <v>37</v>
      </c>
      <c r="D420" s="35">
        <f>SUMIF($O$8:$O$34,C420,$AA$8:$AA$34)</f>
        <v>4305</v>
      </c>
      <c r="E420" s="38">
        <f>SUMIF($O$8:$O$34,C420,$BR$8:$BR$34)</f>
        <v>7779</v>
      </c>
      <c r="F420" s="156">
        <f t="shared" si="63"/>
        <v>80.69</v>
      </c>
      <c r="G420" s="9"/>
      <c r="H420" s="44">
        <v>3</v>
      </c>
      <c r="I420" s="34" t="s">
        <v>31</v>
      </c>
      <c r="J420" s="35">
        <f>SUMIF($O$47:$O$73,I420,$AA$47:$AA$73)</f>
        <v>14621</v>
      </c>
      <c r="K420" s="38">
        <f>SUMIF($O$47:$O$73,I420,$BR$47:$BR$73)</f>
        <v>6990</v>
      </c>
      <c r="L420" s="156">
        <f t="shared" si="64"/>
        <v>-52.19</v>
      </c>
    </row>
    <row r="421" spans="2:12" x14ac:dyDescent="0.2">
      <c r="B421" s="10">
        <v>4</v>
      </c>
      <c r="C421" s="34" t="s">
        <v>31</v>
      </c>
      <c r="D421" s="35">
        <f>SUMIF($O$8:$O$34,C421,$AA$8:$AA$34)</f>
        <v>21257</v>
      </c>
      <c r="E421" s="38">
        <f>SUMIF($O$8:$O$34,C421,$BR$8:$BR$34)</f>
        <v>6712</v>
      </c>
      <c r="F421" s="156">
        <f t="shared" si="63"/>
        <v>-68.42</v>
      </c>
      <c r="G421" s="9"/>
      <c r="H421" s="44">
        <v>4</v>
      </c>
      <c r="I421" s="34" t="s">
        <v>37</v>
      </c>
      <c r="J421" s="35">
        <f>SUMIF($O$47:$O$73,I421,$AA$47:$AA$73)</f>
        <v>2792</v>
      </c>
      <c r="K421" s="38">
        <f>SUMIF($O$47:$O$73,I421,$BR$47:$BR$73)</f>
        <v>5270</v>
      </c>
      <c r="L421" s="156">
        <f t="shared" si="64"/>
        <v>88.75</v>
      </c>
    </row>
    <row r="422" spans="2:12" x14ac:dyDescent="0.2">
      <c r="B422" s="10">
        <v>5</v>
      </c>
      <c r="C422" s="34" t="s">
        <v>38</v>
      </c>
      <c r="D422" s="35">
        <f>SUMIF($O$8:$O$34,C422,$AA$8:$AA$34)</f>
        <v>366</v>
      </c>
      <c r="E422" s="38">
        <f>SUMIF($O$8:$O$34,C422,$BR$8:$BR$34)</f>
        <v>3289</v>
      </c>
      <c r="F422" s="156">
        <f t="shared" si="63"/>
        <v>798.63</v>
      </c>
      <c r="G422" s="9"/>
      <c r="H422" s="44">
        <v>5</v>
      </c>
      <c r="I422" s="34" t="s">
        <v>38</v>
      </c>
      <c r="J422" s="35">
        <f>SUMIF($O$47:$O$73,I422,$AA$47:$AA$73)</f>
        <v>310</v>
      </c>
      <c r="K422" s="38">
        <f>SUMIF($O$47:$O$73,I422,$BR$47:$BR$73)</f>
        <v>2834</v>
      </c>
      <c r="L422" s="156">
        <f t="shared" si="64"/>
        <v>814.19</v>
      </c>
    </row>
    <row r="423" spans="2:12" x14ac:dyDescent="0.2">
      <c r="B423" s="10">
        <v>6</v>
      </c>
      <c r="C423" s="34" t="s">
        <v>34</v>
      </c>
      <c r="D423" s="35">
        <f>SUMIF($O$8:$O$34,C423,$AA$8:$AA$34)</f>
        <v>1897</v>
      </c>
      <c r="E423" s="38">
        <f>SUMIF($O$8:$O$34,C423,$BR$8:$BR$34)</f>
        <v>1777</v>
      </c>
      <c r="F423" s="156">
        <f t="shared" si="63"/>
        <v>-6.32</v>
      </c>
      <c r="G423" s="9"/>
      <c r="H423" s="44">
        <v>6</v>
      </c>
      <c r="I423" s="34" t="s">
        <v>34</v>
      </c>
      <c r="J423" s="35">
        <f>SUMIF($O$47:$O$73,I423,$AA$47:$AA$73)</f>
        <v>1187</v>
      </c>
      <c r="K423" s="38">
        <f>SUMIF($O$47:$O$73,I423,$BR$47:$BR$73)</f>
        <v>1162</v>
      </c>
      <c r="L423" s="156">
        <f t="shared" si="64"/>
        <v>-2.1</v>
      </c>
    </row>
    <row r="424" spans="2:12" x14ac:dyDescent="0.2">
      <c r="B424" s="10">
        <v>7</v>
      </c>
      <c r="C424" s="34" t="s">
        <v>35</v>
      </c>
      <c r="D424" s="35">
        <f>SUMIF($O$8:$O$34,C424,$AA$8:$AA$34)</f>
        <v>120</v>
      </c>
      <c r="E424" s="38">
        <f>SUMIF($O$8:$O$34,C424,$BR$8:$BR$34)</f>
        <v>120</v>
      </c>
      <c r="F424" s="156">
        <f t="shared" si="63"/>
        <v>0</v>
      </c>
      <c r="G424" s="9"/>
      <c r="H424" s="44">
        <v>7</v>
      </c>
      <c r="I424" s="34" t="s">
        <v>35</v>
      </c>
      <c r="J424" s="35">
        <f>SUMIF($O$47:$O$73,I424,$AA$47:$AA$73)</f>
        <v>133</v>
      </c>
      <c r="K424" s="38">
        <f>SUMIF($O$47:$O$73,I424,$BR$47:$BR$73)</f>
        <v>133</v>
      </c>
      <c r="L424" s="156">
        <f t="shared" si="64"/>
        <v>0</v>
      </c>
    </row>
    <row r="425" spans="2:12" x14ac:dyDescent="0.2">
      <c r="B425" s="10">
        <v>8</v>
      </c>
      <c r="C425" s="34" t="s">
        <v>36</v>
      </c>
      <c r="D425" s="35">
        <f>SUMIF($O$8:$O$34,C425,$AA$8:$AA$34)</f>
        <v>4</v>
      </c>
      <c r="E425" s="38">
        <f>SUMIF($O$8:$O$34,C425,$BR$8:$BR$34)</f>
        <v>5</v>
      </c>
      <c r="F425" s="156">
        <f t="shared" si="63"/>
        <v>25</v>
      </c>
      <c r="G425" s="9"/>
      <c r="H425" s="44">
        <v>8</v>
      </c>
      <c r="I425" s="34" t="s">
        <v>36</v>
      </c>
      <c r="J425" s="35">
        <f>SUMIF($O$47:$O$73,I425,$AA$47:$AA$73)</f>
        <v>5</v>
      </c>
      <c r="K425" s="38">
        <f>SUMIF($O$47:$O$73,I425,$BR$47:$BR$73)</f>
        <v>5</v>
      </c>
      <c r="L425" s="156">
        <f t="shared" si="64"/>
        <v>0</v>
      </c>
    </row>
    <row r="426" spans="2:12" x14ac:dyDescent="0.2">
      <c r="B426" s="10">
        <v>9</v>
      </c>
      <c r="C426" s="34" t="s">
        <v>40</v>
      </c>
      <c r="D426" s="35">
        <f>SUMIF($O$8:$O$34,C426,$AA$8:$AA$34)</f>
        <v>0</v>
      </c>
      <c r="E426" s="38">
        <f>SUMIF($O$8:$O$34,C426,$BR$8:$BR$34)</f>
        <v>0</v>
      </c>
      <c r="F426" s="156">
        <f t="shared" si="63"/>
        <v>0</v>
      </c>
      <c r="G426" s="9"/>
      <c r="H426" s="44">
        <v>9</v>
      </c>
      <c r="I426" s="34" t="s">
        <v>40</v>
      </c>
      <c r="J426" s="35">
        <f>SUMIF($O$47:$O$73,I426,$AA$47:$AA$73)</f>
        <v>0</v>
      </c>
      <c r="K426" s="38">
        <f>SUMIF($O$47:$O$73,I426,$BR$47:$BR$73)</f>
        <v>0</v>
      </c>
      <c r="L426" s="156">
        <f t="shared" si="64"/>
        <v>0</v>
      </c>
    </row>
    <row r="427" spans="2:12" x14ac:dyDescent="0.2">
      <c r="B427" s="10">
        <v>10</v>
      </c>
      <c r="C427" s="34" t="s">
        <v>24</v>
      </c>
      <c r="D427" s="35">
        <f>SUMIF($O$8:$O$34,C427,$AA$8:$AA$34)</f>
        <v>0</v>
      </c>
      <c r="E427" s="38">
        <f>SUMIF($O$8:$O$34,C427,$BR$8:$BR$34)</f>
        <v>0</v>
      </c>
      <c r="F427" s="156">
        <f t="shared" si="63"/>
        <v>0</v>
      </c>
      <c r="G427" s="9"/>
      <c r="H427" s="44">
        <v>10</v>
      </c>
      <c r="I427" s="34" t="s">
        <v>24</v>
      </c>
      <c r="J427" s="35">
        <f>SUMIF($O$47:$O$73,I427,$AA$47:$AA$73)</f>
        <v>0</v>
      </c>
      <c r="K427" s="38">
        <f>SUMIF($O$47:$O$73,I427,$BR$47:$BR$73)</f>
        <v>0</v>
      </c>
      <c r="L427" s="156">
        <f t="shared" si="64"/>
        <v>0</v>
      </c>
    </row>
    <row r="428" spans="2:12" x14ac:dyDescent="0.2">
      <c r="B428" s="10">
        <v>11</v>
      </c>
      <c r="C428" s="34" t="s">
        <v>30</v>
      </c>
      <c r="D428" s="35">
        <f>SUMIF($O$8:$O$34,C428,$AA$8:$AA$34)</f>
        <v>0</v>
      </c>
      <c r="E428" s="38">
        <f>SUMIF($O$8:$O$34,C428,$BR$8:$BR$34)</f>
        <v>0</v>
      </c>
      <c r="F428" s="156">
        <f t="shared" si="63"/>
        <v>0</v>
      </c>
      <c r="G428" s="51"/>
      <c r="H428" s="44">
        <v>11</v>
      </c>
      <c r="I428" s="34" t="s">
        <v>30</v>
      </c>
      <c r="J428" s="35">
        <f>SUMIF($O$47:$O$73,I428,$AA$47:$AA$73)</f>
        <v>0</v>
      </c>
      <c r="K428" s="38">
        <f>SUMIF($O$47:$O$73,I428,$BR$47:$BR$73)</f>
        <v>0</v>
      </c>
      <c r="L428" s="156">
        <f t="shared" si="64"/>
        <v>0</v>
      </c>
    </row>
    <row r="429" spans="2:12" x14ac:dyDescent="0.2">
      <c r="B429" s="10">
        <v>12</v>
      </c>
      <c r="C429" s="34" t="s">
        <v>21</v>
      </c>
      <c r="D429" s="35">
        <f>SUMIF($O$8:$O$34,C429,$AA$8:$AA$34)</f>
        <v>0</v>
      </c>
      <c r="E429" s="38">
        <f>SUMIF($O$8:$O$34,C429,$BR$8:$BR$34)</f>
        <v>0</v>
      </c>
      <c r="F429" s="156">
        <f t="shared" si="63"/>
        <v>0</v>
      </c>
      <c r="G429" s="9"/>
      <c r="H429" s="44">
        <v>12</v>
      </c>
      <c r="I429" s="34" t="s">
        <v>21</v>
      </c>
      <c r="J429" s="35">
        <f>SUMIF($O$47:$O$73,I429,$AA$47:$AA$73)</f>
        <v>0</v>
      </c>
      <c r="K429" s="38">
        <f>SUMIF($O$47:$O$73,I429,$BR$47:$BR$73)</f>
        <v>0</v>
      </c>
      <c r="L429" s="156">
        <f t="shared" si="64"/>
        <v>0</v>
      </c>
    </row>
    <row r="430" spans="2:12" x14ac:dyDescent="0.2">
      <c r="B430" s="10">
        <v>13</v>
      </c>
      <c r="C430" s="34" t="s">
        <v>25</v>
      </c>
      <c r="D430" s="35">
        <f>SUMIF($O$8:$O$34,C430,$AA$8:$AA$34)</f>
        <v>0</v>
      </c>
      <c r="E430" s="38">
        <f>SUMIF($O$8:$O$34,C430,$BR$8:$BR$34)</f>
        <v>0</v>
      </c>
      <c r="F430" s="156">
        <f t="shared" si="63"/>
        <v>0</v>
      </c>
      <c r="G430" s="9"/>
      <c r="H430" s="44">
        <v>13</v>
      </c>
      <c r="I430" s="34" t="s">
        <v>25</v>
      </c>
      <c r="J430" s="35">
        <f>SUMIF($O$47:$O$73,I430,$AA$47:$AA$73)</f>
        <v>0</v>
      </c>
      <c r="K430" s="38">
        <f>SUMIF($O$47:$O$73,I430,$BR$47:$BR$73)</f>
        <v>0</v>
      </c>
      <c r="L430" s="156">
        <f t="shared" si="64"/>
        <v>0</v>
      </c>
    </row>
    <row r="431" spans="2:12" x14ac:dyDescent="0.2">
      <c r="B431" s="10">
        <v>14</v>
      </c>
      <c r="C431" s="34" t="s">
        <v>27</v>
      </c>
      <c r="D431" s="35">
        <f>SUMIF($O$8:$O$34,C431,$AA$8:$AA$34)</f>
        <v>0</v>
      </c>
      <c r="E431" s="38">
        <f>SUMIF($O$8:$O$34,C431,$BR$8:$BR$34)</f>
        <v>0</v>
      </c>
      <c r="F431" s="156">
        <f t="shared" si="63"/>
        <v>0</v>
      </c>
      <c r="G431" s="9"/>
      <c r="H431" s="44">
        <v>14</v>
      </c>
      <c r="I431" s="34" t="s">
        <v>27</v>
      </c>
      <c r="J431" s="35">
        <f>SUMIF($O$47:$O$73,I431,$AA$47:$AA$73)</f>
        <v>0</v>
      </c>
      <c r="K431" s="38">
        <f>SUMIF($O$47:$O$73,I431,$BR$47:$BR$73)</f>
        <v>0</v>
      </c>
      <c r="L431" s="156">
        <f t="shared" si="64"/>
        <v>0</v>
      </c>
    </row>
    <row r="432" spans="2:12" x14ac:dyDescent="0.2">
      <c r="B432" s="10">
        <v>15</v>
      </c>
      <c r="C432" s="34" t="s">
        <v>22</v>
      </c>
      <c r="D432" s="35">
        <f>SUMIF($O$8:$O$34,C432,$AA$8:$AA$34)</f>
        <v>0</v>
      </c>
      <c r="E432" s="38">
        <f>SUMIF($O$8:$O$34,C432,$BR$8:$BR$34)</f>
        <v>0</v>
      </c>
      <c r="F432" s="156">
        <f t="shared" si="63"/>
        <v>0</v>
      </c>
      <c r="G432" s="9"/>
      <c r="H432" s="44">
        <v>15</v>
      </c>
      <c r="I432" s="34" t="s">
        <v>22</v>
      </c>
      <c r="J432" s="35">
        <f>SUMIF($O$47:$O$73,I432,$AA$47:$AA$73)</f>
        <v>0</v>
      </c>
      <c r="K432" s="38">
        <f>SUMIF($O$47:$O$73,I432,$BR$47:$BR$73)</f>
        <v>0</v>
      </c>
      <c r="L432" s="156">
        <f t="shared" si="64"/>
        <v>0</v>
      </c>
    </row>
    <row r="433" spans="2:12" x14ac:dyDescent="0.2">
      <c r="B433" s="10">
        <v>16</v>
      </c>
      <c r="C433" s="34" t="s">
        <v>23</v>
      </c>
      <c r="D433" s="35">
        <f>SUMIF($O$8:$O$34,C433,$AA$8:$AA$34)</f>
        <v>0</v>
      </c>
      <c r="E433" s="38">
        <f>SUMIF($O$8:$O$34,C433,$BR$8:$BR$34)</f>
        <v>0</v>
      </c>
      <c r="F433" s="156">
        <f t="shared" si="63"/>
        <v>0</v>
      </c>
      <c r="G433" s="9"/>
      <c r="H433" s="44">
        <v>16</v>
      </c>
      <c r="I433" s="34" t="s">
        <v>23</v>
      </c>
      <c r="J433" s="35">
        <f>SUMIF($O$47:$O$73,I433,$AA$47:$AA$73)</f>
        <v>0</v>
      </c>
      <c r="K433" s="38">
        <f>SUMIF($O$47:$O$73,I433,$BR$47:$BR$73)</f>
        <v>0</v>
      </c>
      <c r="L433" s="156">
        <f t="shared" si="64"/>
        <v>0</v>
      </c>
    </row>
    <row r="434" spans="2:12" x14ac:dyDescent="0.2">
      <c r="B434" s="10">
        <v>17</v>
      </c>
      <c r="C434" s="34" t="s">
        <v>19</v>
      </c>
      <c r="D434" s="35">
        <f>SUMIF($O$8:$O$34,C434,$AA$8:$AA$34)</f>
        <v>0</v>
      </c>
      <c r="E434" s="38">
        <f>SUMIF($O$8:$O$34,C434,$BR$8:$BR$34)</f>
        <v>0</v>
      </c>
      <c r="F434" s="156">
        <f>IF(E434=0,0,TRUNC(((E434/D434)-1)*100,2))</f>
        <v>0</v>
      </c>
      <c r="G434" s="9"/>
      <c r="H434" s="44">
        <v>17</v>
      </c>
      <c r="I434" s="34" t="s">
        <v>19</v>
      </c>
      <c r="J434" s="35">
        <f>SUMIF($O$47:$O$73,I434,$AA$47:$AA$73)</f>
        <v>0</v>
      </c>
      <c r="K434" s="38">
        <f>SUMIF($O$47:$O$73,I434,$BR$47:$BR$73)</f>
        <v>0</v>
      </c>
      <c r="L434" s="156">
        <f>IF(K434=0,0,TRUNC(((K434/J434)-1)*100,2))</f>
        <v>0</v>
      </c>
    </row>
    <row r="435" spans="2:12" x14ac:dyDescent="0.2">
      <c r="B435" s="10">
        <v>18</v>
      </c>
      <c r="C435" s="34" t="s">
        <v>15</v>
      </c>
      <c r="D435" s="35">
        <f>SUMIF($O$8:$O$34,C435,$AA$8:$AA$34)</f>
        <v>0</v>
      </c>
      <c r="E435" s="38">
        <f>SUMIF($O$8:$O$34,C435,$BR$8:$BR$34)</f>
        <v>0</v>
      </c>
      <c r="F435" s="156">
        <f t="shared" ref="F435:F444" si="65">IF(E435=0,0,TRUNC(((E435/D435)-1)*100,2))</f>
        <v>0</v>
      </c>
      <c r="G435" s="9"/>
      <c r="H435" s="44">
        <v>18</v>
      </c>
      <c r="I435" s="34" t="s">
        <v>15</v>
      </c>
      <c r="J435" s="35">
        <f>SUMIF($O$47:$O$73,I435,$AA$47:$AA$73)</f>
        <v>0</v>
      </c>
      <c r="K435" s="38">
        <f>SUMIF($O$47:$O$73,I435,$BR$47:$BR$73)</f>
        <v>0</v>
      </c>
      <c r="L435" s="156">
        <f t="shared" ref="L435:L444" si="66">IF(K435=0,0,TRUNC(((K435/J435)-1)*100,2))</f>
        <v>0</v>
      </c>
    </row>
    <row r="436" spans="2:12" x14ac:dyDescent="0.2">
      <c r="B436" s="10">
        <v>19</v>
      </c>
      <c r="C436" s="34" t="s">
        <v>29</v>
      </c>
      <c r="D436" s="35">
        <f>SUMIF($O$8:$O$34,C436,$AA$8:$AA$34)</f>
        <v>0</v>
      </c>
      <c r="E436" s="38">
        <f>SUMIF($O$8:$O$34,C436,$BR$8:$BR$34)</f>
        <v>0</v>
      </c>
      <c r="F436" s="156">
        <f t="shared" si="65"/>
        <v>0</v>
      </c>
      <c r="G436" s="9"/>
      <c r="H436" s="44">
        <v>19</v>
      </c>
      <c r="I436" s="34" t="s">
        <v>29</v>
      </c>
      <c r="J436" s="35">
        <f>SUMIF($O$47:$O$73,I436,$AA$47:$AA$73)</f>
        <v>0</v>
      </c>
      <c r="K436" s="38">
        <f>SUMIF($O$47:$O$73,I436,$BR$47:$BR$73)</f>
        <v>0</v>
      </c>
      <c r="L436" s="156">
        <f t="shared" si="66"/>
        <v>0</v>
      </c>
    </row>
    <row r="437" spans="2:12" x14ac:dyDescent="0.2">
      <c r="B437" s="10">
        <v>20</v>
      </c>
      <c r="C437" s="34" t="s">
        <v>16</v>
      </c>
      <c r="D437" s="35">
        <f>SUMIF($O$8:$O$34,C437,$AA$8:$AA$34)</f>
        <v>0</v>
      </c>
      <c r="E437" s="38">
        <f>SUMIF($O$8:$O$34,C437,$BR$8:$BR$34)</f>
        <v>0</v>
      </c>
      <c r="F437" s="156">
        <f t="shared" si="65"/>
        <v>0</v>
      </c>
      <c r="G437" s="9"/>
      <c r="H437" s="44">
        <v>20</v>
      </c>
      <c r="I437" s="34" t="s">
        <v>16</v>
      </c>
      <c r="J437" s="35">
        <f>SUMIF($O$47:$O$73,I437,$AA$47:$AA$73)</f>
        <v>0</v>
      </c>
      <c r="K437" s="38">
        <f>SUMIF($O$47:$O$73,I437,$BR$47:$BR$73)</f>
        <v>0</v>
      </c>
      <c r="L437" s="156">
        <f t="shared" si="66"/>
        <v>0</v>
      </c>
    </row>
    <row r="438" spans="2:12" x14ac:dyDescent="0.2">
      <c r="B438" s="10">
        <v>21</v>
      </c>
      <c r="C438" s="34" t="s">
        <v>18</v>
      </c>
      <c r="D438" s="35">
        <f>SUMIF($O$8:$O$34,C438,$AA$8:$AA$34)</f>
        <v>0</v>
      </c>
      <c r="E438" s="38">
        <f>SUMIF($O$8:$O$34,C438,$BR$8:$BR$34)</f>
        <v>0</v>
      </c>
      <c r="F438" s="156">
        <f t="shared" si="65"/>
        <v>0</v>
      </c>
      <c r="G438" s="9"/>
      <c r="H438" s="44">
        <v>21</v>
      </c>
      <c r="I438" s="34" t="s">
        <v>18</v>
      </c>
      <c r="J438" s="35">
        <f>SUMIF($O$47:$O$73,I438,$AA$47:$AA$73)</f>
        <v>0</v>
      </c>
      <c r="K438" s="38">
        <f>SUMIF($O$47:$O$73,I438,$BR$47:$BR$73)</f>
        <v>0</v>
      </c>
      <c r="L438" s="156">
        <f t="shared" si="66"/>
        <v>0</v>
      </c>
    </row>
    <row r="439" spans="2:12" x14ac:dyDescent="0.2">
      <c r="B439" s="10">
        <v>22</v>
      </c>
      <c r="C439" s="34" t="s">
        <v>26</v>
      </c>
      <c r="D439" s="35">
        <f>SUMIF($O$8:$O$34,C439,$AA$8:$AA$34)</f>
        <v>0</v>
      </c>
      <c r="E439" s="38">
        <f>SUMIF($O$8:$O$34,C439,$BR$8:$BR$34)</f>
        <v>0</v>
      </c>
      <c r="F439" s="156">
        <f t="shared" si="65"/>
        <v>0</v>
      </c>
      <c r="G439" s="9"/>
      <c r="H439" s="44">
        <v>22</v>
      </c>
      <c r="I439" s="34" t="s">
        <v>26</v>
      </c>
      <c r="J439" s="35">
        <f>SUMIF($O$47:$O$73,I439,$AA$47:$AA$73)</f>
        <v>0</v>
      </c>
      <c r="K439" s="38">
        <f>SUMIF($O$47:$O$73,I439,$BR$47:$BR$73)</f>
        <v>0</v>
      </c>
      <c r="L439" s="156">
        <f t="shared" si="66"/>
        <v>0</v>
      </c>
    </row>
    <row r="440" spans="2:12" x14ac:dyDescent="0.2">
      <c r="B440" s="10">
        <v>23</v>
      </c>
      <c r="C440" s="34" t="s">
        <v>32</v>
      </c>
      <c r="D440" s="35">
        <f>SUMIF($O$8:$O$34,C440,$AA$8:$AA$34)</f>
        <v>0</v>
      </c>
      <c r="E440" s="38">
        <f>SUMIF($O$8:$O$34,C440,$BR$8:$BR$34)</f>
        <v>0</v>
      </c>
      <c r="F440" s="156">
        <f t="shared" si="65"/>
        <v>0</v>
      </c>
      <c r="G440" s="9"/>
      <c r="H440" s="44">
        <v>23</v>
      </c>
      <c r="I440" s="34" t="s">
        <v>32</v>
      </c>
      <c r="J440" s="35">
        <f>SUMIF($O$47:$O$73,I440,$AA$47:$AA$73)</f>
        <v>0</v>
      </c>
      <c r="K440" s="38">
        <f>SUMIF($O$47:$O$73,I440,$BR$47:$BR$73)</f>
        <v>0</v>
      </c>
      <c r="L440" s="156">
        <f t="shared" si="66"/>
        <v>0</v>
      </c>
    </row>
    <row r="441" spans="2:12" x14ac:dyDescent="0.2">
      <c r="B441" s="10">
        <v>24</v>
      </c>
      <c r="C441" s="34" t="s">
        <v>17</v>
      </c>
      <c r="D441" s="35">
        <f>SUMIF($O$8:$O$34,C441,$AA$8:$AA$34)</f>
        <v>0</v>
      </c>
      <c r="E441" s="38">
        <f>SUMIF($O$8:$O$34,C441,$BR$8:$BR$34)</f>
        <v>0</v>
      </c>
      <c r="F441" s="156">
        <f t="shared" si="65"/>
        <v>0</v>
      </c>
      <c r="G441" s="9"/>
      <c r="H441" s="44">
        <v>24</v>
      </c>
      <c r="I441" s="34" t="s">
        <v>17</v>
      </c>
      <c r="J441" s="35">
        <f>SUMIF($O$47:$O$73,I441,$AA$47:$AA$73)</f>
        <v>0</v>
      </c>
      <c r="K441" s="38">
        <f>SUMIF($O$47:$O$73,I441,$BR$47:$BR$73)</f>
        <v>0</v>
      </c>
      <c r="L441" s="156">
        <f t="shared" si="66"/>
        <v>0</v>
      </c>
    </row>
    <row r="442" spans="2:12" x14ac:dyDescent="0.2">
      <c r="B442" s="10">
        <v>25</v>
      </c>
      <c r="C442" s="34" t="s">
        <v>28</v>
      </c>
      <c r="D442" s="35">
        <f>SUMIF($O$8:$O$34,C442,$AA$8:$AA$34)</f>
        <v>0</v>
      </c>
      <c r="E442" s="38">
        <f>SUMIF($O$8:$O$34,C442,$BR$8:$BR$34)</f>
        <v>0</v>
      </c>
      <c r="F442" s="156">
        <f t="shared" si="65"/>
        <v>0</v>
      </c>
      <c r="G442" s="9"/>
      <c r="H442" s="44">
        <v>25</v>
      </c>
      <c r="I442" s="34" t="s">
        <v>28</v>
      </c>
      <c r="J442" s="35">
        <f>SUMIF($O$47:$O$73,I442,$AA$47:$AA$73)</f>
        <v>0</v>
      </c>
      <c r="K442" s="38">
        <f>SUMIF($O$47:$O$73,I442,$BR$47:$BR$73)</f>
        <v>0</v>
      </c>
      <c r="L442" s="156">
        <f t="shared" si="66"/>
        <v>0</v>
      </c>
    </row>
    <row r="443" spans="2:12" x14ac:dyDescent="0.2">
      <c r="B443" s="10">
        <v>26</v>
      </c>
      <c r="C443" s="34" t="s">
        <v>33</v>
      </c>
      <c r="D443" s="35">
        <f>SUMIF($O$8:$O$34,C443,$AA$8:$AA$34)</f>
        <v>0</v>
      </c>
      <c r="E443" s="38">
        <f>SUMIF($O$8:$O$34,C443,$BR$8:$BR$34)</f>
        <v>0</v>
      </c>
      <c r="F443" s="156">
        <f t="shared" si="65"/>
        <v>0</v>
      </c>
      <c r="G443" s="9"/>
      <c r="H443" s="44">
        <v>26</v>
      </c>
      <c r="I443" s="34" t="s">
        <v>33</v>
      </c>
      <c r="J443" s="35">
        <f>SUMIF($O$47:$O$73,I443,$AA$47:$AA$73)</f>
        <v>0</v>
      </c>
      <c r="K443" s="38">
        <f>SUMIF($O$47:$O$73,I443,$BR$47:$BR$73)</f>
        <v>0</v>
      </c>
      <c r="L443" s="156">
        <f t="shared" si="66"/>
        <v>0</v>
      </c>
    </row>
    <row r="444" spans="2:12" x14ac:dyDescent="0.2">
      <c r="B444" s="10">
        <v>27</v>
      </c>
      <c r="C444" s="34" t="s">
        <v>20</v>
      </c>
      <c r="D444" s="35">
        <f>SUMIF($O$8:$O$34,C444,$AA$8:$AA$34)</f>
        <v>0</v>
      </c>
      <c r="E444" s="38">
        <f>SUMIF($O$8:$O$34,C444,$BR$8:$BR$34)</f>
        <v>0</v>
      </c>
      <c r="F444" s="156">
        <f t="shared" si="65"/>
        <v>0</v>
      </c>
      <c r="G444" s="9"/>
      <c r="H444" s="44">
        <v>27</v>
      </c>
      <c r="I444" s="34" t="s">
        <v>20</v>
      </c>
      <c r="J444" s="35">
        <f>SUMIF($O$47:$O$73,I444,$AA$47:$AA$73)</f>
        <v>0</v>
      </c>
      <c r="K444" s="38">
        <f>SUMIF($O$47:$O$73,I444,$BR$47:$BR$73)</f>
        <v>0</v>
      </c>
      <c r="L444" s="156">
        <f t="shared" si="66"/>
        <v>0</v>
      </c>
    </row>
    <row r="445" spans="2:12" x14ac:dyDescent="0.2">
      <c r="B445" s="10"/>
      <c r="C445" s="34" t="s">
        <v>9</v>
      </c>
      <c r="D445" s="39">
        <f>SUM(D418:D444)</f>
        <v>155018</v>
      </c>
      <c r="E445" s="39">
        <f>SUM(E418:E444)</f>
        <v>77880</v>
      </c>
      <c r="F445" s="40">
        <f t="shared" ref="F445:F446" si="67">TRUNC(((E445/D445)-1)*100,2)</f>
        <v>-49.76</v>
      </c>
      <c r="G445" s="9"/>
      <c r="H445" s="44"/>
      <c r="I445" s="34" t="s">
        <v>9</v>
      </c>
      <c r="J445" s="39">
        <f>SUM(J418:J444)</f>
        <v>111843</v>
      </c>
      <c r="K445" s="39">
        <f>SUM(K418:K444)</f>
        <v>62267</v>
      </c>
      <c r="L445" s="40">
        <f>TRUNC(((K445/J445)-1)*100,2)</f>
        <v>-44.32</v>
      </c>
    </row>
    <row r="446" spans="2:12" x14ac:dyDescent="0.2">
      <c r="B446" s="49"/>
      <c r="C446" s="55" t="s">
        <v>83</v>
      </c>
      <c r="D446" s="52">
        <f>SUM(AA8:AA34)</f>
        <v>155018</v>
      </c>
      <c r="E446" s="52">
        <f>SUM(BR8:BR34)</f>
        <v>77880</v>
      </c>
      <c r="F446" s="56">
        <f t="shared" si="67"/>
        <v>-49.76</v>
      </c>
      <c r="G446" s="1"/>
      <c r="H446" s="49"/>
      <c r="I446" s="55" t="s">
        <v>83</v>
      </c>
      <c r="J446" s="52">
        <f>SUM(AA47:AA73)</f>
        <v>111843</v>
      </c>
      <c r="K446" s="52">
        <f>SUM(BR47:BR73)</f>
        <v>62267</v>
      </c>
      <c r="L446" s="56">
        <f>TRUNC(((K446/J446)-1)*100,2)</f>
        <v>-44.32</v>
      </c>
    </row>
    <row r="451" spans="2:12" x14ac:dyDescent="0.2">
      <c r="B451" s="6" t="s">
        <v>88</v>
      </c>
      <c r="C451" s="242" t="s">
        <v>41</v>
      </c>
      <c r="D451" s="243"/>
      <c r="E451" s="244"/>
      <c r="F451" s="9"/>
      <c r="G451" s="9"/>
      <c r="H451" s="6" t="s">
        <v>88</v>
      </c>
      <c r="I451" s="239" t="s">
        <v>5</v>
      </c>
      <c r="J451" s="240"/>
      <c r="K451" s="241"/>
      <c r="L451" s="6" t="s">
        <v>89</v>
      </c>
    </row>
    <row r="452" spans="2:12" x14ac:dyDescent="0.2">
      <c r="B452" s="6" t="s">
        <v>4</v>
      </c>
      <c r="C452" s="260" t="s">
        <v>97</v>
      </c>
      <c r="D452" s="261"/>
      <c r="E452" s="262"/>
      <c r="F452" s="9"/>
      <c r="G452" s="9"/>
      <c r="H452" s="6" t="s">
        <v>4</v>
      </c>
      <c r="I452" s="263" t="str">
        <f>C452</f>
        <v>Produto: Mandioca</v>
      </c>
      <c r="J452" s="264"/>
      <c r="K452" s="265"/>
      <c r="L452" s="6" t="s">
        <v>90</v>
      </c>
    </row>
    <row r="453" spans="2:12" x14ac:dyDescent="0.2">
      <c r="B453" s="128">
        <f>SUMIF(C455:C481,"Goiás",B455:B481)</f>
        <v>18</v>
      </c>
      <c r="C453" s="237" t="s">
        <v>14</v>
      </c>
      <c r="D453" s="237" t="str">
        <f>D416</f>
        <v>Safra 2015 (dezembro)</v>
      </c>
      <c r="E453" s="245" t="str">
        <f>E416</f>
        <v>Safra 2016 (dezembro)</v>
      </c>
      <c r="F453" s="5">
        <f>COUNTIF(E455:E481,"&gt;0")</f>
        <v>27</v>
      </c>
      <c r="G453" s="9"/>
      <c r="H453" s="128">
        <f>SUMIF(I455:I481,"Goiás",H455:H481)</f>
        <v>22</v>
      </c>
      <c r="I453" s="237" t="s">
        <v>14</v>
      </c>
      <c r="J453" s="237" t="str">
        <f>D453</f>
        <v>Safra 2015 (dezembro)</v>
      </c>
      <c r="K453" s="245" t="str">
        <f>E453</f>
        <v>Safra 2016 (dezembro)</v>
      </c>
      <c r="L453" s="129">
        <f>COUNTIF(K455:K481,"&gt;0")</f>
        <v>27</v>
      </c>
    </row>
    <row r="454" spans="2:12" x14ac:dyDescent="0.2">
      <c r="B454" s="6" t="s">
        <v>67</v>
      </c>
      <c r="C454" s="238"/>
      <c r="D454" s="238"/>
      <c r="E454" s="246"/>
      <c r="F454" s="37" t="s">
        <v>66</v>
      </c>
      <c r="G454" s="9"/>
      <c r="H454" s="37" t="s">
        <v>67</v>
      </c>
      <c r="I454" s="238"/>
      <c r="J454" s="238"/>
      <c r="K454" s="246"/>
      <c r="L454" s="37" t="s">
        <v>66</v>
      </c>
    </row>
    <row r="455" spans="2:12" x14ac:dyDescent="0.2">
      <c r="B455" s="10">
        <v>1</v>
      </c>
      <c r="C455" s="34" t="s">
        <v>19</v>
      </c>
      <c r="D455" s="35">
        <f>SUMIF($O$8:$O$34,C455,$BB$8:$BB$34)</f>
        <v>4695735</v>
      </c>
      <c r="E455" s="38">
        <f>SUMIF($O$8:$O$34,C455,$CS$8:$CS$34)</f>
        <v>6034713</v>
      </c>
      <c r="F455" s="156">
        <f t="shared" ref="F455:F470" si="68">IF(E455=0,0,TRUNC(((E455/D455)-1)*100,2))</f>
        <v>28.51</v>
      </c>
      <c r="G455" s="9"/>
      <c r="H455" s="44">
        <v>1</v>
      </c>
      <c r="I455" s="34" t="s">
        <v>19</v>
      </c>
      <c r="J455" s="35">
        <f>SUMIF($O$47:$O$73,I455,$BB$47:$BB$73)</f>
        <v>309164</v>
      </c>
      <c r="K455" s="38">
        <f>SUMIF($O$47:$O$73,I455,$CS$47:$CS$73)</f>
        <v>676572</v>
      </c>
      <c r="L455" s="156">
        <f t="shared" ref="L455:L470" si="69">IF(K455=0,0,TRUNC(((K455/J455)-1)*100,2))</f>
        <v>118.83</v>
      </c>
    </row>
    <row r="456" spans="2:12" x14ac:dyDescent="0.2">
      <c r="B456" s="10">
        <v>2</v>
      </c>
      <c r="C456" s="34" t="s">
        <v>35</v>
      </c>
      <c r="D456" s="35">
        <f>SUMIF($O$8:$O$34,C456,$BB$8:$BB$34)</f>
        <v>4312946</v>
      </c>
      <c r="E456" s="38">
        <f>SUMIF($O$8:$O$34,C456,$CS$8:$CS$34)</f>
        <v>3744351</v>
      </c>
      <c r="F456" s="156">
        <f t="shared" si="68"/>
        <v>-13.18</v>
      </c>
      <c r="G456" s="9"/>
      <c r="H456" s="44">
        <v>2</v>
      </c>
      <c r="I456" s="34" t="s">
        <v>22</v>
      </c>
      <c r="J456" s="35">
        <f>SUMIF($O$47:$O$73,I456,$BB$47:$BB$73)</f>
        <v>173798</v>
      </c>
      <c r="K456" s="38">
        <f>SUMIF($O$47:$O$73,I456,$CS$47:$CS$73)</f>
        <v>305624</v>
      </c>
      <c r="L456" s="156">
        <f t="shared" si="69"/>
        <v>75.849999999999994</v>
      </c>
    </row>
    <row r="457" spans="2:12" x14ac:dyDescent="0.2">
      <c r="B457" s="10">
        <v>3</v>
      </c>
      <c r="C457" s="34" t="s">
        <v>30</v>
      </c>
      <c r="D457" s="35">
        <f>SUMIF($O$8:$O$34,C457,$BB$8:$BB$34)</f>
        <v>2098575</v>
      </c>
      <c r="E457" s="38">
        <f>SUMIF($O$8:$O$34,C457,$CS$8:$CS$34)</f>
        <v>1870000</v>
      </c>
      <c r="F457" s="156">
        <f t="shared" si="68"/>
        <v>-10.89</v>
      </c>
      <c r="G457" s="9"/>
      <c r="H457" s="44">
        <v>3</v>
      </c>
      <c r="I457" s="34" t="s">
        <v>30</v>
      </c>
      <c r="J457" s="35">
        <f>SUMIF($O$47:$O$73,I457,$BB$47:$BB$73)</f>
        <v>195043</v>
      </c>
      <c r="K457" s="38">
        <f>SUMIF($O$47:$O$73,I457,$CS$47:$CS$73)</f>
        <v>227000</v>
      </c>
      <c r="L457" s="156">
        <f t="shared" si="69"/>
        <v>16.38</v>
      </c>
    </row>
    <row r="458" spans="2:12" x14ac:dyDescent="0.2">
      <c r="B458" s="10">
        <v>4</v>
      </c>
      <c r="C458" s="34" t="s">
        <v>17</v>
      </c>
      <c r="D458" s="35">
        <f>SUMIF($O$8:$O$34,C458,$BB$8:$BB$34)</f>
        <v>801299</v>
      </c>
      <c r="E458" s="38">
        <f>SUMIF($O$8:$O$34,C458,$CS$8:$CS$34)</f>
        <v>1665434</v>
      </c>
      <c r="F458" s="156">
        <f t="shared" si="68"/>
        <v>107.84</v>
      </c>
      <c r="G458" s="9"/>
      <c r="H458" s="44">
        <v>4</v>
      </c>
      <c r="I458" s="34" t="s">
        <v>17</v>
      </c>
      <c r="J458" s="35">
        <f>SUMIF($O$47:$O$73,I458,$BB$47:$BB$73)</f>
        <v>72431</v>
      </c>
      <c r="K458" s="38">
        <f>SUMIF($O$47:$O$73,I458,$CS$47:$CS$73)</f>
        <v>174355</v>
      </c>
      <c r="L458" s="156">
        <f t="shared" si="69"/>
        <v>140.71</v>
      </c>
    </row>
    <row r="459" spans="2:12" x14ac:dyDescent="0.2">
      <c r="B459" s="10">
        <v>5</v>
      </c>
      <c r="C459" s="34" t="s">
        <v>22</v>
      </c>
      <c r="D459" s="35">
        <f>SUMIF($O$8:$O$34,C459,$BB$8:$BB$34)</f>
        <v>1481907</v>
      </c>
      <c r="E459" s="38">
        <f>SUMIF($O$8:$O$34,C459,$CS$8:$CS$34)</f>
        <v>1311814</v>
      </c>
      <c r="F459" s="156">
        <f t="shared" si="68"/>
        <v>-11.47</v>
      </c>
      <c r="G459" s="9"/>
      <c r="H459" s="44">
        <v>5</v>
      </c>
      <c r="I459" s="34" t="s">
        <v>35</v>
      </c>
      <c r="J459" s="35">
        <f>SUMIF($O$47:$O$73,I459,$BB$47:$BB$73)</f>
        <v>159556</v>
      </c>
      <c r="K459" s="38">
        <f>SUMIF($O$47:$O$73,I459,$CS$47:$CS$73)</f>
        <v>133220</v>
      </c>
      <c r="L459" s="156">
        <f t="shared" si="69"/>
        <v>-16.5</v>
      </c>
    </row>
    <row r="460" spans="2:12" x14ac:dyDescent="0.2">
      <c r="B460" s="10">
        <v>6</v>
      </c>
      <c r="C460" s="34" t="s">
        <v>34</v>
      </c>
      <c r="D460" s="35">
        <f>SUMIF($O$8:$O$34,C460,$BB$8:$BB$34)</f>
        <v>1171901</v>
      </c>
      <c r="E460" s="38">
        <f>SUMIF($O$8:$O$34,C460,$CS$8:$CS$34)</f>
        <v>1219610</v>
      </c>
      <c r="F460" s="156">
        <f t="shared" si="68"/>
        <v>4.07</v>
      </c>
      <c r="G460" s="9"/>
      <c r="H460" s="44">
        <v>6</v>
      </c>
      <c r="I460" s="34" t="s">
        <v>24</v>
      </c>
      <c r="J460" s="35">
        <f>SUMIF($O$47:$O$73,I460,$BB$47:$BB$73)</f>
        <v>58511</v>
      </c>
      <c r="K460" s="38">
        <f>SUMIF($O$47:$O$73,I460,$CS$47:$CS$73)</f>
        <v>108405</v>
      </c>
      <c r="L460" s="156">
        <f t="shared" si="69"/>
        <v>85.27</v>
      </c>
    </row>
    <row r="461" spans="2:12" x14ac:dyDescent="0.2">
      <c r="B461" s="10">
        <v>7</v>
      </c>
      <c r="C461" s="34" t="s">
        <v>16</v>
      </c>
      <c r="D461" s="35">
        <f>SUMIF($O$8:$O$34,C461,$BB$8:$BB$34)</f>
        <v>1122578</v>
      </c>
      <c r="E461" s="38">
        <f>SUMIF($O$8:$O$34,C461,$CS$8:$CS$34)</f>
        <v>1147596</v>
      </c>
      <c r="F461" s="156">
        <f t="shared" si="68"/>
        <v>2.2200000000000002</v>
      </c>
      <c r="G461" s="9"/>
      <c r="H461" s="44">
        <v>7</v>
      </c>
      <c r="I461" s="34" t="s">
        <v>31</v>
      </c>
      <c r="J461" s="35">
        <f>SUMIF($O$47:$O$73,I461,$BB$47:$BB$73)</f>
        <v>59459</v>
      </c>
      <c r="K461" s="38">
        <f>SUMIF($O$47:$O$73,I461,$CS$47:$CS$73)</f>
        <v>85019</v>
      </c>
      <c r="L461" s="156">
        <f t="shared" si="69"/>
        <v>42.98</v>
      </c>
    </row>
    <row r="462" spans="2:12" x14ac:dyDescent="0.2">
      <c r="B462" s="10">
        <v>8</v>
      </c>
      <c r="C462" s="34" t="s">
        <v>37</v>
      </c>
      <c r="D462" s="35">
        <f>SUMIF($O$8:$O$34,C462,$BB$8:$BB$34)</f>
        <v>1155247</v>
      </c>
      <c r="E462" s="38">
        <f>SUMIF($O$8:$O$34,C462,$CS$8:$CS$34)</f>
        <v>1108135</v>
      </c>
      <c r="F462" s="156">
        <f t="shared" si="68"/>
        <v>-4.07</v>
      </c>
      <c r="G462" s="9"/>
      <c r="H462" s="44">
        <v>8</v>
      </c>
      <c r="I462" s="34" t="s">
        <v>37</v>
      </c>
      <c r="J462" s="35">
        <f>SUMIF($O$47:$O$73,I462,$BB$47:$BB$73)</f>
        <v>66154</v>
      </c>
      <c r="K462" s="38">
        <f>SUMIF($O$47:$O$73,I462,$CS$47:$CS$73)</f>
        <v>77554</v>
      </c>
      <c r="L462" s="156">
        <f t="shared" si="69"/>
        <v>17.23</v>
      </c>
    </row>
    <row r="463" spans="2:12" x14ac:dyDescent="0.2">
      <c r="B463" s="10">
        <v>9</v>
      </c>
      <c r="C463" s="34" t="s">
        <v>31</v>
      </c>
      <c r="D463" s="35">
        <f>SUMIF($O$8:$O$34,C463,$BB$8:$BB$34)</f>
        <v>851546</v>
      </c>
      <c r="E463" s="38">
        <f>SUMIF($O$8:$O$34,C463,$CS$8:$CS$34)</f>
        <v>844308</v>
      </c>
      <c r="F463" s="156">
        <f t="shared" si="68"/>
        <v>-0.84</v>
      </c>
      <c r="G463" s="9"/>
      <c r="H463" s="44">
        <v>9</v>
      </c>
      <c r="I463" s="34" t="s">
        <v>23</v>
      </c>
      <c r="J463" s="35">
        <f>SUMIF($O$47:$O$73,I463,$BB$47:$BB$73)</f>
        <v>38839</v>
      </c>
      <c r="K463" s="38">
        <f>SUMIF($O$47:$O$73,I463,$CS$47:$CS$73)</f>
        <v>74120</v>
      </c>
      <c r="L463" s="156">
        <f t="shared" si="69"/>
        <v>90.83</v>
      </c>
    </row>
    <row r="464" spans="2:12" x14ac:dyDescent="0.2">
      <c r="B464" s="10">
        <v>10</v>
      </c>
      <c r="C464" s="34" t="s">
        <v>38</v>
      </c>
      <c r="D464" s="35">
        <f>SUMIF($O$8:$O$34,C464,$BB$8:$BB$34)</f>
        <v>1004216</v>
      </c>
      <c r="E464" s="38">
        <f>SUMIF($O$8:$O$34,C464,$CS$8:$CS$34)</f>
        <v>742673</v>
      </c>
      <c r="F464" s="156">
        <f t="shared" si="68"/>
        <v>-26.04</v>
      </c>
      <c r="G464" s="9"/>
      <c r="H464" s="44">
        <v>10</v>
      </c>
      <c r="I464" s="34" t="s">
        <v>34</v>
      </c>
      <c r="J464" s="35">
        <f>SUMIF($O$47:$O$73,I464,$BB$47:$BB$73)</f>
        <v>50110</v>
      </c>
      <c r="K464" s="38">
        <f>SUMIF($O$47:$O$73,I464,$CS$47:$CS$73)</f>
        <v>67896</v>
      </c>
      <c r="L464" s="156">
        <f t="shared" si="69"/>
        <v>35.49</v>
      </c>
    </row>
    <row r="465" spans="2:12" x14ac:dyDescent="0.2">
      <c r="B465" s="10">
        <v>11</v>
      </c>
      <c r="C465" s="34" t="s">
        <v>15</v>
      </c>
      <c r="D465" s="35">
        <f>SUMIF($O$8:$O$34,C465,$BB$8:$BB$34)</f>
        <v>573960</v>
      </c>
      <c r="E465" s="38">
        <f>SUMIF($O$8:$O$34,C465,$CS$8:$CS$34)</f>
        <v>664928</v>
      </c>
      <c r="F465" s="156">
        <f t="shared" si="68"/>
        <v>15.84</v>
      </c>
      <c r="G465" s="51"/>
      <c r="H465" s="44">
        <v>11</v>
      </c>
      <c r="I465" s="34" t="s">
        <v>38</v>
      </c>
      <c r="J465" s="35">
        <f>SUMIF($O$47:$O$73,I465,$BB$47:$BB$73)</f>
        <v>48025</v>
      </c>
      <c r="K465" s="38">
        <f>SUMIF($O$47:$O$73,I465,$CS$47:$CS$73)</f>
        <v>52453</v>
      </c>
      <c r="L465" s="156">
        <f t="shared" si="69"/>
        <v>9.2200000000000006</v>
      </c>
    </row>
    <row r="466" spans="2:12" x14ac:dyDescent="0.2">
      <c r="B466" s="10">
        <v>12</v>
      </c>
      <c r="C466" s="34" t="s">
        <v>24</v>
      </c>
      <c r="D466" s="35">
        <f>SUMIF($O$8:$O$34,C466,$BB$8:$BB$34)</f>
        <v>358857</v>
      </c>
      <c r="E466" s="38">
        <f>SUMIF($O$8:$O$34,C466,$CS$8:$CS$34)</f>
        <v>400646</v>
      </c>
      <c r="F466" s="156">
        <f t="shared" si="68"/>
        <v>11.64</v>
      </c>
      <c r="G466" s="9"/>
      <c r="H466" s="44">
        <v>12</v>
      </c>
      <c r="I466" s="34" t="s">
        <v>27</v>
      </c>
      <c r="J466" s="35">
        <f>SUMIF($O$47:$O$73,I466,$BB$47:$BB$73)</f>
        <v>48132</v>
      </c>
      <c r="K466" s="38">
        <f>SUMIF($O$47:$O$73,I466,$CS$47:$CS$73)</f>
        <v>45916</v>
      </c>
      <c r="L466" s="156">
        <f t="shared" si="69"/>
        <v>-4.5999999999999996</v>
      </c>
    </row>
    <row r="467" spans="2:12" x14ac:dyDescent="0.2">
      <c r="B467" s="10">
        <v>13</v>
      </c>
      <c r="C467" s="34" t="s">
        <v>36</v>
      </c>
      <c r="D467" s="35">
        <f>SUMIF($O$8:$O$34,C467,$BB$8:$BB$34)</f>
        <v>423706</v>
      </c>
      <c r="E467" s="38">
        <f>SUMIF($O$8:$O$34,C467,$CS$8:$CS$34)</f>
        <v>385875</v>
      </c>
      <c r="F467" s="156">
        <f t="shared" si="68"/>
        <v>-8.92</v>
      </c>
      <c r="G467" s="9"/>
      <c r="H467" s="44">
        <v>13</v>
      </c>
      <c r="I467" s="34" t="s">
        <v>28</v>
      </c>
      <c r="J467" s="35">
        <f>SUMIF($O$47:$O$73,I467,$BB$47:$BB$73)</f>
        <v>23079</v>
      </c>
      <c r="K467" s="38">
        <f>SUMIF($O$47:$O$73,I467,$CS$47:$CS$73)</f>
        <v>41155</v>
      </c>
      <c r="L467" s="156">
        <f t="shared" si="69"/>
        <v>78.319999999999993</v>
      </c>
    </row>
    <row r="468" spans="2:12" x14ac:dyDescent="0.2">
      <c r="B468" s="10">
        <v>14</v>
      </c>
      <c r="C468" s="34" t="s">
        <v>39</v>
      </c>
      <c r="D468" s="35">
        <f>SUMIF($O$8:$O$34,C468,$BB$8:$BB$34)</f>
        <v>292059</v>
      </c>
      <c r="E468" s="38">
        <f>SUMIF($O$8:$O$34,C468,$CS$8:$CS$34)</f>
        <v>285619</v>
      </c>
      <c r="F468" s="156">
        <f t="shared" si="68"/>
        <v>-2.2000000000000002</v>
      </c>
      <c r="G468" s="9"/>
      <c r="H468" s="44">
        <v>14</v>
      </c>
      <c r="I468" s="34" t="s">
        <v>16</v>
      </c>
      <c r="J468" s="35">
        <f>SUMIF($O$47:$O$73,I468,$BB$47:$BB$73)</f>
        <v>41697</v>
      </c>
      <c r="K468" s="38">
        <f>SUMIF($O$47:$O$73,I468,$CS$47:$CS$73)</f>
        <v>40294</v>
      </c>
      <c r="L468" s="156">
        <f t="shared" si="69"/>
        <v>-3.36</v>
      </c>
    </row>
    <row r="469" spans="2:12" x14ac:dyDescent="0.2">
      <c r="B469" s="10">
        <v>15</v>
      </c>
      <c r="C469" s="34" t="s">
        <v>28</v>
      </c>
      <c r="D469" s="35">
        <f>SUMIF($O$8:$O$34,C469,$BB$8:$BB$34)</f>
        <v>293129</v>
      </c>
      <c r="E469" s="38">
        <f>SUMIF($O$8:$O$34,C469,$CS$8:$CS$34)</f>
        <v>279120</v>
      </c>
      <c r="F469" s="156">
        <f t="shared" si="68"/>
        <v>-4.7699999999999996</v>
      </c>
      <c r="G469" s="9"/>
      <c r="H469" s="44">
        <v>15</v>
      </c>
      <c r="I469" s="34" t="s">
        <v>15</v>
      </c>
      <c r="J469" s="35">
        <f>SUMIF($O$47:$O$73,I469,$BB$47:$BB$73)</f>
        <v>26024</v>
      </c>
      <c r="K469" s="38">
        <f>SUMIF($O$47:$O$73,I469,$CS$47:$CS$73)</f>
        <v>29602</v>
      </c>
      <c r="L469" s="156">
        <f t="shared" si="69"/>
        <v>13.74</v>
      </c>
    </row>
    <row r="470" spans="2:12" x14ac:dyDescent="0.2">
      <c r="B470" s="10">
        <v>16</v>
      </c>
      <c r="C470" s="34" t="s">
        <v>29</v>
      </c>
      <c r="D470" s="35">
        <f>SUMIF($O$8:$O$34,C470,$BB$8:$BB$34)</f>
        <v>380182</v>
      </c>
      <c r="E470" s="38">
        <f>SUMIF($O$8:$O$34,C470,$CS$8:$CS$34)</f>
        <v>279005</v>
      </c>
      <c r="F470" s="156">
        <f t="shared" si="68"/>
        <v>-26.61</v>
      </c>
      <c r="G470" s="9"/>
      <c r="H470" s="44">
        <v>16</v>
      </c>
      <c r="I470" s="34" t="s">
        <v>29</v>
      </c>
      <c r="J470" s="35">
        <f>SUMIF($O$47:$O$73,I470,$BB$47:$BB$73)</f>
        <v>25305</v>
      </c>
      <c r="K470" s="38">
        <f>SUMIF($O$47:$O$73,I470,$CS$47:$CS$73)</f>
        <v>27610</v>
      </c>
      <c r="L470" s="156">
        <f t="shared" si="69"/>
        <v>9.1</v>
      </c>
    </row>
    <row r="471" spans="2:12" x14ac:dyDescent="0.2">
      <c r="B471" s="10">
        <v>17</v>
      </c>
      <c r="C471" s="34" t="s">
        <v>21</v>
      </c>
      <c r="D471" s="35">
        <f>SUMIF($O$8:$O$34,C471,$BB$8:$BB$34)</f>
        <v>260194</v>
      </c>
      <c r="E471" s="38">
        <f>SUMIF($O$8:$O$34,C471,$CS$8:$CS$34)</f>
        <v>261773</v>
      </c>
      <c r="F471" s="156">
        <f>IF(E471=0,0,TRUNC(((E471/D471)-1)*100,2))</f>
        <v>0.6</v>
      </c>
      <c r="G471" s="9"/>
      <c r="H471" s="44">
        <v>17</v>
      </c>
      <c r="I471" s="34" t="s">
        <v>21</v>
      </c>
      <c r="J471" s="35">
        <f>SUMIF($O$47:$O$73,I471,$BB$47:$BB$73)</f>
        <v>13847</v>
      </c>
      <c r="K471" s="38">
        <f>SUMIF($O$47:$O$73,I471,$CS$47:$CS$73)</f>
        <v>25646</v>
      </c>
      <c r="L471" s="156">
        <f>IF(K471=0,0,TRUNC(((K471/J471)-1)*100,2))</f>
        <v>85.2</v>
      </c>
    </row>
    <row r="472" spans="2:12" x14ac:dyDescent="0.2">
      <c r="B472" s="10">
        <v>18</v>
      </c>
      <c r="C472" s="34" t="s">
        <v>4</v>
      </c>
      <c r="D472" s="35">
        <f>SUMIF($O$8:$O$34,C472,$BB$8:$BB$34)</f>
        <v>207751</v>
      </c>
      <c r="E472" s="38">
        <f>SUMIF($O$8:$O$34,C472,$CS$8:$CS$34)</f>
        <v>213367</v>
      </c>
      <c r="F472" s="156">
        <f t="shared" ref="F472:F481" si="70">IF(E472=0,0,TRUNC(((E472/D472)-1)*100,2))</f>
        <v>2.7</v>
      </c>
      <c r="G472" s="9"/>
      <c r="H472" s="44">
        <v>18</v>
      </c>
      <c r="I472" s="34" t="s">
        <v>36</v>
      </c>
      <c r="J472" s="35">
        <f>SUMIF($O$47:$O$73,I472,$BB$47:$BB$73)</f>
        <v>22178</v>
      </c>
      <c r="K472" s="38">
        <f>SUMIF($O$47:$O$73,I472,$CS$47:$CS$73)</f>
        <v>25355</v>
      </c>
      <c r="L472" s="156">
        <f t="shared" ref="L472:L481" si="71">IF(K472=0,0,TRUNC(((K472/J472)-1)*100,2))</f>
        <v>14.32</v>
      </c>
    </row>
    <row r="473" spans="2:12" x14ac:dyDescent="0.2">
      <c r="B473" s="10">
        <v>19</v>
      </c>
      <c r="C473" s="34" t="s">
        <v>23</v>
      </c>
      <c r="D473" s="35">
        <f>SUMIF($O$8:$O$34,C473,$BB$8:$BB$34)</f>
        <v>265687</v>
      </c>
      <c r="E473" s="38">
        <f>SUMIF($O$8:$O$34,C473,$CS$8:$CS$34)</f>
        <v>202238</v>
      </c>
      <c r="F473" s="156">
        <f t="shared" si="70"/>
        <v>-23.88</v>
      </c>
      <c r="G473" s="9"/>
      <c r="H473" s="44">
        <v>19</v>
      </c>
      <c r="I473" s="34" t="s">
        <v>20</v>
      </c>
      <c r="J473" s="35">
        <f>SUMIF($O$47:$O$73,I473,$BB$47:$BB$73)</f>
        <v>12825</v>
      </c>
      <c r="K473" s="38">
        <f>SUMIF($O$47:$O$73,I473,$CS$47:$CS$73)</f>
        <v>24306</v>
      </c>
      <c r="L473" s="156">
        <f t="shared" si="71"/>
        <v>89.52</v>
      </c>
    </row>
    <row r="474" spans="2:12" x14ac:dyDescent="0.2">
      <c r="B474" s="10">
        <v>20</v>
      </c>
      <c r="C474" s="34" t="s">
        <v>18</v>
      </c>
      <c r="D474" s="35">
        <f>SUMIF($O$8:$O$34,C474,$BB$8:$BB$34)</f>
        <v>176754</v>
      </c>
      <c r="E474" s="38">
        <f>SUMIF($O$8:$O$34,C474,$CS$8:$CS$34)</f>
        <v>179010</v>
      </c>
      <c r="F474" s="156">
        <f t="shared" si="70"/>
        <v>1.27</v>
      </c>
      <c r="G474" s="9"/>
      <c r="H474" s="44">
        <v>20</v>
      </c>
      <c r="I474" s="34" t="s">
        <v>39</v>
      </c>
      <c r="J474" s="35">
        <f>SUMIF($O$47:$O$73,I474,$BB$47:$BB$73)</f>
        <v>20489</v>
      </c>
      <c r="K474" s="38">
        <f>SUMIF($O$47:$O$73,I474,$CS$47:$CS$73)</f>
        <v>21339</v>
      </c>
      <c r="L474" s="156">
        <f t="shared" si="71"/>
        <v>4.1399999999999997</v>
      </c>
    </row>
    <row r="475" spans="2:12" x14ac:dyDescent="0.2">
      <c r="B475" s="10">
        <v>21</v>
      </c>
      <c r="C475" s="34" t="s">
        <v>27</v>
      </c>
      <c r="D475" s="35">
        <f>SUMIF($O$8:$O$34,C475,$BB$8:$BB$34)</f>
        <v>388343</v>
      </c>
      <c r="E475" s="38">
        <f>SUMIF($O$8:$O$34,C475,$CS$8:$CS$34)</f>
        <v>178820</v>
      </c>
      <c r="F475" s="156">
        <f t="shared" si="70"/>
        <v>-53.95</v>
      </c>
      <c r="G475" s="9"/>
      <c r="H475" s="44">
        <v>21</v>
      </c>
      <c r="I475" s="34" t="s">
        <v>25</v>
      </c>
      <c r="J475" s="35">
        <f>SUMIF($O$47:$O$73,I475,$BB$47:$BB$73)</f>
        <v>14944</v>
      </c>
      <c r="K475" s="38">
        <f>SUMIF($O$47:$O$73,I475,$CS$47:$CS$73)</f>
        <v>21024</v>
      </c>
      <c r="L475" s="156">
        <f t="shared" si="71"/>
        <v>40.68</v>
      </c>
    </row>
    <row r="476" spans="2:12" x14ac:dyDescent="0.2">
      <c r="B476" s="10">
        <v>22</v>
      </c>
      <c r="C476" s="34" t="s">
        <v>33</v>
      </c>
      <c r="D476" s="35">
        <f>SUMIF($O$8:$O$34,C476,$BB$8:$BB$34)</f>
        <v>154045</v>
      </c>
      <c r="E476" s="38">
        <f>SUMIF($O$8:$O$34,C476,$CS$8:$CS$34)</f>
        <v>152469</v>
      </c>
      <c r="F476" s="156">
        <f t="shared" si="70"/>
        <v>-1.02</v>
      </c>
      <c r="G476" s="9"/>
      <c r="H476" s="44">
        <v>22</v>
      </c>
      <c r="I476" s="34" t="s">
        <v>4</v>
      </c>
      <c r="J476" s="35">
        <f>SUMIF($O$47:$O$73,I476,$BB$47:$BB$73)</f>
        <v>12721</v>
      </c>
      <c r="K476" s="38">
        <f>SUMIF($O$47:$O$73,I476,$CS$47:$CS$73)</f>
        <v>20597</v>
      </c>
      <c r="L476" s="156">
        <f t="shared" si="71"/>
        <v>61.91</v>
      </c>
    </row>
    <row r="477" spans="2:12" x14ac:dyDescent="0.2">
      <c r="B477" s="10">
        <v>23</v>
      </c>
      <c r="C477" s="34" t="s">
        <v>20</v>
      </c>
      <c r="D477" s="35">
        <f>SUMIF($O$8:$O$34,C477,$BB$8:$BB$34)</f>
        <v>156875</v>
      </c>
      <c r="E477" s="38">
        <f>SUMIF($O$8:$O$34,C477,$CS$8:$CS$34)</f>
        <v>148650</v>
      </c>
      <c r="F477" s="156">
        <f t="shared" si="70"/>
        <v>-5.24</v>
      </c>
      <c r="G477" s="9"/>
      <c r="H477" s="44">
        <v>23</v>
      </c>
      <c r="I477" s="34" t="s">
        <v>26</v>
      </c>
      <c r="J477" s="35">
        <f>SUMIF($O$47:$O$73,I477,$BB$47:$BB$73)</f>
        <v>15221</v>
      </c>
      <c r="K477" s="38">
        <f>SUMIF($O$47:$O$73,I477,$CS$47:$CS$73)</f>
        <v>19848</v>
      </c>
      <c r="L477" s="156">
        <f t="shared" si="71"/>
        <v>30.39</v>
      </c>
    </row>
    <row r="478" spans="2:12" x14ac:dyDescent="0.2">
      <c r="B478" s="10">
        <v>24</v>
      </c>
      <c r="C478" s="34" t="s">
        <v>26</v>
      </c>
      <c r="D478" s="35">
        <f>SUMIF($O$8:$O$34,C478,$BB$8:$BB$34)</f>
        <v>131073</v>
      </c>
      <c r="E478" s="38">
        <f>SUMIF($O$8:$O$34,C478,$CS$8:$CS$34)</f>
        <v>146889</v>
      </c>
      <c r="F478" s="156">
        <f t="shared" si="70"/>
        <v>12.06</v>
      </c>
      <c r="G478" s="9"/>
      <c r="H478" s="44">
        <v>24</v>
      </c>
      <c r="I478" s="34" t="s">
        <v>33</v>
      </c>
      <c r="J478" s="35">
        <f>SUMIF($O$47:$O$73,I478,$BB$47:$BB$73)</f>
        <v>11132</v>
      </c>
      <c r="K478" s="38">
        <f>SUMIF($O$47:$O$73,I478,$CS$47:$CS$73)</f>
        <v>11875</v>
      </c>
      <c r="L478" s="156">
        <f t="shared" si="71"/>
        <v>6.67</v>
      </c>
    </row>
    <row r="479" spans="2:12" x14ac:dyDescent="0.2">
      <c r="B479" s="10">
        <v>25</v>
      </c>
      <c r="C479" s="34" t="s">
        <v>32</v>
      </c>
      <c r="D479" s="35">
        <f>SUMIF($O$8:$O$34,C479,$BB$8:$BB$34)</f>
        <v>140952</v>
      </c>
      <c r="E479" s="38">
        <f>SUMIF($O$8:$O$34,C479,$CS$8:$CS$34)</f>
        <v>122926</v>
      </c>
      <c r="F479" s="156">
        <f t="shared" si="70"/>
        <v>-12.78</v>
      </c>
      <c r="G479" s="9"/>
      <c r="H479" s="44">
        <v>25</v>
      </c>
      <c r="I479" s="34" t="s">
        <v>32</v>
      </c>
      <c r="J479" s="35">
        <f>SUMIF($O$47:$O$73,I479,$BB$47:$BB$73)</f>
        <v>8690</v>
      </c>
      <c r="K479" s="38">
        <f>SUMIF($O$47:$O$73,I479,$CS$47:$CS$73)</f>
        <v>8847</v>
      </c>
      <c r="L479" s="156">
        <f t="shared" si="71"/>
        <v>1.8</v>
      </c>
    </row>
    <row r="480" spans="2:12" x14ac:dyDescent="0.2">
      <c r="B480" s="10">
        <v>26</v>
      </c>
      <c r="C480" s="34" t="s">
        <v>25</v>
      </c>
      <c r="D480" s="35">
        <f>SUMIF($O$8:$O$34,C480,$BB$8:$BB$34)</f>
        <v>146091</v>
      </c>
      <c r="E480" s="38">
        <f>SUMIF($O$8:$O$34,C480,$CS$8:$CS$34)</f>
        <v>94844</v>
      </c>
      <c r="F480" s="156">
        <f t="shared" si="70"/>
        <v>-35.07</v>
      </c>
      <c r="G480" s="9"/>
      <c r="H480" s="44">
        <v>26</v>
      </c>
      <c r="I480" s="34" t="s">
        <v>18</v>
      </c>
      <c r="J480" s="35">
        <f>SUMIF($O$47:$O$73,I480,$BB$47:$BB$73)</f>
        <v>7851</v>
      </c>
      <c r="K480" s="38">
        <f>SUMIF($O$47:$O$73,I480,$CS$47:$CS$73)</f>
        <v>8119</v>
      </c>
      <c r="L480" s="156">
        <f t="shared" si="71"/>
        <v>3.41</v>
      </c>
    </row>
    <row r="481" spans="2:12" x14ac:dyDescent="0.2">
      <c r="B481" s="10">
        <v>27</v>
      </c>
      <c r="C481" s="34" t="s">
        <v>40</v>
      </c>
      <c r="D481" s="35">
        <f>SUMIF($O$8:$O$34,C481,$BB$8:$BB$34)</f>
        <v>14096</v>
      </c>
      <c r="E481" s="38">
        <f>SUMIF($O$8:$O$34,C481,$CS$8:$CS$34)</f>
        <v>20800</v>
      </c>
      <c r="F481" s="156">
        <f t="shared" si="70"/>
        <v>47.55</v>
      </c>
      <c r="G481" s="9"/>
      <c r="H481" s="44">
        <v>27</v>
      </c>
      <c r="I481" s="34" t="s">
        <v>40</v>
      </c>
      <c r="J481" s="35">
        <f>SUMIF($O$47:$O$73,I481,$BB$47:$BB$73)</f>
        <v>936</v>
      </c>
      <c r="K481" s="38">
        <f>SUMIF($O$47:$O$73,I481,$CS$47:$CS$73)</f>
        <v>1356</v>
      </c>
      <c r="L481" s="156">
        <f t="shared" si="71"/>
        <v>44.87</v>
      </c>
    </row>
    <row r="482" spans="2:12" x14ac:dyDescent="0.2">
      <c r="B482" s="10"/>
      <c r="C482" s="34" t="s">
        <v>9</v>
      </c>
      <c r="D482" s="39">
        <f>SUM(D455:D481)</f>
        <v>23059704</v>
      </c>
      <c r="E482" s="39">
        <f>SUM(E455:E481)</f>
        <v>23705613</v>
      </c>
      <c r="F482" s="40">
        <f t="shared" ref="F482:F483" si="72">TRUNC(((E482/D482)-1)*100,2)</f>
        <v>2.8</v>
      </c>
      <c r="G482" s="9"/>
      <c r="H482" s="44"/>
      <c r="I482" s="34" t="s">
        <v>9</v>
      </c>
      <c r="J482" s="39">
        <f>SUM(J455:J481)</f>
        <v>1536161</v>
      </c>
      <c r="K482" s="39">
        <f>SUM(K455:K481)</f>
        <v>2355107</v>
      </c>
      <c r="L482" s="40">
        <f>TRUNC(((K482/J482)-1)*100,2)</f>
        <v>53.31</v>
      </c>
    </row>
    <row r="483" spans="2:12" x14ac:dyDescent="0.2">
      <c r="B483" s="49"/>
      <c r="C483" s="55" t="s">
        <v>83</v>
      </c>
      <c r="D483" s="52">
        <f>SUM(BB8:BB34)</f>
        <v>23059704</v>
      </c>
      <c r="E483" s="52">
        <f>SUM(CS8:CS34)</f>
        <v>23705613</v>
      </c>
      <c r="F483" s="56">
        <f t="shared" si="72"/>
        <v>2.8</v>
      </c>
      <c r="G483" s="1"/>
      <c r="H483" s="49"/>
      <c r="I483" s="55" t="s">
        <v>83</v>
      </c>
      <c r="J483" s="52">
        <f>SUM(BB47:BB73)</f>
        <v>1536161</v>
      </c>
      <c r="K483" s="52">
        <f>SUM(CS47:CS73)</f>
        <v>2355107</v>
      </c>
      <c r="L483" s="56">
        <f>TRUNC(((K483/J483)-1)*100,2)</f>
        <v>53.31</v>
      </c>
    </row>
    <row r="488" spans="2:12" x14ac:dyDescent="0.2">
      <c r="B488" s="6" t="s">
        <v>88</v>
      </c>
      <c r="C488" s="242" t="s">
        <v>41</v>
      </c>
      <c r="D488" s="243"/>
      <c r="E488" s="244"/>
      <c r="F488" s="9"/>
      <c r="G488" s="9"/>
      <c r="H488" s="6" t="s">
        <v>88</v>
      </c>
      <c r="I488" s="239" t="s">
        <v>5</v>
      </c>
      <c r="J488" s="240"/>
      <c r="K488" s="241"/>
      <c r="L488" s="6" t="s">
        <v>89</v>
      </c>
    </row>
    <row r="489" spans="2:12" x14ac:dyDescent="0.2">
      <c r="B489" s="6" t="s">
        <v>4</v>
      </c>
      <c r="C489" s="260" t="s">
        <v>99</v>
      </c>
      <c r="D489" s="261"/>
      <c r="E489" s="262"/>
      <c r="F489" s="9"/>
      <c r="G489" s="9"/>
      <c r="H489" s="6" t="s">
        <v>4</v>
      </c>
      <c r="I489" s="263" t="str">
        <f>C489</f>
        <v>Produto: Milho 1ª safra</v>
      </c>
      <c r="J489" s="264"/>
      <c r="K489" s="265"/>
      <c r="L489" s="6" t="s">
        <v>90</v>
      </c>
    </row>
    <row r="490" spans="2:12" x14ac:dyDescent="0.2">
      <c r="B490" s="128">
        <f>SUMIF(C492:C518,"Goiás",B492:B518)</f>
        <v>6</v>
      </c>
      <c r="C490" s="237" t="s">
        <v>14</v>
      </c>
      <c r="D490" s="237" t="str">
        <f>D453</f>
        <v>Safra 2015 (dezembro)</v>
      </c>
      <c r="E490" s="245" t="str">
        <f>E453</f>
        <v>Safra 2016 (dezembro)</v>
      </c>
      <c r="F490" s="5">
        <f>COUNTIF(E492:E518,"&gt;0")</f>
        <v>26</v>
      </c>
      <c r="G490" s="9"/>
      <c r="H490" s="128">
        <f>SUMIF(I492:I518,"Goiás",H492:H518)</f>
        <v>10</v>
      </c>
      <c r="I490" s="237" t="s">
        <v>14</v>
      </c>
      <c r="J490" s="237" t="str">
        <f>D490</f>
        <v>Safra 2015 (dezembro)</v>
      </c>
      <c r="K490" s="245" t="str">
        <f>E490</f>
        <v>Safra 2016 (dezembro)</v>
      </c>
      <c r="L490" s="129">
        <f>COUNTIF(K492:K518,"&gt;0")</f>
        <v>26</v>
      </c>
    </row>
    <row r="491" spans="2:12" x14ac:dyDescent="0.2">
      <c r="B491" s="6" t="s">
        <v>67</v>
      </c>
      <c r="C491" s="238"/>
      <c r="D491" s="238"/>
      <c r="E491" s="246"/>
      <c r="F491" s="37" t="s">
        <v>66</v>
      </c>
      <c r="G491" s="9"/>
      <c r="H491" s="37" t="s">
        <v>67</v>
      </c>
      <c r="I491" s="238"/>
      <c r="J491" s="238"/>
      <c r="K491" s="246"/>
      <c r="L491" s="37" t="s">
        <v>66</v>
      </c>
    </row>
    <row r="492" spans="2:12" x14ac:dyDescent="0.2">
      <c r="B492" s="10">
        <v>1</v>
      </c>
      <c r="C492" s="34" t="s">
        <v>31</v>
      </c>
      <c r="D492" s="35">
        <f>SUMIF($O$8:$O$34,C492,$AC$8:$AC$34)</f>
        <v>5430911</v>
      </c>
      <c r="E492" s="38">
        <f>SUMIF($O$8:$O$34,C492,$BT$8:$BT$34)</f>
        <v>5046158</v>
      </c>
      <c r="F492" s="156">
        <f t="shared" ref="F492:F507" si="73">IF(E492=0,0,TRUNC(((E492/D492)-1)*100,2))</f>
        <v>-7.08</v>
      </c>
      <c r="G492" s="9"/>
      <c r="H492" s="44">
        <v>1</v>
      </c>
      <c r="I492" s="34" t="s">
        <v>31</v>
      </c>
      <c r="J492" s="35">
        <f>SUMIF($O$47:$O$73,I492,$AC$47:$AC$73)</f>
        <v>1024960</v>
      </c>
      <c r="K492" s="38">
        <f>SUMIF($O$47:$O$73,I492,$BT$47:$BT$73)</f>
        <v>848268</v>
      </c>
      <c r="L492" s="156">
        <f t="shared" ref="L492:L507" si="74">IF(K492=0,0,TRUNC(((K492/J492)-1)*100,2))</f>
        <v>-17.23</v>
      </c>
    </row>
    <row r="493" spans="2:12" x14ac:dyDescent="0.2">
      <c r="B493" s="10">
        <v>2</v>
      </c>
      <c r="C493" s="34" t="s">
        <v>37</v>
      </c>
      <c r="D493" s="35">
        <f>SUMIF($O$8:$O$34,C493,$AC$8:$AC$34)</f>
        <v>5563555</v>
      </c>
      <c r="E493" s="38">
        <f>SUMIF($O$8:$O$34,C493,$BT$8:$BT$34)</f>
        <v>4729948</v>
      </c>
      <c r="F493" s="156">
        <f t="shared" si="73"/>
        <v>-14.98</v>
      </c>
      <c r="G493" s="9"/>
      <c r="H493" s="44">
        <v>2</v>
      </c>
      <c r="I493" s="34" t="s">
        <v>37</v>
      </c>
      <c r="J493" s="35">
        <f>SUMIF($O$47:$O$73,I493,$AC$47:$AC$73)</f>
        <v>854793</v>
      </c>
      <c r="K493" s="38">
        <f>SUMIF($O$47:$O$73,I493,$BT$47:$BT$73)</f>
        <v>740510</v>
      </c>
      <c r="L493" s="156">
        <f t="shared" si="74"/>
        <v>-13.36</v>
      </c>
    </row>
    <row r="494" spans="2:12" x14ac:dyDescent="0.2">
      <c r="B494" s="10">
        <v>3</v>
      </c>
      <c r="C494" s="34" t="s">
        <v>35</v>
      </c>
      <c r="D494" s="35">
        <f>SUMIF($O$8:$O$34,C494,$AC$8:$AC$34)</f>
        <v>4601525</v>
      </c>
      <c r="E494" s="38">
        <f>SUMIF($O$8:$O$34,C494,$BT$8:$BT$34)</f>
        <v>3303508</v>
      </c>
      <c r="F494" s="156">
        <f t="shared" si="73"/>
        <v>-28.2</v>
      </c>
      <c r="G494" s="9"/>
      <c r="H494" s="44">
        <v>3</v>
      </c>
      <c r="I494" s="34" t="s">
        <v>24</v>
      </c>
      <c r="J494" s="35">
        <f>SUMIF($O$47:$O$73,I494,$AC$47:$AC$73)</f>
        <v>495735</v>
      </c>
      <c r="K494" s="38">
        <f>SUMIF($O$47:$O$73,I494,$BT$47:$BT$73)</f>
        <v>475648</v>
      </c>
      <c r="L494" s="156">
        <f t="shared" si="74"/>
        <v>-4.05</v>
      </c>
    </row>
    <row r="495" spans="2:12" x14ac:dyDescent="0.2">
      <c r="B495" s="10">
        <v>4</v>
      </c>
      <c r="C495" s="34" t="s">
        <v>34</v>
      </c>
      <c r="D495" s="35">
        <f>SUMIF($O$8:$O$34,C495,$AC$8:$AC$34)</f>
        <v>2653495</v>
      </c>
      <c r="E495" s="38">
        <f>SUMIF($O$8:$O$34,C495,$BT$8:$BT$34)</f>
        <v>2718300</v>
      </c>
      <c r="F495" s="156">
        <f t="shared" si="73"/>
        <v>2.44</v>
      </c>
      <c r="G495" s="9"/>
      <c r="H495" s="44">
        <v>4</v>
      </c>
      <c r="I495" s="34" t="s">
        <v>23</v>
      </c>
      <c r="J495" s="35">
        <f>SUMIF($O$47:$O$73,I495,$AC$47:$AC$73)</f>
        <v>408751</v>
      </c>
      <c r="K495" s="38">
        <f>SUMIF($O$47:$O$73,I495,$BT$47:$BT$73)</f>
        <v>461359</v>
      </c>
      <c r="L495" s="156">
        <f t="shared" si="74"/>
        <v>12.87</v>
      </c>
    </row>
    <row r="496" spans="2:12" x14ac:dyDescent="0.2">
      <c r="B496" s="10">
        <v>5</v>
      </c>
      <c r="C496" s="34" t="s">
        <v>36</v>
      </c>
      <c r="D496" s="35">
        <f>SUMIF($O$8:$O$34,C496,$AC$8:$AC$34)</f>
        <v>3076480</v>
      </c>
      <c r="E496" s="38">
        <f>SUMIF($O$8:$O$34,C496,$BT$8:$BT$34)</f>
        <v>2530363</v>
      </c>
      <c r="F496" s="156">
        <f t="shared" si="73"/>
        <v>-17.75</v>
      </c>
      <c r="G496" s="9"/>
      <c r="H496" s="44">
        <v>5</v>
      </c>
      <c r="I496" s="34" t="s">
        <v>30</v>
      </c>
      <c r="J496" s="35">
        <f>SUMIF($O$47:$O$73,I496,$AC$47:$AC$73)</f>
        <v>503126</v>
      </c>
      <c r="K496" s="38">
        <f>SUMIF($O$47:$O$73,I496,$BT$47:$BT$73)</f>
        <v>446655</v>
      </c>
      <c r="L496" s="156">
        <f t="shared" si="74"/>
        <v>-11.22</v>
      </c>
    </row>
    <row r="497" spans="2:12" x14ac:dyDescent="0.2">
      <c r="B497" s="10">
        <v>6</v>
      </c>
      <c r="C497" s="34" t="s">
        <v>4</v>
      </c>
      <c r="D497" s="35">
        <f>SUMIF($O$8:$O$34,C497,$AC$8:$AC$34)</f>
        <v>1735340</v>
      </c>
      <c r="E497" s="38">
        <f>SUMIF($O$8:$O$34,C497,$BT$8:$BT$34)</f>
        <v>1867503</v>
      </c>
      <c r="F497" s="156">
        <f t="shared" si="73"/>
        <v>7.61</v>
      </c>
      <c r="G497" s="9"/>
      <c r="H497" s="44">
        <v>6</v>
      </c>
      <c r="I497" s="34" t="s">
        <v>34</v>
      </c>
      <c r="J497" s="35">
        <f>SUMIF($O$47:$O$73,I497,$AC$47:$AC$73)</f>
        <v>437954</v>
      </c>
      <c r="K497" s="38">
        <f>SUMIF($O$47:$O$73,I497,$BT$47:$BT$73)</f>
        <v>441560</v>
      </c>
      <c r="L497" s="156">
        <f t="shared" si="74"/>
        <v>0.82</v>
      </c>
    </row>
    <row r="498" spans="2:12" x14ac:dyDescent="0.2">
      <c r="B498" s="10">
        <v>7</v>
      </c>
      <c r="C498" s="34" t="s">
        <v>30</v>
      </c>
      <c r="D498" s="35">
        <f>SUMIF($O$8:$O$34,C498,$AC$8:$AC$34)</f>
        <v>2028029</v>
      </c>
      <c r="E498" s="38">
        <f>SUMIF($O$8:$O$34,C498,$BT$8:$BT$34)</f>
        <v>1273690</v>
      </c>
      <c r="F498" s="156">
        <f t="shared" si="73"/>
        <v>-37.19</v>
      </c>
      <c r="G498" s="9"/>
      <c r="H498" s="44">
        <v>7</v>
      </c>
      <c r="I498" s="34" t="s">
        <v>35</v>
      </c>
      <c r="J498" s="35">
        <f>SUMIF($O$47:$O$73,I498,$AC$47:$AC$73)</f>
        <v>548097</v>
      </c>
      <c r="K498" s="38">
        <f>SUMIF($O$47:$O$73,I498,$BT$47:$BT$73)</f>
        <v>413440</v>
      </c>
      <c r="L498" s="156">
        <f t="shared" si="74"/>
        <v>-24.56</v>
      </c>
    </row>
    <row r="499" spans="2:12" x14ac:dyDescent="0.2">
      <c r="B499" s="10">
        <v>8</v>
      </c>
      <c r="C499" s="34" t="s">
        <v>22</v>
      </c>
      <c r="D499" s="35">
        <f>SUMIF($O$8:$O$34,C499,$AC$8:$AC$34)</f>
        <v>878093</v>
      </c>
      <c r="E499" s="38">
        <f>SUMIF($O$8:$O$34,C499,$BT$8:$BT$34)</f>
        <v>568040</v>
      </c>
      <c r="F499" s="156">
        <f t="shared" si="73"/>
        <v>-35.299999999999997</v>
      </c>
      <c r="G499" s="9"/>
      <c r="H499" s="44">
        <v>8</v>
      </c>
      <c r="I499" s="34" t="s">
        <v>36</v>
      </c>
      <c r="J499" s="35">
        <f>SUMIF($O$47:$O$73,I499,$AC$47:$AC$73)</f>
        <v>404487</v>
      </c>
      <c r="K499" s="38">
        <f>SUMIF($O$47:$O$73,I499,$BT$47:$BT$73)</f>
        <v>360341</v>
      </c>
      <c r="L499" s="156">
        <f t="shared" si="74"/>
        <v>-10.91</v>
      </c>
    </row>
    <row r="500" spans="2:12" x14ac:dyDescent="0.2">
      <c r="B500" s="10">
        <v>9</v>
      </c>
      <c r="C500" s="34" t="s">
        <v>23</v>
      </c>
      <c r="D500" s="35">
        <f>SUMIF($O$8:$O$34,C500,$AC$8:$AC$34)</f>
        <v>1099335</v>
      </c>
      <c r="E500" s="38">
        <f>SUMIF($O$8:$O$34,C500,$BT$8:$BT$34)</f>
        <v>559502</v>
      </c>
      <c r="F500" s="156">
        <f t="shared" si="73"/>
        <v>-49.1</v>
      </c>
      <c r="G500" s="9"/>
      <c r="H500" s="44">
        <v>9</v>
      </c>
      <c r="I500" s="34" t="s">
        <v>22</v>
      </c>
      <c r="J500" s="35">
        <f>SUMIF($O$47:$O$73,I500,$AC$47:$AC$73)</f>
        <v>322326</v>
      </c>
      <c r="K500" s="38">
        <f>SUMIF($O$47:$O$73,I500,$BT$47:$BT$73)</f>
        <v>261803</v>
      </c>
      <c r="L500" s="156">
        <f t="shared" si="74"/>
        <v>-18.77</v>
      </c>
    </row>
    <row r="501" spans="2:12" x14ac:dyDescent="0.2">
      <c r="B501" s="10">
        <v>10</v>
      </c>
      <c r="C501" s="34" t="s">
        <v>19</v>
      </c>
      <c r="D501" s="35">
        <f>SUMIF($O$8:$O$34,C501,$AC$8:$AC$34)</f>
        <v>636295</v>
      </c>
      <c r="E501" s="38">
        <f>SUMIF($O$8:$O$34,C501,$BT$8:$BT$34)</f>
        <v>557602</v>
      </c>
      <c r="F501" s="156">
        <f t="shared" si="73"/>
        <v>-12.36</v>
      </c>
      <c r="G501" s="9"/>
      <c r="H501" s="44">
        <v>10</v>
      </c>
      <c r="I501" s="34" t="s">
        <v>4</v>
      </c>
      <c r="J501" s="35">
        <f>SUMIF($O$47:$O$73,I501,$AC$47:$AC$73)</f>
        <v>260157</v>
      </c>
      <c r="K501" s="38">
        <f>SUMIF($O$47:$O$73,I501,$BT$47:$BT$73)</f>
        <v>239062</v>
      </c>
      <c r="L501" s="156">
        <f t="shared" si="74"/>
        <v>-8.1</v>
      </c>
    </row>
    <row r="502" spans="2:12" x14ac:dyDescent="0.2">
      <c r="B502" s="10">
        <v>11</v>
      </c>
      <c r="C502" s="34" t="s">
        <v>39</v>
      </c>
      <c r="D502" s="35">
        <f>SUMIF($O$8:$O$34,C502,$AC$8:$AC$34)</f>
        <v>340090</v>
      </c>
      <c r="E502" s="38">
        <f>SUMIF($O$8:$O$34,C502,$BT$8:$BT$34)</f>
        <v>258994</v>
      </c>
      <c r="F502" s="156">
        <f t="shared" si="73"/>
        <v>-23.84</v>
      </c>
      <c r="G502" s="51"/>
      <c r="H502" s="44">
        <v>11</v>
      </c>
      <c r="I502" s="34" t="s">
        <v>19</v>
      </c>
      <c r="J502" s="35">
        <f>SUMIF($O$47:$O$73,I502,$AC$47:$AC$73)</f>
        <v>192183</v>
      </c>
      <c r="K502" s="38">
        <f>SUMIF($O$47:$O$73,I502,$BT$47:$BT$73)</f>
        <v>170786</v>
      </c>
      <c r="L502" s="156">
        <f t="shared" si="74"/>
        <v>-11.13</v>
      </c>
    </row>
    <row r="503" spans="2:12" x14ac:dyDescent="0.2">
      <c r="B503" s="10">
        <v>12</v>
      </c>
      <c r="C503" s="34" t="s">
        <v>40</v>
      </c>
      <c r="D503" s="35">
        <f>SUMIF($O$8:$O$34,C503,$AC$8:$AC$34)</f>
        <v>196337</v>
      </c>
      <c r="E503" s="38">
        <f>SUMIF($O$8:$O$34,C503,$BT$8:$BT$34)</f>
        <v>192764</v>
      </c>
      <c r="F503" s="156">
        <f t="shared" si="73"/>
        <v>-1.81</v>
      </c>
      <c r="G503" s="9"/>
      <c r="H503" s="44">
        <v>12</v>
      </c>
      <c r="I503" s="34" t="s">
        <v>26</v>
      </c>
      <c r="J503" s="35">
        <f>SUMIF($O$47:$O$73,I503,$AC$47:$AC$73)</f>
        <v>65286</v>
      </c>
      <c r="K503" s="38">
        <f>SUMIF($O$47:$O$73,I503,$BT$47:$BT$73)</f>
        <v>83798</v>
      </c>
      <c r="L503" s="156">
        <f t="shared" si="74"/>
        <v>28.35</v>
      </c>
    </row>
    <row r="504" spans="2:12" x14ac:dyDescent="0.2">
      <c r="B504" s="10">
        <v>13</v>
      </c>
      <c r="C504" s="34" t="s">
        <v>21</v>
      </c>
      <c r="D504" s="35">
        <f>SUMIF($O$8:$O$34,C504,$AC$8:$AC$34)</f>
        <v>166474</v>
      </c>
      <c r="E504" s="38">
        <f>SUMIF($O$8:$O$34,C504,$BT$8:$BT$34)</f>
        <v>187662</v>
      </c>
      <c r="F504" s="156">
        <f t="shared" si="73"/>
        <v>12.72</v>
      </c>
      <c r="G504" s="9"/>
      <c r="H504" s="44">
        <v>13</v>
      </c>
      <c r="I504" s="34" t="s">
        <v>27</v>
      </c>
      <c r="J504" s="35">
        <f>SUMIF($O$47:$O$73,I504,$AC$47:$AC$73)</f>
        <v>56587</v>
      </c>
      <c r="K504" s="38">
        <f>SUMIF($O$47:$O$73,I504,$BT$47:$BT$73)</f>
        <v>78342</v>
      </c>
      <c r="L504" s="156">
        <f t="shared" si="74"/>
        <v>38.44</v>
      </c>
    </row>
    <row r="505" spans="2:12" x14ac:dyDescent="0.2">
      <c r="B505" s="10">
        <v>14</v>
      </c>
      <c r="C505" s="34" t="s">
        <v>38</v>
      </c>
      <c r="D505" s="35">
        <f>SUMIF($O$8:$O$34,C505,$AC$8:$AC$34)</f>
        <v>175309</v>
      </c>
      <c r="E505" s="38">
        <f>SUMIF($O$8:$O$34,C505,$BT$8:$BT$34)</f>
        <v>118143</v>
      </c>
      <c r="F505" s="156">
        <f t="shared" si="73"/>
        <v>-32.6</v>
      </c>
      <c r="G505" s="9"/>
      <c r="H505" s="44">
        <v>14</v>
      </c>
      <c r="I505" s="34" t="s">
        <v>21</v>
      </c>
      <c r="J505" s="35">
        <f>SUMIF($O$47:$O$73,I505,$AC$47:$AC$73)</f>
        <v>49138</v>
      </c>
      <c r="K505" s="38">
        <f>SUMIF($O$47:$O$73,I505,$BT$47:$BT$73)</f>
        <v>51685</v>
      </c>
      <c r="L505" s="156">
        <f t="shared" si="74"/>
        <v>5.18</v>
      </c>
    </row>
    <row r="506" spans="2:12" x14ac:dyDescent="0.2">
      <c r="B506" s="10">
        <v>15</v>
      </c>
      <c r="C506" s="34" t="s">
        <v>24</v>
      </c>
      <c r="D506" s="35">
        <f>SUMIF($O$8:$O$34,C506,$AC$8:$AC$34)</f>
        <v>129623</v>
      </c>
      <c r="E506" s="38">
        <f>SUMIF($O$8:$O$34,C506,$BT$8:$BT$34)</f>
        <v>114427</v>
      </c>
      <c r="F506" s="156">
        <f t="shared" si="73"/>
        <v>-11.72</v>
      </c>
      <c r="G506" s="9"/>
      <c r="H506" s="44">
        <v>15</v>
      </c>
      <c r="I506" s="34" t="s">
        <v>39</v>
      </c>
      <c r="J506" s="35">
        <f>SUMIF($O$47:$O$73,I506,$AC$47:$AC$73)</f>
        <v>55379</v>
      </c>
      <c r="K506" s="38">
        <f>SUMIF($O$47:$O$73,I506,$BT$47:$BT$73)</f>
        <v>45077</v>
      </c>
      <c r="L506" s="156">
        <f t="shared" si="74"/>
        <v>-18.600000000000001</v>
      </c>
    </row>
    <row r="507" spans="2:12" x14ac:dyDescent="0.2">
      <c r="B507" s="10">
        <v>16</v>
      </c>
      <c r="C507" s="34" t="s">
        <v>15</v>
      </c>
      <c r="D507" s="35">
        <f>SUMIF($O$8:$O$34,C507,$AC$8:$AC$34)</f>
        <v>91696</v>
      </c>
      <c r="E507" s="38">
        <f>SUMIF($O$8:$O$34,C507,$BT$8:$BT$34)</f>
        <v>98960</v>
      </c>
      <c r="F507" s="156">
        <f t="shared" si="73"/>
        <v>7.92</v>
      </c>
      <c r="G507" s="9"/>
      <c r="H507" s="44">
        <v>16</v>
      </c>
      <c r="I507" s="34" t="s">
        <v>15</v>
      </c>
      <c r="J507" s="35">
        <f>SUMIF($O$47:$O$73,I507,$AC$47:$AC$73)</f>
        <v>41366</v>
      </c>
      <c r="K507" s="38">
        <f>SUMIF($O$47:$O$73,I507,$BT$47:$BT$73)</f>
        <v>40006</v>
      </c>
      <c r="L507" s="156">
        <f t="shared" si="74"/>
        <v>-3.28</v>
      </c>
    </row>
    <row r="508" spans="2:12" x14ac:dyDescent="0.2">
      <c r="B508" s="10">
        <v>17</v>
      </c>
      <c r="C508" s="34" t="s">
        <v>16</v>
      </c>
      <c r="D508" s="35">
        <f>SUMIF($O$8:$O$34,C508,$AC$8:$AC$34)</f>
        <v>93389</v>
      </c>
      <c r="E508" s="38">
        <f>SUMIF($O$8:$O$34,C508,$BT$8:$BT$34)</f>
        <v>80921</v>
      </c>
      <c r="F508" s="156">
        <f>IF(E508=0,0,TRUNC(((E508/D508)-1)*100,2))</f>
        <v>-13.35</v>
      </c>
      <c r="G508" s="9"/>
      <c r="H508" s="44">
        <v>17</v>
      </c>
      <c r="I508" s="34" t="s">
        <v>25</v>
      </c>
      <c r="J508" s="35">
        <f>SUMIF($O$47:$O$73,I508,$AC$47:$AC$73)</f>
        <v>42915</v>
      </c>
      <c r="K508" s="38">
        <f>SUMIF($O$47:$O$73,I508,$BT$47:$BT$73)</f>
        <v>36976</v>
      </c>
      <c r="L508" s="156">
        <f>IF(K508=0,0,TRUNC(((K508/J508)-1)*100,2))</f>
        <v>-13.83</v>
      </c>
    </row>
    <row r="509" spans="2:12" x14ac:dyDescent="0.2">
      <c r="B509" s="10">
        <v>18</v>
      </c>
      <c r="C509" s="34" t="s">
        <v>32</v>
      </c>
      <c r="D509" s="35">
        <f>SUMIF($O$8:$O$34,C509,$AC$8:$AC$34)</f>
        <v>22798</v>
      </c>
      <c r="E509" s="38">
        <f>SUMIF($O$8:$O$34,C509,$BT$8:$BT$34)</f>
        <v>35264</v>
      </c>
      <c r="F509" s="156">
        <f t="shared" ref="F509:F518" si="75">IF(E509=0,0,TRUNC(((E509/D509)-1)*100,2))</f>
        <v>54.68</v>
      </c>
      <c r="G509" s="9"/>
      <c r="H509" s="44">
        <v>18</v>
      </c>
      <c r="I509" s="34" t="s">
        <v>16</v>
      </c>
      <c r="J509" s="35">
        <f>SUMIF($O$47:$O$73,I509,$AC$47:$AC$73)</f>
        <v>41177</v>
      </c>
      <c r="K509" s="38">
        <f>SUMIF($O$47:$O$73,I509,$BT$47:$BT$73)</f>
        <v>34274</v>
      </c>
      <c r="L509" s="156">
        <f t="shared" ref="L509:L518" si="76">IF(K509=0,0,TRUNC(((K509/J509)-1)*100,2))</f>
        <v>-16.760000000000002</v>
      </c>
    </row>
    <row r="510" spans="2:12" x14ac:dyDescent="0.2">
      <c r="B510" s="10">
        <v>19</v>
      </c>
      <c r="C510" s="34" t="s">
        <v>17</v>
      </c>
      <c r="D510" s="35">
        <f>SUMIF($O$8:$O$34,C510,$AC$8:$AC$34)</f>
        <v>16577</v>
      </c>
      <c r="E510" s="38">
        <f>SUMIF($O$8:$O$34,C510,$BT$8:$BT$34)</f>
        <v>24935</v>
      </c>
      <c r="F510" s="156">
        <f t="shared" si="75"/>
        <v>50.41</v>
      </c>
      <c r="G510" s="9"/>
      <c r="H510" s="44">
        <v>19</v>
      </c>
      <c r="I510" s="34" t="s">
        <v>40</v>
      </c>
      <c r="J510" s="35">
        <f>SUMIF($O$47:$O$73,I510,$AC$47:$AC$73)</f>
        <v>26800</v>
      </c>
      <c r="K510" s="38">
        <f>SUMIF($O$47:$O$73,I510,$BT$47:$BT$73)</f>
        <v>28600</v>
      </c>
      <c r="L510" s="156">
        <f t="shared" si="76"/>
        <v>6.71</v>
      </c>
    </row>
    <row r="511" spans="2:12" x14ac:dyDescent="0.2">
      <c r="B511" s="10">
        <v>20</v>
      </c>
      <c r="C511" s="34" t="s">
        <v>18</v>
      </c>
      <c r="D511" s="35">
        <f>SUMIF($O$8:$O$34,C511,$AC$8:$AC$34)</f>
        <v>14028</v>
      </c>
      <c r="E511" s="38">
        <f>SUMIF($O$8:$O$34,C511,$BT$8:$BT$34)</f>
        <v>14853</v>
      </c>
      <c r="F511" s="156">
        <f t="shared" si="75"/>
        <v>5.88</v>
      </c>
      <c r="G511" s="9"/>
      <c r="H511" s="44">
        <v>20</v>
      </c>
      <c r="I511" s="34" t="s">
        <v>28</v>
      </c>
      <c r="J511" s="35">
        <f>SUMIF($O$47:$O$73,I511,$AC$47:$AC$73)</f>
        <v>34220</v>
      </c>
      <c r="K511" s="38">
        <f>SUMIF($O$47:$O$73,I511,$BT$47:$BT$73)</f>
        <v>27901</v>
      </c>
      <c r="L511" s="156">
        <f t="shared" si="76"/>
        <v>-18.46</v>
      </c>
    </row>
    <row r="512" spans="2:12" x14ac:dyDescent="0.2">
      <c r="B512" s="10">
        <v>21</v>
      </c>
      <c r="C512" s="34" t="s">
        <v>26</v>
      </c>
      <c r="D512" s="35">
        <f>SUMIF($O$8:$O$34,C512,$AC$8:$AC$34)</f>
        <v>10934</v>
      </c>
      <c r="E512" s="38">
        <f>SUMIF($O$8:$O$34,C512,$BT$8:$BT$34)</f>
        <v>12613</v>
      </c>
      <c r="F512" s="156">
        <f t="shared" si="75"/>
        <v>15.35</v>
      </c>
      <c r="G512" s="9"/>
      <c r="H512" s="44">
        <v>21</v>
      </c>
      <c r="I512" s="34" t="s">
        <v>38</v>
      </c>
      <c r="J512" s="35">
        <f>SUMIF($O$47:$O$73,I512,$AC$47:$AC$73)</f>
        <v>21486</v>
      </c>
      <c r="K512" s="38">
        <f>SUMIF($O$47:$O$73,I512,$BT$47:$BT$73)</f>
        <v>12647</v>
      </c>
      <c r="L512" s="156">
        <f t="shared" si="76"/>
        <v>-41.13</v>
      </c>
    </row>
    <row r="513" spans="2:12" x14ac:dyDescent="0.2">
      <c r="B513" s="10">
        <v>22</v>
      </c>
      <c r="C513" s="34" t="s">
        <v>28</v>
      </c>
      <c r="D513" s="35">
        <f>SUMIF($O$8:$O$34,C513,$AC$8:$AC$34)</f>
        <v>15783</v>
      </c>
      <c r="E513" s="38">
        <f>SUMIF($O$8:$O$34,C513,$BT$8:$BT$34)</f>
        <v>9861</v>
      </c>
      <c r="F513" s="156">
        <f t="shared" si="75"/>
        <v>-37.520000000000003</v>
      </c>
      <c r="G513" s="9"/>
      <c r="H513" s="44">
        <v>22</v>
      </c>
      <c r="I513" s="34" t="s">
        <v>32</v>
      </c>
      <c r="J513" s="35">
        <f>SUMIF($O$47:$O$73,I513,$AC$47:$AC$73)</f>
        <v>17357</v>
      </c>
      <c r="K513" s="38">
        <f>SUMIF($O$47:$O$73,I513,$BT$47:$BT$73)</f>
        <v>12608</v>
      </c>
      <c r="L513" s="156">
        <f t="shared" si="76"/>
        <v>-27.36</v>
      </c>
    </row>
    <row r="514" spans="2:12" x14ac:dyDescent="0.2">
      <c r="B514" s="10">
        <v>23</v>
      </c>
      <c r="C514" s="34" t="s">
        <v>27</v>
      </c>
      <c r="D514" s="35">
        <f>SUMIF($O$8:$O$34,C514,$AC$8:$AC$34)</f>
        <v>8295</v>
      </c>
      <c r="E514" s="38">
        <f>SUMIF($O$8:$O$34,C514,$BT$8:$BT$34)</f>
        <v>6745</v>
      </c>
      <c r="F514" s="156">
        <f t="shared" si="75"/>
        <v>-18.68</v>
      </c>
      <c r="G514" s="9"/>
      <c r="H514" s="44">
        <v>23</v>
      </c>
      <c r="I514" s="34" t="s">
        <v>17</v>
      </c>
      <c r="J514" s="35">
        <f>SUMIF($O$47:$O$73,I514,$AC$47:$AC$73)</f>
        <v>6549</v>
      </c>
      <c r="K514" s="38">
        <f>SUMIF($O$47:$O$73,I514,$BT$47:$BT$73)</f>
        <v>10803</v>
      </c>
      <c r="L514" s="156">
        <f t="shared" si="76"/>
        <v>64.95</v>
      </c>
    </row>
    <row r="515" spans="2:12" x14ac:dyDescent="0.2">
      <c r="B515" s="10">
        <v>24</v>
      </c>
      <c r="C515" s="34" t="s">
        <v>33</v>
      </c>
      <c r="D515" s="35">
        <f>SUMIF($O$8:$O$34,C515,$AC$8:$AC$34)</f>
        <v>4931</v>
      </c>
      <c r="E515" s="38">
        <f>SUMIF($O$8:$O$34,C515,$BT$8:$BT$34)</f>
        <v>3887</v>
      </c>
      <c r="F515" s="156">
        <f t="shared" si="75"/>
        <v>-21.17</v>
      </c>
      <c r="G515" s="9"/>
      <c r="H515" s="44">
        <v>24</v>
      </c>
      <c r="I515" s="34" t="s">
        <v>18</v>
      </c>
      <c r="J515" s="35">
        <f>SUMIF($O$47:$O$73,I515,$AC$47:$AC$73)</f>
        <v>4621</v>
      </c>
      <c r="K515" s="38">
        <f>SUMIF($O$47:$O$73,I515,$BT$47:$BT$73)</f>
        <v>5071</v>
      </c>
      <c r="L515" s="156">
        <f t="shared" si="76"/>
        <v>9.73</v>
      </c>
    </row>
    <row r="516" spans="2:12" x14ac:dyDescent="0.2">
      <c r="B516" s="10">
        <v>25</v>
      </c>
      <c r="C516" s="34" t="s">
        <v>25</v>
      </c>
      <c r="D516" s="35">
        <f>SUMIF($O$8:$O$34,C516,$AC$8:$AC$34)</f>
        <v>4222</v>
      </c>
      <c r="E516" s="38">
        <f>SUMIF($O$8:$O$34,C516,$BT$8:$BT$34)</f>
        <v>3548</v>
      </c>
      <c r="F516" s="156">
        <f t="shared" si="75"/>
        <v>-15.96</v>
      </c>
      <c r="G516" s="9"/>
      <c r="H516" s="44">
        <v>25</v>
      </c>
      <c r="I516" s="34" t="s">
        <v>33</v>
      </c>
      <c r="J516" s="35">
        <f>SUMIF($O$47:$O$73,I516,$AC$47:$AC$73)</f>
        <v>2197</v>
      </c>
      <c r="K516" s="38">
        <f>SUMIF($O$47:$O$73,I516,$BT$47:$BT$73)</f>
        <v>2402</v>
      </c>
      <c r="L516" s="156">
        <f t="shared" si="76"/>
        <v>9.33</v>
      </c>
    </row>
    <row r="517" spans="2:12" x14ac:dyDescent="0.2">
      <c r="B517" s="10">
        <v>26</v>
      </c>
      <c r="C517" s="34" t="s">
        <v>20</v>
      </c>
      <c r="D517" s="35">
        <f>SUMIF($O$8:$O$34,C517,$AC$8:$AC$34)</f>
        <v>1650</v>
      </c>
      <c r="E517" s="38">
        <f>SUMIF($O$8:$O$34,C517,$BT$8:$BT$34)</f>
        <v>1517</v>
      </c>
      <c r="F517" s="156">
        <f t="shared" si="75"/>
        <v>-8.06</v>
      </c>
      <c r="G517" s="9"/>
      <c r="H517" s="44">
        <v>26</v>
      </c>
      <c r="I517" s="34" t="s">
        <v>20</v>
      </c>
      <c r="J517" s="35">
        <f>SUMIF($O$47:$O$73,I517,$AC$47:$AC$73)</f>
        <v>1757</v>
      </c>
      <c r="K517" s="38">
        <f>SUMIF($O$47:$O$73,I517,$BT$47:$BT$73)</f>
        <v>1672</v>
      </c>
      <c r="L517" s="156">
        <f t="shared" si="76"/>
        <v>-4.83</v>
      </c>
    </row>
    <row r="518" spans="2:12" x14ac:dyDescent="0.2">
      <c r="B518" s="10">
        <v>27</v>
      </c>
      <c r="C518" s="34" t="s">
        <v>29</v>
      </c>
      <c r="D518" s="35">
        <f>SUMIF($O$8:$O$34,C518,$AC$8:$AC$34)</f>
        <v>0</v>
      </c>
      <c r="E518" s="38">
        <f>SUMIF($O$8:$O$34,C518,$BT$8:$BT$34)</f>
        <v>0</v>
      </c>
      <c r="F518" s="156">
        <f t="shared" si="75"/>
        <v>0</v>
      </c>
      <c r="G518" s="9"/>
      <c r="H518" s="44">
        <v>27</v>
      </c>
      <c r="I518" s="34" t="s">
        <v>29</v>
      </c>
      <c r="J518" s="35">
        <f>SUMIF($O$47:$O$73,I518,$AC$47:$AC$73)</f>
        <v>0</v>
      </c>
      <c r="K518" s="38">
        <f>SUMIF($O$47:$O$73,I518,$BT$47:$BT$73)</f>
        <v>0</v>
      </c>
      <c r="L518" s="156">
        <f t="shared" si="76"/>
        <v>0</v>
      </c>
    </row>
    <row r="519" spans="2:12" x14ac:dyDescent="0.2">
      <c r="B519" s="10"/>
      <c r="C519" s="34" t="s">
        <v>9</v>
      </c>
      <c r="D519" s="39">
        <f>SUM(D492:D518)</f>
        <v>28995194</v>
      </c>
      <c r="E519" s="39">
        <f>SUM(E492:E518)</f>
        <v>24319708</v>
      </c>
      <c r="F519" s="40">
        <f t="shared" ref="F519:F520" si="77">TRUNC(((E519/D519)-1)*100,2)</f>
        <v>-16.12</v>
      </c>
      <c r="G519" s="9"/>
      <c r="H519" s="44"/>
      <c r="I519" s="34" t="s">
        <v>9</v>
      </c>
      <c r="J519" s="39">
        <f>SUM(J492:J518)</f>
        <v>5919404</v>
      </c>
      <c r="K519" s="39">
        <f>SUM(K492:K518)</f>
        <v>5331294</v>
      </c>
      <c r="L519" s="40">
        <f>TRUNC(((K519/J519)-1)*100,2)</f>
        <v>-9.93</v>
      </c>
    </row>
    <row r="520" spans="2:12" x14ac:dyDescent="0.2">
      <c r="B520" s="49"/>
      <c r="C520" s="55" t="s">
        <v>83</v>
      </c>
      <c r="D520" s="52">
        <f>SUM(AC8:AC34)</f>
        <v>28995194</v>
      </c>
      <c r="E520" s="52">
        <f>SUM(BT8:BT34)</f>
        <v>24319708</v>
      </c>
      <c r="F520" s="56">
        <f t="shared" si="77"/>
        <v>-16.12</v>
      </c>
      <c r="G520" s="1"/>
      <c r="H520" s="49"/>
      <c r="I520" s="55" t="s">
        <v>83</v>
      </c>
      <c r="J520" s="52">
        <f>SUM(AC47:AC73)</f>
        <v>5919404</v>
      </c>
      <c r="K520" s="52">
        <f>SUM(BT47:BT73)</f>
        <v>5331294</v>
      </c>
      <c r="L520" s="56">
        <f>TRUNC(((K520/J520)-1)*100,2)</f>
        <v>-9.93</v>
      </c>
    </row>
    <row r="525" spans="2:12" x14ac:dyDescent="0.2">
      <c r="B525" s="6" t="s">
        <v>88</v>
      </c>
      <c r="C525" s="242" t="s">
        <v>41</v>
      </c>
      <c r="D525" s="243"/>
      <c r="E525" s="244"/>
      <c r="F525" s="9"/>
      <c r="G525" s="9"/>
      <c r="H525" s="6" t="s">
        <v>88</v>
      </c>
      <c r="I525" s="239" t="s">
        <v>5</v>
      </c>
      <c r="J525" s="240"/>
      <c r="K525" s="241"/>
      <c r="L525" s="6" t="s">
        <v>89</v>
      </c>
    </row>
    <row r="526" spans="2:12" x14ac:dyDescent="0.2">
      <c r="B526" s="6" t="s">
        <v>4</v>
      </c>
      <c r="C526" s="260" t="s">
        <v>98</v>
      </c>
      <c r="D526" s="261"/>
      <c r="E526" s="262"/>
      <c r="F526" s="9"/>
      <c r="G526" s="9"/>
      <c r="H526" s="6" t="s">
        <v>4</v>
      </c>
      <c r="I526" s="263" t="str">
        <f>C526</f>
        <v>Produto: Milho 2ª safra</v>
      </c>
      <c r="J526" s="264"/>
      <c r="K526" s="265"/>
      <c r="L526" s="6" t="s">
        <v>90</v>
      </c>
    </row>
    <row r="527" spans="2:12" x14ac:dyDescent="0.2">
      <c r="B527" s="128">
        <f>SUMIF(C529:C555,"Goiás",B529:B555)</f>
        <v>4</v>
      </c>
      <c r="C527" s="237" t="s">
        <v>14</v>
      </c>
      <c r="D527" s="237" t="str">
        <f>D490</f>
        <v>Safra 2015 (dezembro)</v>
      </c>
      <c r="E527" s="245" t="str">
        <f>E490</f>
        <v>Safra 2016 (dezembro)</v>
      </c>
      <c r="F527" s="5">
        <f>COUNTIF(E529:E555,"&gt;0")</f>
        <v>22</v>
      </c>
      <c r="G527" s="9"/>
      <c r="H527" s="128">
        <f>SUMIF(I529:I555,"Goiás",H529:H555)</f>
        <v>4</v>
      </c>
      <c r="I527" s="237" t="s">
        <v>14</v>
      </c>
      <c r="J527" s="237" t="str">
        <f>D527</f>
        <v>Safra 2015 (dezembro)</v>
      </c>
      <c r="K527" s="245" t="str">
        <f>E527</f>
        <v>Safra 2016 (dezembro)</v>
      </c>
      <c r="L527" s="129">
        <f>COUNTIF(K529:K555,"&gt;0")</f>
        <v>22</v>
      </c>
    </row>
    <row r="528" spans="2:12" x14ac:dyDescent="0.2">
      <c r="B528" s="6" t="s">
        <v>67</v>
      </c>
      <c r="C528" s="238"/>
      <c r="D528" s="238"/>
      <c r="E528" s="246"/>
      <c r="F528" s="37" t="s">
        <v>66</v>
      </c>
      <c r="G528" s="9"/>
      <c r="H528" s="37" t="s">
        <v>67</v>
      </c>
      <c r="I528" s="238"/>
      <c r="J528" s="238"/>
      <c r="K528" s="246"/>
      <c r="L528" s="37" t="s">
        <v>66</v>
      </c>
    </row>
    <row r="529" spans="2:12" x14ac:dyDescent="0.2">
      <c r="B529" s="10">
        <v>1</v>
      </c>
      <c r="C529" s="34" t="s">
        <v>39</v>
      </c>
      <c r="D529" s="35">
        <f>SUMIF($O$8:$O$34,C529,$AD$8:$AD$34)</f>
        <v>21013205</v>
      </c>
      <c r="E529" s="38">
        <f>SUMIF($O$8:$O$34,C529,$BU$8:$BU$34)</f>
        <v>15080791</v>
      </c>
      <c r="F529" s="156">
        <f t="shared" ref="F529:F544" si="78">IF(E529=0,0,TRUNC(((E529/D529)-1)*100,2))</f>
        <v>-28.23</v>
      </c>
      <c r="G529" s="9"/>
      <c r="H529" s="44">
        <v>1</v>
      </c>
      <c r="I529" s="34" t="s">
        <v>39</v>
      </c>
      <c r="J529" s="35">
        <f>SUMIF($O$47:$O$73,I529,$AD$47:$AD$73)</f>
        <v>3515227</v>
      </c>
      <c r="K529" s="38">
        <f>SUMIF($O$47:$O$73,I529,$BU$47:$BU$73)</f>
        <v>3855191</v>
      </c>
      <c r="L529" s="156">
        <f t="shared" ref="L529:L544" si="79">IF(K529=0,0,TRUNC(((K529/J529)-1)*100,2))</f>
        <v>9.67</v>
      </c>
    </row>
    <row r="530" spans="2:12" x14ac:dyDescent="0.2">
      <c r="B530" s="10">
        <v>2</v>
      </c>
      <c r="C530" s="34" t="s">
        <v>35</v>
      </c>
      <c r="D530" s="35">
        <f>SUMIF($O$8:$O$34,C530,$AD$8:$AD$34)</f>
        <v>11175884</v>
      </c>
      <c r="E530" s="38">
        <f>SUMIF($O$8:$O$34,C530,$BU$8:$BU$34)</f>
        <v>10420666</v>
      </c>
      <c r="F530" s="156">
        <f t="shared" si="78"/>
        <v>-6.75</v>
      </c>
      <c r="G530" s="9"/>
      <c r="H530" s="44">
        <v>2</v>
      </c>
      <c r="I530" s="34" t="s">
        <v>35</v>
      </c>
      <c r="J530" s="35">
        <f>SUMIF($O$47:$O$73,I530,$AD$47:$AD$73)</f>
        <v>1891303</v>
      </c>
      <c r="K530" s="38">
        <f>SUMIF($O$47:$O$73,I530,$BU$47:$BU$73)</f>
        <v>2197893</v>
      </c>
      <c r="L530" s="156">
        <f t="shared" si="79"/>
        <v>16.21</v>
      </c>
    </row>
    <row r="531" spans="2:12" x14ac:dyDescent="0.2">
      <c r="B531" s="10">
        <v>3</v>
      </c>
      <c r="C531" s="34" t="s">
        <v>38</v>
      </c>
      <c r="D531" s="35">
        <f>SUMIF($O$8:$O$34,C531,$AD$8:$AD$34)</f>
        <v>9552500</v>
      </c>
      <c r="E531" s="38">
        <f>SUMIF($O$8:$O$34,C531,$BU$8:$BU$34)</f>
        <v>5911613</v>
      </c>
      <c r="F531" s="156">
        <f t="shared" si="78"/>
        <v>-38.11</v>
      </c>
      <c r="G531" s="9"/>
      <c r="H531" s="44">
        <v>3</v>
      </c>
      <c r="I531" s="34" t="s">
        <v>38</v>
      </c>
      <c r="J531" s="35">
        <f>SUMIF($O$47:$O$73,I531,$AD$47:$AD$73)</f>
        <v>1660186</v>
      </c>
      <c r="K531" s="38">
        <f>SUMIF($O$47:$O$73,I531,$BU$47:$BU$73)</f>
        <v>1673690</v>
      </c>
      <c r="L531" s="156">
        <f t="shared" si="79"/>
        <v>0.81</v>
      </c>
    </row>
    <row r="532" spans="2:12" x14ac:dyDescent="0.2">
      <c r="B532" s="10">
        <v>4</v>
      </c>
      <c r="C532" s="34" t="s">
        <v>4</v>
      </c>
      <c r="D532" s="35">
        <f>SUMIF($O$8:$O$34,C532,$AD$8:$AD$34)</f>
        <v>7777163</v>
      </c>
      <c r="E532" s="38">
        <f>SUMIF($O$8:$O$34,C532,$BU$8:$BU$34)</f>
        <v>3875505</v>
      </c>
      <c r="F532" s="156">
        <f t="shared" si="78"/>
        <v>-50.16</v>
      </c>
      <c r="G532" s="9"/>
      <c r="H532" s="44">
        <v>4</v>
      </c>
      <c r="I532" s="34" t="s">
        <v>4</v>
      </c>
      <c r="J532" s="35">
        <f>SUMIF($O$47:$O$73,I532,$AD$47:$AD$73)</f>
        <v>1148945</v>
      </c>
      <c r="K532" s="38">
        <f>SUMIF($O$47:$O$73,I532,$BU$47:$BU$73)</f>
        <v>1333473</v>
      </c>
      <c r="L532" s="156">
        <f t="shared" si="79"/>
        <v>16.059999999999999</v>
      </c>
    </row>
    <row r="533" spans="2:12" x14ac:dyDescent="0.2">
      <c r="B533" s="10">
        <v>5</v>
      </c>
      <c r="C533" s="34" t="s">
        <v>34</v>
      </c>
      <c r="D533" s="35">
        <f>SUMIF($O$8:$O$34,C533,$AD$8:$AD$34)</f>
        <v>2035456</v>
      </c>
      <c r="E533" s="38">
        <f>SUMIF($O$8:$O$34,C533,$BU$8:$BU$34)</f>
        <v>1461600</v>
      </c>
      <c r="F533" s="156">
        <f t="shared" si="78"/>
        <v>-28.19</v>
      </c>
      <c r="G533" s="9"/>
      <c r="H533" s="44">
        <v>5</v>
      </c>
      <c r="I533" s="34" t="s">
        <v>34</v>
      </c>
      <c r="J533" s="35">
        <f>SUMIF($O$47:$O$73,I533,$AD$47:$AD$73)</f>
        <v>370420</v>
      </c>
      <c r="K533" s="38">
        <f>SUMIF($O$47:$O$73,I533,$BU$47:$BU$73)</f>
        <v>443300</v>
      </c>
      <c r="L533" s="156">
        <f t="shared" si="79"/>
        <v>19.670000000000002</v>
      </c>
    </row>
    <row r="534" spans="2:12" x14ac:dyDescent="0.2">
      <c r="B534" s="10">
        <v>6</v>
      </c>
      <c r="C534" s="34" t="s">
        <v>31</v>
      </c>
      <c r="D534" s="35">
        <f>SUMIF($O$8:$O$34,C534,$AD$8:$AD$34)</f>
        <v>1408386</v>
      </c>
      <c r="E534" s="38">
        <f>SUMIF($O$8:$O$34,C534,$BU$8:$BU$34)</f>
        <v>797421</v>
      </c>
      <c r="F534" s="156">
        <f t="shared" si="78"/>
        <v>-43.38</v>
      </c>
      <c r="G534" s="9"/>
      <c r="H534" s="44">
        <v>6</v>
      </c>
      <c r="I534" s="34" t="s">
        <v>31</v>
      </c>
      <c r="J534" s="35">
        <f>SUMIF($O$47:$O$73,I534,$AD$47:$AD$73)</f>
        <v>256492</v>
      </c>
      <c r="K534" s="38">
        <f>SUMIF($O$47:$O$73,I534,$BU$47:$BU$73)</f>
        <v>370994</v>
      </c>
      <c r="L534" s="156">
        <f t="shared" si="79"/>
        <v>44.64</v>
      </c>
    </row>
    <row r="535" spans="2:12" x14ac:dyDescent="0.2">
      <c r="B535" s="10">
        <v>7</v>
      </c>
      <c r="C535" s="34" t="s">
        <v>15</v>
      </c>
      <c r="D535" s="35">
        <f>SUMIF($O$8:$O$34,C535,$AD$8:$AD$34)</f>
        <v>695397</v>
      </c>
      <c r="E535" s="38">
        <f>SUMIF($O$8:$O$34,C535,$BU$8:$BU$34)</f>
        <v>503451</v>
      </c>
      <c r="F535" s="156">
        <f t="shared" si="78"/>
        <v>-27.6</v>
      </c>
      <c r="G535" s="9"/>
      <c r="H535" s="44">
        <v>7</v>
      </c>
      <c r="I535" s="34" t="s">
        <v>30</v>
      </c>
      <c r="J535" s="35">
        <f>SUMIF($O$47:$O$73,I535,$AD$47:$AD$73)</f>
        <v>311185</v>
      </c>
      <c r="K535" s="38">
        <f>SUMIF($O$47:$O$73,I535,$BU$47:$BU$73)</f>
        <v>250000</v>
      </c>
      <c r="L535" s="156">
        <f t="shared" si="79"/>
        <v>-19.66</v>
      </c>
    </row>
    <row r="536" spans="2:12" x14ac:dyDescent="0.2">
      <c r="B536" s="10">
        <v>8</v>
      </c>
      <c r="C536" s="34" t="s">
        <v>30</v>
      </c>
      <c r="D536" s="35">
        <f>SUMIF($O$8:$O$34,C536,$AD$8:$AD$34)</f>
        <v>655082</v>
      </c>
      <c r="E536" s="38">
        <f>SUMIF($O$8:$O$34,C536,$BU$8:$BU$34)</f>
        <v>272000</v>
      </c>
      <c r="F536" s="156">
        <f t="shared" si="78"/>
        <v>-58.47</v>
      </c>
      <c r="G536" s="9"/>
      <c r="H536" s="44">
        <v>8</v>
      </c>
      <c r="I536" s="34" t="s">
        <v>29</v>
      </c>
      <c r="J536" s="35">
        <f>SUMIF($O$47:$O$73,I536,$AD$47:$AD$73)</f>
        <v>175135</v>
      </c>
      <c r="K536" s="38">
        <f>SUMIF($O$47:$O$73,I536,$BU$47:$BU$73)</f>
        <v>172145</v>
      </c>
      <c r="L536" s="156">
        <f t="shared" si="79"/>
        <v>-1.7</v>
      </c>
    </row>
    <row r="537" spans="2:12" x14ac:dyDescent="0.2">
      <c r="B537" s="10">
        <v>9</v>
      </c>
      <c r="C537" s="34" t="s">
        <v>21</v>
      </c>
      <c r="D537" s="35">
        <f>SUMIF($O$8:$O$34,C537,$AD$8:$AD$34)</f>
        <v>473262</v>
      </c>
      <c r="E537" s="38">
        <f>SUMIF($O$8:$O$34,C537,$BU$8:$BU$34)</f>
        <v>210386</v>
      </c>
      <c r="F537" s="156">
        <f t="shared" si="78"/>
        <v>-55.54</v>
      </c>
      <c r="G537" s="9"/>
      <c r="H537" s="44">
        <v>9</v>
      </c>
      <c r="I537" s="34" t="s">
        <v>15</v>
      </c>
      <c r="J537" s="35">
        <f>SUMIF($O$47:$O$73,I537,$AD$47:$AD$73)</f>
        <v>134586</v>
      </c>
      <c r="K537" s="38">
        <f>SUMIF($O$47:$O$73,I537,$BU$47:$BU$73)</f>
        <v>126812</v>
      </c>
      <c r="L537" s="156">
        <f t="shared" si="79"/>
        <v>-5.77</v>
      </c>
    </row>
    <row r="538" spans="2:12" x14ac:dyDescent="0.2">
      <c r="B538" s="10">
        <v>10</v>
      </c>
      <c r="C538" s="34" t="s">
        <v>29</v>
      </c>
      <c r="D538" s="35">
        <f>SUMIF($O$8:$O$34,C538,$AD$8:$AD$34)</f>
        <v>495729</v>
      </c>
      <c r="E538" s="38">
        <f>SUMIF($O$8:$O$34,C538,$BU$8:$BU$34)</f>
        <v>139933</v>
      </c>
      <c r="F538" s="156">
        <f t="shared" si="78"/>
        <v>-71.77</v>
      </c>
      <c r="G538" s="9"/>
      <c r="H538" s="44">
        <v>10</v>
      </c>
      <c r="I538" s="34" t="s">
        <v>27</v>
      </c>
      <c r="J538" s="35">
        <f>SUMIF($O$47:$O$73,I538,$AD$47:$AD$73)</f>
        <v>137560</v>
      </c>
      <c r="K538" s="38">
        <f>SUMIF($O$47:$O$73,I538,$BU$47:$BU$73)</f>
        <v>110020</v>
      </c>
      <c r="L538" s="156">
        <f t="shared" si="79"/>
        <v>-20.02</v>
      </c>
    </row>
    <row r="539" spans="2:12" x14ac:dyDescent="0.2">
      <c r="B539" s="10">
        <v>11</v>
      </c>
      <c r="C539" s="34" t="s">
        <v>22</v>
      </c>
      <c r="D539" s="35">
        <f>SUMIF($O$8:$O$34,C539,$AD$8:$AD$34)</f>
        <v>519738</v>
      </c>
      <c r="E539" s="38">
        <f>SUMIF($O$8:$O$34,C539,$BU$8:$BU$34)</f>
        <v>115943</v>
      </c>
      <c r="F539" s="156">
        <f t="shared" si="78"/>
        <v>-77.69</v>
      </c>
      <c r="G539" s="51"/>
      <c r="H539" s="44">
        <v>11</v>
      </c>
      <c r="I539" s="34" t="s">
        <v>22</v>
      </c>
      <c r="J539" s="35">
        <f>SUMIF($O$47:$O$73,I539,$AD$47:$AD$73)</f>
        <v>134420</v>
      </c>
      <c r="K539" s="38">
        <f>SUMIF($O$47:$O$73,I539,$BU$47:$BU$73)</f>
        <v>75676</v>
      </c>
      <c r="L539" s="156">
        <f t="shared" si="79"/>
        <v>-43.7</v>
      </c>
    </row>
    <row r="540" spans="2:12" x14ac:dyDescent="0.2">
      <c r="B540" s="10">
        <v>12</v>
      </c>
      <c r="C540" s="34" t="s">
        <v>40</v>
      </c>
      <c r="D540" s="35">
        <f>SUMIF($O$8:$O$34,C540,$AD$8:$AD$34)</f>
        <v>331851</v>
      </c>
      <c r="E540" s="38">
        <f>SUMIF($O$8:$O$34,C540,$BU$8:$BU$34)</f>
        <v>99697</v>
      </c>
      <c r="F540" s="156">
        <f t="shared" si="78"/>
        <v>-69.95</v>
      </c>
      <c r="G540" s="9"/>
      <c r="H540" s="44">
        <v>12</v>
      </c>
      <c r="I540" s="34" t="s">
        <v>21</v>
      </c>
      <c r="J540" s="35">
        <f>SUMIF($O$47:$O$73,I540,$AD$47:$AD$73)</f>
        <v>112940</v>
      </c>
      <c r="K540" s="38">
        <f>SUMIF($O$47:$O$73,I540,$BU$47:$BU$73)</f>
        <v>69978</v>
      </c>
      <c r="L540" s="156">
        <f t="shared" si="79"/>
        <v>-38.03</v>
      </c>
    </row>
    <row r="541" spans="2:12" x14ac:dyDescent="0.2">
      <c r="B541" s="10">
        <v>13</v>
      </c>
      <c r="C541" s="34" t="s">
        <v>19</v>
      </c>
      <c r="D541" s="35">
        <f>SUMIF($O$8:$O$34,C541,$AD$8:$AD$34)</f>
        <v>123367</v>
      </c>
      <c r="E541" s="38">
        <f>SUMIF($O$8:$O$34,C541,$BU$8:$BU$34)</f>
        <v>84327</v>
      </c>
      <c r="F541" s="156">
        <f t="shared" si="78"/>
        <v>-31.64</v>
      </c>
      <c r="G541" s="9"/>
      <c r="H541" s="44">
        <v>13</v>
      </c>
      <c r="I541" s="34" t="s">
        <v>40</v>
      </c>
      <c r="J541" s="35">
        <f>SUMIF($O$47:$O$73,I541,$AD$47:$AD$73)</f>
        <v>38422</v>
      </c>
      <c r="K541" s="38">
        <f>SUMIF($O$47:$O$73,I541,$BU$47:$BU$73)</f>
        <v>41563</v>
      </c>
      <c r="L541" s="156">
        <f t="shared" si="79"/>
        <v>8.17</v>
      </c>
    </row>
    <row r="542" spans="2:12" x14ac:dyDescent="0.2">
      <c r="B542" s="10">
        <v>14</v>
      </c>
      <c r="C542" s="34" t="s">
        <v>23</v>
      </c>
      <c r="D542" s="35">
        <f>SUMIF($O$8:$O$34,C542,$AD$8:$AD$34)</f>
        <v>2104</v>
      </c>
      <c r="E542" s="38">
        <f>SUMIF($O$8:$O$34,C542,$BU$8:$BU$34)</f>
        <v>41188</v>
      </c>
      <c r="F542" s="156">
        <f t="shared" si="78"/>
        <v>1857.6</v>
      </c>
      <c r="G542" s="9"/>
      <c r="H542" s="44">
        <v>14</v>
      </c>
      <c r="I542" s="34" t="s">
        <v>19</v>
      </c>
      <c r="J542" s="35">
        <f>SUMIF($O$47:$O$73,I542,$AD$47:$AD$73)</f>
        <v>36688</v>
      </c>
      <c r="K542" s="38">
        <f>SUMIF($O$47:$O$73,I542,$BU$47:$BU$73)</f>
        <v>27445</v>
      </c>
      <c r="L542" s="156">
        <f t="shared" si="79"/>
        <v>-25.19</v>
      </c>
    </row>
    <row r="543" spans="2:12" x14ac:dyDescent="0.2">
      <c r="B543" s="10">
        <v>15</v>
      </c>
      <c r="C543" s="34" t="s">
        <v>27</v>
      </c>
      <c r="D543" s="35">
        <f>SUMIF($O$8:$O$34,C543,$AD$8:$AD$34)</f>
        <v>17572</v>
      </c>
      <c r="E543" s="38">
        <f>SUMIF($O$8:$O$34,C543,$BU$8:$BU$34)</f>
        <v>4319</v>
      </c>
      <c r="F543" s="156">
        <f t="shared" si="78"/>
        <v>-75.42</v>
      </c>
      <c r="G543" s="9"/>
      <c r="H543" s="44">
        <v>15</v>
      </c>
      <c r="I543" s="34" t="s">
        <v>23</v>
      </c>
      <c r="J543" s="35">
        <f>SUMIF($O$47:$O$73,I543,$AD$47:$AD$73)</f>
        <v>526</v>
      </c>
      <c r="K543" s="38">
        <f>SUMIF($O$47:$O$73,I543,$BU$47:$BU$73)</f>
        <v>22379</v>
      </c>
      <c r="L543" s="156">
        <f t="shared" si="79"/>
        <v>4154.5600000000004</v>
      </c>
    </row>
    <row r="544" spans="2:12" x14ac:dyDescent="0.2">
      <c r="B544" s="10">
        <v>16</v>
      </c>
      <c r="C544" s="34" t="s">
        <v>28</v>
      </c>
      <c r="D544" s="35">
        <f>SUMIF($O$8:$O$34,C544,$AD$8:$AD$34)</f>
        <v>17</v>
      </c>
      <c r="E544" s="38">
        <f>SUMIF($O$8:$O$34,C544,$BU$8:$BU$34)</f>
        <v>3949</v>
      </c>
      <c r="F544" s="156">
        <f t="shared" si="78"/>
        <v>23129.41</v>
      </c>
      <c r="G544" s="9"/>
      <c r="H544" s="44">
        <v>16</v>
      </c>
      <c r="I544" s="34" t="s">
        <v>28</v>
      </c>
      <c r="J544" s="35">
        <f>SUMIF($O$47:$O$73,I544,$AD$47:$AD$73)</f>
        <v>4</v>
      </c>
      <c r="K544" s="38">
        <f>SUMIF($O$47:$O$73,I544,$BU$47:$BU$73)</f>
        <v>1448</v>
      </c>
      <c r="L544" s="156">
        <f t="shared" si="79"/>
        <v>36100</v>
      </c>
    </row>
    <row r="545" spans="2:12" x14ac:dyDescent="0.2">
      <c r="B545" s="10">
        <v>17</v>
      </c>
      <c r="C545" s="34" t="s">
        <v>32</v>
      </c>
      <c r="D545" s="35">
        <f>SUMIF($O$8:$O$34,C545,$AD$8:$AD$34)</f>
        <v>7349</v>
      </c>
      <c r="E545" s="38">
        <f>SUMIF($O$8:$O$34,C545,$BU$8:$BU$34)</f>
        <v>2675</v>
      </c>
      <c r="F545" s="156">
        <f>IF(E545=0,0,TRUNC(((E545/D545)-1)*100,2))</f>
        <v>-63.6</v>
      </c>
      <c r="G545" s="9"/>
      <c r="H545" s="44">
        <v>17</v>
      </c>
      <c r="I545" s="34" t="s">
        <v>16</v>
      </c>
      <c r="J545" s="35">
        <f>SUMIF($O$47:$O$73,I545,$AD$47:$AD$73)</f>
        <v>699</v>
      </c>
      <c r="K545" s="38">
        <f>SUMIF($O$47:$O$73,I545,$BU$47:$BU$73)</f>
        <v>1373</v>
      </c>
      <c r="L545" s="156">
        <f>IF(K545=0,0,TRUNC(((K545/J545)-1)*100,2))</f>
        <v>96.42</v>
      </c>
    </row>
    <row r="546" spans="2:12" x14ac:dyDescent="0.2">
      <c r="B546" s="10">
        <v>18</v>
      </c>
      <c r="C546" s="34" t="s">
        <v>33</v>
      </c>
      <c r="D546" s="35">
        <f>SUMIF($O$8:$O$34,C546,$AD$8:$AD$34)</f>
        <v>1303</v>
      </c>
      <c r="E546" s="38">
        <f>SUMIF($O$8:$O$34,C546,$BU$8:$BU$34)</f>
        <v>2193</v>
      </c>
      <c r="F546" s="156">
        <f t="shared" ref="F546:F555" si="80">IF(E546=0,0,TRUNC(((E546/D546)-1)*100,2))</f>
        <v>68.3</v>
      </c>
      <c r="G546" s="9"/>
      <c r="H546" s="44">
        <v>18</v>
      </c>
      <c r="I546" s="34" t="s">
        <v>32</v>
      </c>
      <c r="J546" s="35">
        <f>SUMIF($O$47:$O$73,I546,$AD$47:$AD$73)</f>
        <v>1285</v>
      </c>
      <c r="K546" s="38">
        <f>SUMIF($O$47:$O$73,I546,$BU$47:$BU$73)</f>
        <v>697</v>
      </c>
      <c r="L546" s="156">
        <f t="shared" ref="L546:L555" si="81">IF(K546=0,0,TRUNC(((K546/J546)-1)*100,2))</f>
        <v>-45.75</v>
      </c>
    </row>
    <row r="547" spans="2:12" x14ac:dyDescent="0.2">
      <c r="B547" s="10">
        <v>19</v>
      </c>
      <c r="C547" s="34" t="s">
        <v>18</v>
      </c>
      <c r="D547" s="35">
        <f>SUMIF($O$8:$O$34,C547,$AD$8:$AD$34)</f>
        <v>1500</v>
      </c>
      <c r="E547" s="38">
        <f>SUMIF($O$8:$O$34,C547,$BU$8:$BU$34)</f>
        <v>1500</v>
      </c>
      <c r="F547" s="156">
        <f t="shared" si="80"/>
        <v>0</v>
      </c>
      <c r="G547" s="9"/>
      <c r="H547" s="44">
        <v>19</v>
      </c>
      <c r="I547" s="34" t="s">
        <v>18</v>
      </c>
      <c r="J547" s="35">
        <f>SUMIF($O$47:$O$73,I547,$AD$47:$AD$73)</f>
        <v>600</v>
      </c>
      <c r="K547" s="38">
        <f>SUMIF($O$47:$O$73,I547,$BU$47:$BU$73)</f>
        <v>600</v>
      </c>
      <c r="L547" s="156">
        <f t="shared" si="81"/>
        <v>0</v>
      </c>
    </row>
    <row r="548" spans="2:12" x14ac:dyDescent="0.2">
      <c r="B548" s="10">
        <v>20</v>
      </c>
      <c r="C548" s="34" t="s">
        <v>16</v>
      </c>
      <c r="D548" s="35">
        <f>SUMIF($O$8:$O$34,C548,$AD$8:$AD$34)</f>
        <v>1094</v>
      </c>
      <c r="E548" s="38">
        <f>SUMIF($O$8:$O$34,C548,$BU$8:$BU$34)</f>
        <v>1142</v>
      </c>
      <c r="F548" s="156">
        <f t="shared" si="80"/>
        <v>4.38</v>
      </c>
      <c r="G548" s="9"/>
      <c r="H548" s="44">
        <v>20</v>
      </c>
      <c r="I548" s="34" t="s">
        <v>33</v>
      </c>
      <c r="J548" s="35">
        <f>SUMIF($O$47:$O$73,I548,$AD$47:$AD$73)</f>
        <v>243</v>
      </c>
      <c r="K548" s="38">
        <f>SUMIF($O$47:$O$73,I548,$BU$47:$BU$73)</f>
        <v>437</v>
      </c>
      <c r="L548" s="156">
        <f t="shared" si="81"/>
        <v>79.83</v>
      </c>
    </row>
    <row r="549" spans="2:12" x14ac:dyDescent="0.2">
      <c r="B549" s="10">
        <v>21</v>
      </c>
      <c r="C549" s="34" t="s">
        <v>24</v>
      </c>
      <c r="D549" s="35">
        <f>SUMIF($O$8:$O$34,C549,$AD$8:$AD$34)</f>
        <v>1264</v>
      </c>
      <c r="E549" s="38">
        <f>SUMIF($O$8:$O$34,C549,$BU$8:$BU$34)</f>
        <v>241</v>
      </c>
      <c r="F549" s="156">
        <f t="shared" si="80"/>
        <v>-80.930000000000007</v>
      </c>
      <c r="G549" s="9"/>
      <c r="H549" s="44">
        <v>21</v>
      </c>
      <c r="I549" s="34" t="s">
        <v>24</v>
      </c>
      <c r="J549" s="35">
        <f>SUMIF($O$47:$O$73,I549,$AD$47:$AD$73)</f>
        <v>192</v>
      </c>
      <c r="K549" s="38">
        <f>SUMIF($O$47:$O$73,I549,$BU$47:$BU$73)</f>
        <v>68</v>
      </c>
      <c r="L549" s="156">
        <f t="shared" si="81"/>
        <v>-64.58</v>
      </c>
    </row>
    <row r="550" spans="2:12" x14ac:dyDescent="0.2">
      <c r="B550" s="10">
        <v>22</v>
      </c>
      <c r="C550" s="34" t="s">
        <v>17</v>
      </c>
      <c r="D550" s="35">
        <f>SUMIF($O$8:$O$34,C550,$AD$8:$AD$34)</f>
        <v>239</v>
      </c>
      <c r="E550" s="38">
        <f>SUMIF($O$8:$O$34,C550,$BU$8:$BU$34)</f>
        <v>239</v>
      </c>
      <c r="F550" s="156">
        <f t="shared" si="80"/>
        <v>0</v>
      </c>
      <c r="G550" s="9"/>
      <c r="H550" s="44">
        <v>22</v>
      </c>
      <c r="I550" s="34" t="s">
        <v>17</v>
      </c>
      <c r="J550" s="35">
        <f>SUMIF($O$47:$O$73,I550,$AD$47:$AD$73)</f>
        <v>55</v>
      </c>
      <c r="K550" s="38">
        <f>SUMIF($O$47:$O$73,I550,$BU$47:$BU$73)</f>
        <v>55</v>
      </c>
      <c r="L550" s="156">
        <f t="shared" si="81"/>
        <v>0</v>
      </c>
    </row>
    <row r="551" spans="2:12" x14ac:dyDescent="0.2">
      <c r="B551" s="10">
        <v>23</v>
      </c>
      <c r="C551" s="34" t="s">
        <v>37</v>
      </c>
      <c r="D551" s="35">
        <f>SUMIF($O$8:$O$34,C551,$AD$8:$AD$34)</f>
        <v>0</v>
      </c>
      <c r="E551" s="38">
        <f>SUMIF($O$8:$O$34,C551,$BU$8:$BU$34)</f>
        <v>0</v>
      </c>
      <c r="F551" s="156">
        <f t="shared" si="80"/>
        <v>0</v>
      </c>
      <c r="G551" s="9"/>
      <c r="H551" s="44">
        <v>23</v>
      </c>
      <c r="I551" s="34" t="s">
        <v>37</v>
      </c>
      <c r="J551" s="35">
        <f>SUMIF($O$47:$O$73,I551,$AD$47:$AD$73)</f>
        <v>0</v>
      </c>
      <c r="K551" s="38">
        <f>SUMIF($O$47:$O$73,I551,$BU$47:$BU$73)</f>
        <v>0</v>
      </c>
      <c r="L551" s="156">
        <f t="shared" si="81"/>
        <v>0</v>
      </c>
    </row>
    <row r="552" spans="2:12" x14ac:dyDescent="0.2">
      <c r="B552" s="10">
        <v>24</v>
      </c>
      <c r="C552" s="34" t="s">
        <v>25</v>
      </c>
      <c r="D552" s="35">
        <f>SUMIF($O$8:$O$34,C552,$AD$8:$AD$34)</f>
        <v>0</v>
      </c>
      <c r="E552" s="38">
        <f>SUMIF($O$8:$O$34,C552,$BU$8:$BU$34)</f>
        <v>0</v>
      </c>
      <c r="F552" s="156">
        <f t="shared" si="80"/>
        <v>0</v>
      </c>
      <c r="G552" s="9"/>
      <c r="H552" s="44">
        <v>24</v>
      </c>
      <c r="I552" s="34" t="s">
        <v>25</v>
      </c>
      <c r="J552" s="35">
        <f>SUMIF($O$47:$O$73,I552,$AD$47:$AD$73)</f>
        <v>0</v>
      </c>
      <c r="K552" s="38">
        <f>SUMIF($O$47:$O$73,I552,$BU$47:$BU$73)</f>
        <v>0</v>
      </c>
      <c r="L552" s="156">
        <f t="shared" si="81"/>
        <v>0</v>
      </c>
    </row>
    <row r="553" spans="2:12" x14ac:dyDescent="0.2">
      <c r="B553" s="10">
        <v>25</v>
      </c>
      <c r="C553" s="34" t="s">
        <v>36</v>
      </c>
      <c r="D553" s="35">
        <f>SUMIF($O$8:$O$34,C553,$AD$8:$AD$34)</f>
        <v>0</v>
      </c>
      <c r="E553" s="38">
        <f>SUMIF($O$8:$O$34,C553,$BU$8:$BU$34)</f>
        <v>0</v>
      </c>
      <c r="F553" s="156">
        <f t="shared" si="80"/>
        <v>0</v>
      </c>
      <c r="G553" s="9"/>
      <c r="H553" s="44">
        <v>25</v>
      </c>
      <c r="I553" s="34" t="s">
        <v>36</v>
      </c>
      <c r="J553" s="35">
        <f>SUMIF($O$47:$O$73,I553,$AD$47:$AD$73)</f>
        <v>0</v>
      </c>
      <c r="K553" s="38">
        <f>SUMIF($O$47:$O$73,I553,$BU$47:$BU$73)</f>
        <v>0</v>
      </c>
      <c r="L553" s="156">
        <f t="shared" si="81"/>
        <v>0</v>
      </c>
    </row>
    <row r="554" spans="2:12" x14ac:dyDescent="0.2">
      <c r="B554" s="10">
        <v>26</v>
      </c>
      <c r="C554" s="34" t="s">
        <v>26</v>
      </c>
      <c r="D554" s="35">
        <f>SUMIF($O$8:$O$34,C554,$AD$8:$AD$34)</f>
        <v>0</v>
      </c>
      <c r="E554" s="38">
        <f>SUMIF($O$8:$O$34,C554,$BU$8:$BU$34)</f>
        <v>0</v>
      </c>
      <c r="F554" s="156">
        <f t="shared" si="80"/>
        <v>0</v>
      </c>
      <c r="G554" s="9"/>
      <c r="H554" s="44">
        <v>26</v>
      </c>
      <c r="I554" s="34" t="s">
        <v>26</v>
      </c>
      <c r="J554" s="35">
        <f>SUMIF($O$47:$O$73,I554,$AD$47:$AD$73)</f>
        <v>0</v>
      </c>
      <c r="K554" s="38">
        <f>SUMIF($O$47:$O$73,I554,$BU$47:$BU$73)</f>
        <v>0</v>
      </c>
      <c r="L554" s="156">
        <f t="shared" si="81"/>
        <v>0</v>
      </c>
    </row>
    <row r="555" spans="2:12" x14ac:dyDescent="0.2">
      <c r="B555" s="10">
        <v>27</v>
      </c>
      <c r="C555" s="34" t="s">
        <v>20</v>
      </c>
      <c r="D555" s="35">
        <f>SUMIF($O$8:$O$34,C555,$AD$8:$AD$34)</f>
        <v>0</v>
      </c>
      <c r="E555" s="38">
        <f>SUMIF($O$8:$O$34,C555,$BU$8:$BU$34)</f>
        <v>0</v>
      </c>
      <c r="F555" s="156">
        <f t="shared" si="80"/>
        <v>0</v>
      </c>
      <c r="G555" s="9"/>
      <c r="H555" s="44">
        <v>27</v>
      </c>
      <c r="I555" s="34" t="s">
        <v>20</v>
      </c>
      <c r="J555" s="35">
        <f>SUMIF($O$47:$O$73,I555,$AD$47:$AD$73)</f>
        <v>0</v>
      </c>
      <c r="K555" s="38">
        <f>SUMIF($O$47:$O$73,I555,$BU$47:$BU$73)</f>
        <v>0</v>
      </c>
      <c r="L555" s="156">
        <f t="shared" si="81"/>
        <v>0</v>
      </c>
    </row>
    <row r="556" spans="2:12" x14ac:dyDescent="0.2">
      <c r="B556" s="10"/>
      <c r="C556" s="34" t="s">
        <v>9</v>
      </c>
      <c r="D556" s="39">
        <f>SUM(D529:D555)</f>
        <v>56289462</v>
      </c>
      <c r="E556" s="39">
        <f>SUM(E529:E555)</f>
        <v>39030779</v>
      </c>
      <c r="F556" s="40">
        <f t="shared" ref="F556:F557" si="82">TRUNC(((E556/D556)-1)*100,2)</f>
        <v>-30.66</v>
      </c>
      <c r="G556" s="9"/>
      <c r="H556" s="44"/>
      <c r="I556" s="34" t="s">
        <v>9</v>
      </c>
      <c r="J556" s="39">
        <f>SUM(J529:J555)</f>
        <v>9927113</v>
      </c>
      <c r="K556" s="39">
        <f>SUM(K529:K555)</f>
        <v>10775237</v>
      </c>
      <c r="L556" s="40">
        <f>TRUNC(((K556/J556)-1)*100,2)</f>
        <v>8.5399999999999991</v>
      </c>
    </row>
    <row r="557" spans="2:12" x14ac:dyDescent="0.2">
      <c r="B557" s="49"/>
      <c r="C557" s="55" t="s">
        <v>83</v>
      </c>
      <c r="D557" s="52">
        <f>SUM(AD8:AD34)</f>
        <v>56289462</v>
      </c>
      <c r="E557" s="52">
        <f>SUM(BU8:BU34)</f>
        <v>39030779</v>
      </c>
      <c r="F557" s="56">
        <f t="shared" si="82"/>
        <v>-30.66</v>
      </c>
      <c r="G557" s="1"/>
      <c r="H557" s="49"/>
      <c r="I557" s="55" t="s">
        <v>83</v>
      </c>
      <c r="J557" s="52">
        <f>SUM(AD47:AD73)</f>
        <v>9927113</v>
      </c>
      <c r="K557" s="52">
        <f>SUM(BU47:BU73)</f>
        <v>10775237</v>
      </c>
      <c r="L557" s="56">
        <f>TRUNC(((K557/J557)-1)*100,2)</f>
        <v>8.5399999999999991</v>
      </c>
    </row>
    <row r="562" spans="2:12" ht="12.75" customHeight="1" x14ac:dyDescent="0.2">
      <c r="B562" s="6" t="s">
        <v>88</v>
      </c>
      <c r="C562" s="242" t="s">
        <v>41</v>
      </c>
      <c r="D562" s="243"/>
      <c r="E562" s="244"/>
      <c r="F562" s="9"/>
      <c r="G562" s="9"/>
      <c r="H562" s="6" t="s">
        <v>88</v>
      </c>
      <c r="I562" s="239" t="s">
        <v>5</v>
      </c>
      <c r="J562" s="240"/>
      <c r="K562" s="241"/>
      <c r="L562" s="6" t="s">
        <v>89</v>
      </c>
    </row>
    <row r="563" spans="2:12" x14ac:dyDescent="0.2">
      <c r="B563" s="6" t="s">
        <v>4</v>
      </c>
      <c r="C563" s="260" t="s">
        <v>78</v>
      </c>
      <c r="D563" s="261"/>
      <c r="E563" s="262"/>
      <c r="F563" s="9"/>
      <c r="G563" s="9"/>
      <c r="H563" s="6" t="s">
        <v>4</v>
      </c>
      <c r="I563" s="263" t="str">
        <f>C563</f>
        <v>Produto: Sorgo</v>
      </c>
      <c r="J563" s="264"/>
      <c r="K563" s="265"/>
      <c r="L563" s="6" t="s">
        <v>90</v>
      </c>
    </row>
    <row r="564" spans="2:12" ht="12.75" customHeight="1" x14ac:dyDescent="0.2">
      <c r="B564" s="128">
        <f>SUMIF(C566:C592,"Goiás",B566:B592)</f>
        <v>1</v>
      </c>
      <c r="C564" s="237" t="s">
        <v>14</v>
      </c>
      <c r="D564" s="237" t="str">
        <f>D194</f>
        <v>Safra 2015 (dezembro)</v>
      </c>
      <c r="E564" s="245" t="str">
        <f>E194</f>
        <v>Safra 2016 (dezembro)</v>
      </c>
      <c r="F564" s="5">
        <f>COUNTIF(E566:E592,"&gt;0")</f>
        <v>16</v>
      </c>
      <c r="G564" s="9"/>
      <c r="H564" s="128">
        <f>SUMIF(I566:I592,"Goiás",H566:H592)</f>
        <v>1</v>
      </c>
      <c r="I564" s="237" t="s">
        <v>14</v>
      </c>
      <c r="J564" s="237" t="str">
        <f>D564</f>
        <v>Safra 2015 (dezembro)</v>
      </c>
      <c r="K564" s="245" t="str">
        <f>E564</f>
        <v>Safra 2016 (dezembro)</v>
      </c>
      <c r="L564" s="129">
        <f>COUNTIF(K566:K592,"&gt;0")</f>
        <v>16</v>
      </c>
    </row>
    <row r="565" spans="2:12" x14ac:dyDescent="0.2">
      <c r="B565" s="6" t="s">
        <v>67</v>
      </c>
      <c r="C565" s="238"/>
      <c r="D565" s="238"/>
      <c r="E565" s="246"/>
      <c r="F565" s="37" t="s">
        <v>66</v>
      </c>
      <c r="G565" s="9"/>
      <c r="H565" s="37" t="s">
        <v>67</v>
      </c>
      <c r="I565" s="238"/>
      <c r="J565" s="238"/>
      <c r="K565" s="246"/>
      <c r="L565" s="37" t="s">
        <v>66</v>
      </c>
    </row>
    <row r="566" spans="2:12" x14ac:dyDescent="0.2">
      <c r="B566" s="10">
        <v>1</v>
      </c>
      <c r="C566" s="34" t="s">
        <v>4</v>
      </c>
      <c r="D566" s="35">
        <f>SUMIF($O$8:$O$34,C566,$AF$8:$AF$34)</f>
        <v>898123</v>
      </c>
      <c r="E566" s="38">
        <f>SUMIF($O$8:$O$34,C566,$BW$8:$BW$34)</f>
        <v>351823</v>
      </c>
      <c r="F566" s="156">
        <f t="shared" ref="F566:F581" si="83">IF(E566=0,0,TRUNC(((E566/D566)-1)*100,2))</f>
        <v>-60.82</v>
      </c>
      <c r="G566" s="9"/>
      <c r="H566" s="44">
        <v>1</v>
      </c>
      <c r="I566" s="34" t="s">
        <v>4</v>
      </c>
      <c r="J566" s="35">
        <f>SUMIF($O$47:$O$73,I566,$AF$47:$AF$73)</f>
        <v>243974</v>
      </c>
      <c r="K566" s="38">
        <f>SUMIF($O$47:$O$73,I566,$BW$47:$BW$73)</f>
        <v>220303</v>
      </c>
      <c r="L566" s="156">
        <f t="shared" ref="L566:L581" si="84">IF(K566=0,0,TRUNC(((K566/J566)-1)*100,2))</f>
        <v>-9.6999999999999993</v>
      </c>
    </row>
    <row r="567" spans="2:12" x14ac:dyDescent="0.2">
      <c r="B567" s="10">
        <v>2</v>
      </c>
      <c r="C567" s="34" t="s">
        <v>31</v>
      </c>
      <c r="D567" s="35">
        <f>SUMIF($O$8:$O$34,C567,$AF$8:$AF$34)</f>
        <v>521034</v>
      </c>
      <c r="E567" s="38">
        <f>SUMIF($O$8:$O$34,C567,$BW$8:$BW$34)</f>
        <v>347869</v>
      </c>
      <c r="F567" s="156">
        <f t="shared" si="83"/>
        <v>-33.229999999999997</v>
      </c>
      <c r="G567" s="9"/>
      <c r="H567" s="44">
        <v>2</v>
      </c>
      <c r="I567" s="34" t="s">
        <v>31</v>
      </c>
      <c r="J567" s="35">
        <f>SUMIF($O$47:$O$73,I567,$AF$47:$AF$73)</f>
        <v>164715</v>
      </c>
      <c r="K567" s="38">
        <f>SUMIF($O$47:$O$73,I567,$BW$47:$BW$73)</f>
        <v>175238</v>
      </c>
      <c r="L567" s="156">
        <f t="shared" si="84"/>
        <v>6.38</v>
      </c>
    </row>
    <row r="568" spans="2:12" x14ac:dyDescent="0.2">
      <c r="B568" s="10">
        <v>3</v>
      </c>
      <c r="C568" s="34" t="s">
        <v>39</v>
      </c>
      <c r="D568" s="35">
        <f>SUMIF($O$8:$O$34,C568,$AF$8:$AF$34)</f>
        <v>330900</v>
      </c>
      <c r="E568" s="38">
        <f>SUMIF($O$8:$O$34,C568,$BW$8:$BW$34)</f>
        <v>169996</v>
      </c>
      <c r="F568" s="156">
        <f t="shared" si="83"/>
        <v>-48.62</v>
      </c>
      <c r="G568" s="9"/>
      <c r="H568" s="44">
        <v>3</v>
      </c>
      <c r="I568" s="34" t="s">
        <v>30</v>
      </c>
      <c r="J568" s="35">
        <f>SUMIF($O$47:$O$73,I568,$AF$47:$AF$73)</f>
        <v>121135</v>
      </c>
      <c r="K568" s="38">
        <f>SUMIF($O$47:$O$73,I568,$BW$47:$BW$73)</f>
        <v>89950</v>
      </c>
      <c r="L568" s="156">
        <f t="shared" si="84"/>
        <v>-25.74</v>
      </c>
    </row>
    <row r="569" spans="2:12" x14ac:dyDescent="0.2">
      <c r="B569" s="10">
        <v>4</v>
      </c>
      <c r="C569" s="34" t="s">
        <v>30</v>
      </c>
      <c r="D569" s="35">
        <f>SUMIF($O$8:$O$34,C569,$AF$8:$AF$34)</f>
        <v>135292</v>
      </c>
      <c r="E569" s="38">
        <f>SUMIF($O$8:$O$34,C569,$BW$8:$BW$34)</f>
        <v>91640</v>
      </c>
      <c r="F569" s="156">
        <f t="shared" si="83"/>
        <v>-32.26</v>
      </c>
      <c r="G569" s="9"/>
      <c r="H569" s="44">
        <v>4</v>
      </c>
      <c r="I569" s="34" t="s">
        <v>39</v>
      </c>
      <c r="J569" s="35">
        <f>SUMIF($O$47:$O$73,I569,$AF$47:$AF$73)</f>
        <v>124585</v>
      </c>
      <c r="K569" s="38">
        <f>SUMIF($O$47:$O$73,I569,$BW$47:$BW$73)</f>
        <v>80300</v>
      </c>
      <c r="L569" s="156">
        <f t="shared" si="84"/>
        <v>-35.54</v>
      </c>
    </row>
    <row r="570" spans="2:12" x14ac:dyDescent="0.2">
      <c r="B570" s="10">
        <v>5</v>
      </c>
      <c r="C570" s="34" t="s">
        <v>34</v>
      </c>
      <c r="D570" s="35">
        <f>SUMIF($O$8:$O$34,C570,$AF$8:$AF$34)</f>
        <v>71360</v>
      </c>
      <c r="E570" s="38">
        <f>SUMIF($O$8:$O$34,C570,$BW$8:$BW$34)</f>
        <v>67901</v>
      </c>
      <c r="F570" s="156">
        <f t="shared" si="83"/>
        <v>-4.84</v>
      </c>
      <c r="G570" s="9"/>
      <c r="H570" s="44">
        <v>5</v>
      </c>
      <c r="I570" s="34" t="s">
        <v>34</v>
      </c>
      <c r="J570" s="35">
        <f>SUMIF($O$47:$O$73,I570,$AF$47:$AF$73)</f>
        <v>20039</v>
      </c>
      <c r="K570" s="38">
        <f>SUMIF($O$47:$O$73,I570,$BW$47:$BW$73)</f>
        <v>23704</v>
      </c>
      <c r="L570" s="156">
        <f t="shared" si="84"/>
        <v>18.28</v>
      </c>
    </row>
    <row r="571" spans="2:12" x14ac:dyDescent="0.2">
      <c r="B571" s="10">
        <v>6</v>
      </c>
      <c r="C571" s="34" t="s">
        <v>38</v>
      </c>
      <c r="D571" s="35">
        <f>SUMIF($O$8:$O$34,C571,$AF$8:$AF$34)</f>
        <v>47540</v>
      </c>
      <c r="E571" s="38">
        <f>SUMIF($O$8:$O$34,C571,$BW$8:$BW$34)</f>
        <v>28600</v>
      </c>
      <c r="F571" s="156">
        <f t="shared" si="83"/>
        <v>-39.840000000000003</v>
      </c>
      <c r="G571" s="9"/>
      <c r="H571" s="44">
        <v>6</v>
      </c>
      <c r="I571" s="34" t="s">
        <v>23</v>
      </c>
      <c r="J571" s="35">
        <f>SUMIF($O$47:$O$73,I571,$AF$47:$AF$73)</f>
        <v>13143</v>
      </c>
      <c r="K571" s="38">
        <f>SUMIF($O$47:$O$73,I571,$BW$47:$BW$73)</f>
        <v>13143</v>
      </c>
      <c r="L571" s="156">
        <f t="shared" si="84"/>
        <v>0</v>
      </c>
    </row>
    <row r="572" spans="2:12" x14ac:dyDescent="0.2">
      <c r="B572" s="10">
        <v>7</v>
      </c>
      <c r="C572" s="34" t="s">
        <v>23</v>
      </c>
      <c r="D572" s="35">
        <f>SUMIF($O$8:$O$34,C572,$AF$8:$AF$34)</f>
        <v>24278</v>
      </c>
      <c r="E572" s="38">
        <f>SUMIF($O$8:$O$34,C572,$BW$8:$BW$34)</f>
        <v>24278</v>
      </c>
      <c r="F572" s="156">
        <f t="shared" si="83"/>
        <v>0</v>
      </c>
      <c r="G572" s="9"/>
      <c r="H572" s="44">
        <v>7</v>
      </c>
      <c r="I572" s="34" t="s">
        <v>22</v>
      </c>
      <c r="J572" s="35">
        <f>SUMIF($O$47:$O$73,I572,$AF$47:$AF$73)</f>
        <v>11170</v>
      </c>
      <c r="K572" s="38">
        <f>SUMIF($O$47:$O$73,I572,$BW$47:$BW$73)</f>
        <v>11170</v>
      </c>
      <c r="L572" s="156">
        <f t="shared" si="84"/>
        <v>0</v>
      </c>
    </row>
    <row r="573" spans="2:12" x14ac:dyDescent="0.2">
      <c r="B573" s="10">
        <v>8</v>
      </c>
      <c r="C573" s="34" t="s">
        <v>22</v>
      </c>
      <c r="D573" s="35">
        <f>SUMIF($O$8:$O$34,C573,$AF$8:$AF$34)</f>
        <v>19946</v>
      </c>
      <c r="E573" s="38">
        <f>SUMIF($O$8:$O$34,C573,$BW$8:$BW$34)</f>
        <v>19946</v>
      </c>
      <c r="F573" s="156">
        <f t="shared" si="83"/>
        <v>0</v>
      </c>
      <c r="G573" s="9"/>
      <c r="H573" s="44">
        <v>8</v>
      </c>
      <c r="I573" s="34" t="s">
        <v>21</v>
      </c>
      <c r="J573" s="35">
        <f>SUMIF($O$47:$O$73,I573,$AF$47:$AF$73)</f>
        <v>10914</v>
      </c>
      <c r="K573" s="38">
        <f>SUMIF($O$47:$O$73,I573,$BW$47:$BW$73)</f>
        <v>8898</v>
      </c>
      <c r="L573" s="156">
        <f t="shared" si="84"/>
        <v>-18.47</v>
      </c>
    </row>
    <row r="574" spans="2:12" x14ac:dyDescent="0.2">
      <c r="B574" s="10">
        <v>9</v>
      </c>
      <c r="C574" s="34" t="s">
        <v>37</v>
      </c>
      <c r="D574" s="35">
        <f>SUMIF($O$8:$O$34,C574,$AF$8:$AF$34)</f>
        <v>16247</v>
      </c>
      <c r="E574" s="38">
        <f>SUMIF($O$8:$O$34,C574,$BW$8:$BW$34)</f>
        <v>17718</v>
      </c>
      <c r="F574" s="156">
        <f t="shared" si="83"/>
        <v>9.0500000000000007</v>
      </c>
      <c r="G574" s="9"/>
      <c r="H574" s="44">
        <v>9</v>
      </c>
      <c r="I574" s="34" t="s">
        <v>38</v>
      </c>
      <c r="J574" s="35">
        <f>SUMIF($O$47:$O$73,I574,$AF$47:$AF$73)</f>
        <v>12090</v>
      </c>
      <c r="K574" s="38">
        <f>SUMIF($O$47:$O$73,I574,$BW$47:$BW$73)</f>
        <v>8840</v>
      </c>
      <c r="L574" s="156">
        <f t="shared" si="84"/>
        <v>-26.88</v>
      </c>
    </row>
    <row r="575" spans="2:12" x14ac:dyDescent="0.2">
      <c r="B575" s="10">
        <v>10</v>
      </c>
      <c r="C575" s="34" t="s">
        <v>40</v>
      </c>
      <c r="D575" s="35">
        <f>SUMIF($O$8:$O$34,C575,$AF$8:$AF$34)</f>
        <v>25795</v>
      </c>
      <c r="E575" s="38">
        <f>SUMIF($O$8:$O$34,C575,$BW$8:$BW$34)</f>
        <v>17318</v>
      </c>
      <c r="F575" s="156">
        <f t="shared" si="83"/>
        <v>-32.86</v>
      </c>
      <c r="G575" s="9"/>
      <c r="H575" s="44">
        <v>10</v>
      </c>
      <c r="I575" s="34" t="s">
        <v>19</v>
      </c>
      <c r="J575" s="35">
        <f>SUMIF($O$47:$O$73,I575,$AF$47:$AF$73)</f>
        <v>5000</v>
      </c>
      <c r="K575" s="38">
        <f>SUMIF($O$47:$O$73,I575,$BW$47:$BW$73)</f>
        <v>5270</v>
      </c>
      <c r="L575" s="156">
        <f t="shared" si="84"/>
        <v>5.4</v>
      </c>
    </row>
    <row r="576" spans="2:12" x14ac:dyDescent="0.2">
      <c r="B576" s="10">
        <v>11</v>
      </c>
      <c r="C576" s="34" t="s">
        <v>19</v>
      </c>
      <c r="D576" s="35">
        <f>SUMIF($O$8:$O$34,C576,$AF$8:$AF$34)</f>
        <v>15000</v>
      </c>
      <c r="E576" s="38">
        <f>SUMIF($O$8:$O$34,C576,$BW$8:$BW$34)</f>
        <v>15852</v>
      </c>
      <c r="F576" s="156">
        <f t="shared" si="83"/>
        <v>5.68</v>
      </c>
      <c r="G576" s="51"/>
      <c r="H576" s="44">
        <v>11</v>
      </c>
      <c r="I576" s="34" t="s">
        <v>37</v>
      </c>
      <c r="J576" s="35">
        <f>SUMIF($O$47:$O$73,I576,$AF$47:$AF$73)</f>
        <v>5867</v>
      </c>
      <c r="K576" s="38">
        <f>SUMIF($O$47:$O$73,I576,$BW$47:$BW$73)</f>
        <v>5089</v>
      </c>
      <c r="L576" s="156">
        <f t="shared" si="84"/>
        <v>-13.26</v>
      </c>
    </row>
    <row r="577" spans="2:12" x14ac:dyDescent="0.2">
      <c r="B577" s="10">
        <v>12</v>
      </c>
      <c r="C577" s="34" t="s">
        <v>21</v>
      </c>
      <c r="D577" s="35">
        <f>SUMIF($O$8:$O$34,C577,$AF$8:$AF$34)</f>
        <v>28170</v>
      </c>
      <c r="E577" s="38">
        <f>SUMIF($O$8:$O$34,C577,$BW$8:$BW$34)</f>
        <v>14117</v>
      </c>
      <c r="F577" s="156">
        <f t="shared" si="83"/>
        <v>-49.88</v>
      </c>
      <c r="G577" s="9"/>
      <c r="H577" s="44">
        <v>12</v>
      </c>
      <c r="I577" s="34" t="s">
        <v>40</v>
      </c>
      <c r="J577" s="35">
        <f>SUMIF($O$47:$O$73,I577,$AF$47:$AF$73)</f>
        <v>4476</v>
      </c>
      <c r="K577" s="38">
        <f>SUMIF($O$47:$O$73,I577,$BW$47:$BW$73)</f>
        <v>4948</v>
      </c>
      <c r="L577" s="156">
        <f t="shared" si="84"/>
        <v>10.54</v>
      </c>
    </row>
    <row r="578" spans="2:12" x14ac:dyDescent="0.2">
      <c r="B578" s="10">
        <v>13</v>
      </c>
      <c r="C578" s="34" t="s">
        <v>35</v>
      </c>
      <c r="D578" s="35">
        <f>SUMIF($O$8:$O$34,C578,$AF$8:$AF$34)</f>
        <v>1530</v>
      </c>
      <c r="E578" s="38">
        <f>SUMIF($O$8:$O$34,C578,$BW$8:$BW$34)</f>
        <v>1530</v>
      </c>
      <c r="F578" s="156">
        <f t="shared" si="83"/>
        <v>0</v>
      </c>
      <c r="G578" s="9"/>
      <c r="H578" s="44">
        <v>13</v>
      </c>
      <c r="I578" s="34" t="s">
        <v>25</v>
      </c>
      <c r="J578" s="35">
        <f>SUMIF($O$47:$O$73,I578,$AF$47:$AF$73)</f>
        <v>359</v>
      </c>
      <c r="K578" s="38">
        <f>SUMIF($O$47:$O$73,I578,$BW$47:$BW$73)</f>
        <v>750</v>
      </c>
      <c r="L578" s="156">
        <f t="shared" si="84"/>
        <v>108.91</v>
      </c>
    </row>
    <row r="579" spans="2:12" x14ac:dyDescent="0.2">
      <c r="B579" s="10">
        <v>14</v>
      </c>
      <c r="C579" s="34" t="s">
        <v>25</v>
      </c>
      <c r="D579" s="35">
        <f>SUMIF($O$8:$O$34,C579,$AF$8:$AF$34)</f>
        <v>155</v>
      </c>
      <c r="E579" s="38">
        <f>SUMIF($O$8:$O$34,C579,$BW$8:$BW$34)</f>
        <v>314</v>
      </c>
      <c r="F579" s="156">
        <f t="shared" si="83"/>
        <v>102.58</v>
      </c>
      <c r="G579" s="9"/>
      <c r="H579" s="44">
        <v>14</v>
      </c>
      <c r="I579" s="34" t="s">
        <v>35</v>
      </c>
      <c r="J579" s="35">
        <f>SUMIF($O$47:$O$73,I579,$AF$47:$AF$73)</f>
        <v>280</v>
      </c>
      <c r="K579" s="38">
        <f>SUMIF($O$47:$O$73,I579,$BW$47:$BW$73)</f>
        <v>280</v>
      </c>
      <c r="L579" s="156">
        <f t="shared" si="84"/>
        <v>0</v>
      </c>
    </row>
    <row r="580" spans="2:12" x14ac:dyDescent="0.2">
      <c r="B580" s="10">
        <v>15</v>
      </c>
      <c r="C580" s="34" t="s">
        <v>24</v>
      </c>
      <c r="D580" s="35">
        <f>SUMIF($O$8:$O$34,C580,$AF$8:$AF$34)</f>
        <v>900</v>
      </c>
      <c r="E580" s="38">
        <f>SUMIF($O$8:$O$34,C580,$BW$8:$BW$34)</f>
        <v>1</v>
      </c>
      <c r="F580" s="156">
        <f t="shared" si="83"/>
        <v>-99.88</v>
      </c>
      <c r="G580" s="9"/>
      <c r="H580" s="44">
        <v>15</v>
      </c>
      <c r="I580" s="34" t="s">
        <v>27</v>
      </c>
      <c r="J580" s="35">
        <f>SUMIF($O$47:$O$73,I580,$AF$47:$AF$73)</f>
        <v>2475</v>
      </c>
      <c r="K580" s="38">
        <f>SUMIF($O$47:$O$73,I580,$BW$47:$BW$73)</f>
        <v>20</v>
      </c>
      <c r="L580" s="156">
        <f t="shared" si="84"/>
        <v>-99.19</v>
      </c>
    </row>
    <row r="581" spans="2:12" x14ac:dyDescent="0.2">
      <c r="B581" s="10">
        <v>16</v>
      </c>
      <c r="C581" s="34" t="s">
        <v>27</v>
      </c>
      <c r="D581" s="35">
        <f>SUMIF($O$8:$O$34,C581,$AF$8:$AF$34)</f>
        <v>180</v>
      </c>
      <c r="E581" s="38">
        <f>SUMIF($O$8:$O$34,C581,$BW$8:$BW$34)</f>
        <v>1</v>
      </c>
      <c r="F581" s="156">
        <f t="shared" si="83"/>
        <v>-99.44</v>
      </c>
      <c r="G581" s="9"/>
      <c r="H581" s="44">
        <v>16</v>
      </c>
      <c r="I581" s="34" t="s">
        <v>24</v>
      </c>
      <c r="J581" s="35">
        <f>SUMIF($O$47:$O$73,I581,$AF$47:$AF$73)</f>
        <v>400</v>
      </c>
      <c r="K581" s="38">
        <f>SUMIF($O$47:$O$73,I581,$BW$47:$BW$73)</f>
        <v>1</v>
      </c>
      <c r="L581" s="156">
        <f t="shared" si="84"/>
        <v>-99.75</v>
      </c>
    </row>
    <row r="582" spans="2:12" x14ac:dyDescent="0.2">
      <c r="B582" s="10">
        <v>17</v>
      </c>
      <c r="C582" s="34" t="s">
        <v>15</v>
      </c>
      <c r="D582" s="35">
        <f>SUMIF($O$8:$O$34,C582,$AF$8:$AF$34)</f>
        <v>0</v>
      </c>
      <c r="E582" s="38">
        <f>SUMIF($O$8:$O$34,C582,$BW$8:$BW$34)</f>
        <v>0</v>
      </c>
      <c r="F582" s="156">
        <f>IF(E582=0,0,TRUNC(((E582/D582)-1)*100,2))</f>
        <v>0</v>
      </c>
      <c r="G582" s="9"/>
      <c r="H582" s="44">
        <v>17</v>
      </c>
      <c r="I582" s="34" t="s">
        <v>15</v>
      </c>
      <c r="J582" s="35">
        <f>SUMIF($O$47:$O$73,I582,$AF$47:$AF$73)</f>
        <v>0</v>
      </c>
      <c r="K582" s="38">
        <f>SUMIF($O$47:$O$73,I582,$BW$47:$BW$73)</f>
        <v>0</v>
      </c>
      <c r="L582" s="156">
        <f>IF(K582=0,0,TRUNC(((K582/J582)-1)*100,2))</f>
        <v>0</v>
      </c>
    </row>
    <row r="583" spans="2:12" x14ac:dyDescent="0.2">
      <c r="B583" s="10">
        <v>18</v>
      </c>
      <c r="C583" s="34" t="s">
        <v>36</v>
      </c>
      <c r="D583" s="35">
        <f>SUMIF($O$8:$O$34,C583,$AF$8:$AF$34)</f>
        <v>0</v>
      </c>
      <c r="E583" s="38">
        <f>SUMIF($O$8:$O$34,C583,$BW$8:$BW$34)</f>
        <v>0</v>
      </c>
      <c r="F583" s="156">
        <f t="shared" ref="F583:F592" si="85">IF(E583=0,0,TRUNC(((E583/D583)-1)*100,2))</f>
        <v>0</v>
      </c>
      <c r="G583" s="9"/>
      <c r="H583" s="44">
        <v>18</v>
      </c>
      <c r="I583" s="34" t="s">
        <v>36</v>
      </c>
      <c r="J583" s="35">
        <f>SUMIF($O$47:$O$73,I583,$AF$47:$AF$73)</f>
        <v>0</v>
      </c>
      <c r="K583" s="38">
        <f>SUMIF($O$47:$O$73,I583,$BW$47:$BW$73)</f>
        <v>0</v>
      </c>
      <c r="L583" s="156">
        <f t="shared" ref="L583:L592" si="86">IF(K583=0,0,TRUNC(((K583/J583)-1)*100,2))</f>
        <v>0</v>
      </c>
    </row>
    <row r="584" spans="2:12" x14ac:dyDescent="0.2">
      <c r="B584" s="10">
        <v>19</v>
      </c>
      <c r="C584" s="34" t="s">
        <v>29</v>
      </c>
      <c r="D584" s="35">
        <f>SUMIF($O$8:$O$34,C584,$AF$8:$AF$34)</f>
        <v>0</v>
      </c>
      <c r="E584" s="38">
        <f>SUMIF($O$8:$O$34,C584,$BW$8:$BW$34)</f>
        <v>0</v>
      </c>
      <c r="F584" s="156">
        <f t="shared" si="85"/>
        <v>0</v>
      </c>
      <c r="G584" s="9"/>
      <c r="H584" s="44">
        <v>19</v>
      </c>
      <c r="I584" s="34" t="s">
        <v>29</v>
      </c>
      <c r="J584" s="35">
        <f>SUMIF($O$47:$O$73,I584,$AF$47:$AF$73)</f>
        <v>0</v>
      </c>
      <c r="K584" s="38">
        <f>SUMIF($O$47:$O$73,I584,$BW$47:$BW$73)</f>
        <v>0</v>
      </c>
      <c r="L584" s="156">
        <f t="shared" si="86"/>
        <v>0</v>
      </c>
    </row>
    <row r="585" spans="2:12" x14ac:dyDescent="0.2">
      <c r="B585" s="10">
        <v>20</v>
      </c>
      <c r="C585" s="34" t="s">
        <v>16</v>
      </c>
      <c r="D585" s="35">
        <f>SUMIF($O$8:$O$34,C585,$AF$8:$AF$34)</f>
        <v>0</v>
      </c>
      <c r="E585" s="38">
        <f>SUMIF($O$8:$O$34,C585,$BW$8:$BW$34)</f>
        <v>0</v>
      </c>
      <c r="F585" s="156">
        <f t="shared" si="85"/>
        <v>0</v>
      </c>
      <c r="G585" s="9"/>
      <c r="H585" s="44">
        <v>20</v>
      </c>
      <c r="I585" s="34" t="s">
        <v>26</v>
      </c>
      <c r="J585" s="35">
        <f>SUMIF($O$47:$O$73,I585,$AF$47:$AF$73)</f>
        <v>0</v>
      </c>
      <c r="K585" s="38">
        <f>SUMIF($O$47:$O$73,I585,$BW$47:$BW$73)</f>
        <v>0</v>
      </c>
      <c r="L585" s="156">
        <f t="shared" si="86"/>
        <v>0</v>
      </c>
    </row>
    <row r="586" spans="2:12" x14ac:dyDescent="0.2">
      <c r="B586" s="10">
        <v>21</v>
      </c>
      <c r="C586" s="34" t="s">
        <v>18</v>
      </c>
      <c r="D586" s="35">
        <f>SUMIF($O$8:$O$34,C586,$AF$8:$AF$34)</f>
        <v>0</v>
      </c>
      <c r="E586" s="38">
        <f>SUMIF($O$8:$O$34,C586,$BW$8:$BW$34)</f>
        <v>0</v>
      </c>
      <c r="F586" s="156">
        <f t="shared" si="85"/>
        <v>0</v>
      </c>
      <c r="G586" s="9"/>
      <c r="H586" s="44">
        <v>21</v>
      </c>
      <c r="I586" s="34" t="s">
        <v>16</v>
      </c>
      <c r="J586" s="35">
        <f>SUMIF($O$47:$O$73,I586,$AF$47:$AF$73)</f>
        <v>0</v>
      </c>
      <c r="K586" s="38">
        <f>SUMIF($O$47:$O$73,I586,$BW$47:$BW$73)</f>
        <v>0</v>
      </c>
      <c r="L586" s="156">
        <f t="shared" si="86"/>
        <v>0</v>
      </c>
    </row>
    <row r="587" spans="2:12" x14ac:dyDescent="0.2">
      <c r="B587" s="10">
        <v>22</v>
      </c>
      <c r="C587" s="34" t="s">
        <v>26</v>
      </c>
      <c r="D587" s="35">
        <f>SUMIF($O$8:$O$34,C587,$AF$8:$AF$34)</f>
        <v>0</v>
      </c>
      <c r="E587" s="38">
        <f>SUMIF($O$8:$O$34,C587,$BW$8:$BW$34)</f>
        <v>0</v>
      </c>
      <c r="F587" s="156">
        <f t="shared" si="85"/>
        <v>0</v>
      </c>
      <c r="G587" s="9"/>
      <c r="H587" s="44">
        <v>22</v>
      </c>
      <c r="I587" s="34" t="s">
        <v>28</v>
      </c>
      <c r="J587" s="35">
        <f>SUMIF($O$47:$O$73,I587,$AF$47:$AF$73)</f>
        <v>0</v>
      </c>
      <c r="K587" s="38">
        <f>SUMIF($O$47:$O$73,I587,$BW$47:$BW$73)</f>
        <v>0</v>
      </c>
      <c r="L587" s="156">
        <f t="shared" si="86"/>
        <v>0</v>
      </c>
    </row>
    <row r="588" spans="2:12" x14ac:dyDescent="0.2">
      <c r="B588" s="10">
        <v>23</v>
      </c>
      <c r="C588" s="34" t="s">
        <v>32</v>
      </c>
      <c r="D588" s="35">
        <f>SUMIF($O$8:$O$34,C588,$AF$8:$AF$34)</f>
        <v>0</v>
      </c>
      <c r="E588" s="38">
        <f>SUMIF($O$8:$O$34,C588,$BW$8:$BW$34)</f>
        <v>0</v>
      </c>
      <c r="F588" s="156">
        <f t="shared" si="85"/>
        <v>0</v>
      </c>
      <c r="G588" s="9"/>
      <c r="H588" s="44">
        <v>23</v>
      </c>
      <c r="I588" s="34" t="s">
        <v>32</v>
      </c>
      <c r="J588" s="35">
        <f>SUMIF($O$47:$O$73,I588,$AF$47:$AF$73)</f>
        <v>0</v>
      </c>
      <c r="K588" s="38">
        <f>SUMIF($O$47:$O$73,I588,$BW$47:$BW$73)</f>
        <v>0</v>
      </c>
      <c r="L588" s="156">
        <f t="shared" si="86"/>
        <v>0</v>
      </c>
    </row>
    <row r="589" spans="2:12" x14ac:dyDescent="0.2">
      <c r="B589" s="10">
        <v>24</v>
      </c>
      <c r="C589" s="34" t="s">
        <v>17</v>
      </c>
      <c r="D589" s="35">
        <f>SUMIF($O$8:$O$34,C589,$AF$8:$AF$34)</f>
        <v>0</v>
      </c>
      <c r="E589" s="38">
        <f>SUMIF($O$8:$O$34,C589,$BW$8:$BW$34)</f>
        <v>0</v>
      </c>
      <c r="F589" s="156">
        <f t="shared" si="85"/>
        <v>0</v>
      </c>
      <c r="G589" s="9"/>
      <c r="H589" s="44">
        <v>24</v>
      </c>
      <c r="I589" s="34" t="s">
        <v>18</v>
      </c>
      <c r="J589" s="35">
        <f>SUMIF($O$47:$O$73,I589,$AF$47:$AF$73)</f>
        <v>0</v>
      </c>
      <c r="K589" s="38">
        <f>SUMIF($O$47:$O$73,I589,$BW$47:$BW$73)</f>
        <v>0</v>
      </c>
      <c r="L589" s="156">
        <f t="shared" si="86"/>
        <v>0</v>
      </c>
    </row>
    <row r="590" spans="2:12" x14ac:dyDescent="0.2">
      <c r="B590" s="10">
        <v>25</v>
      </c>
      <c r="C590" s="34" t="s">
        <v>28</v>
      </c>
      <c r="D590" s="35">
        <f>SUMIF($O$8:$O$34,C590,$AF$8:$AF$34)</f>
        <v>0</v>
      </c>
      <c r="E590" s="38">
        <f>SUMIF($O$8:$O$34,C590,$BW$8:$BW$34)</f>
        <v>0</v>
      </c>
      <c r="F590" s="156">
        <f t="shared" si="85"/>
        <v>0</v>
      </c>
      <c r="G590" s="9"/>
      <c r="H590" s="44">
        <v>25</v>
      </c>
      <c r="I590" s="34" t="s">
        <v>17</v>
      </c>
      <c r="J590" s="35">
        <f>SUMIF($O$47:$O$73,I590,$AF$47:$AF$73)</f>
        <v>0</v>
      </c>
      <c r="K590" s="38">
        <f>SUMIF($O$47:$O$73,I590,$BW$47:$BW$73)</f>
        <v>0</v>
      </c>
      <c r="L590" s="156">
        <f t="shared" si="86"/>
        <v>0</v>
      </c>
    </row>
    <row r="591" spans="2:12" x14ac:dyDescent="0.2">
      <c r="B591" s="10">
        <v>26</v>
      </c>
      <c r="C591" s="34" t="s">
        <v>33</v>
      </c>
      <c r="D591" s="35">
        <f>SUMIF($O$8:$O$34,C591,$AF$8:$AF$34)</f>
        <v>0</v>
      </c>
      <c r="E591" s="38">
        <f>SUMIF($O$8:$O$34,C591,$BW$8:$BW$34)</f>
        <v>0</v>
      </c>
      <c r="F591" s="156">
        <f t="shared" si="85"/>
        <v>0</v>
      </c>
      <c r="G591" s="9"/>
      <c r="H591" s="44">
        <v>26</v>
      </c>
      <c r="I591" s="34" t="s">
        <v>33</v>
      </c>
      <c r="J591" s="35">
        <f>SUMIF($O$47:$O$73,I591,$AF$47:$AF$73)</f>
        <v>0</v>
      </c>
      <c r="K591" s="38">
        <f>SUMIF($O$47:$O$73,I591,$BW$47:$BW$73)</f>
        <v>0</v>
      </c>
      <c r="L591" s="156">
        <f t="shared" si="86"/>
        <v>0</v>
      </c>
    </row>
    <row r="592" spans="2:12" x14ac:dyDescent="0.2">
      <c r="B592" s="10">
        <v>27</v>
      </c>
      <c r="C592" s="34" t="s">
        <v>20</v>
      </c>
      <c r="D592" s="35">
        <f>SUMIF($O$8:$O$34,C592,$AF$8:$AF$34)</f>
        <v>0</v>
      </c>
      <c r="E592" s="38">
        <f>SUMIF($O$8:$O$34,C592,$BW$8:$BW$34)</f>
        <v>0</v>
      </c>
      <c r="F592" s="156">
        <f t="shared" si="85"/>
        <v>0</v>
      </c>
      <c r="G592" s="9"/>
      <c r="H592" s="44">
        <v>27</v>
      </c>
      <c r="I592" s="34" t="s">
        <v>20</v>
      </c>
      <c r="J592" s="35">
        <f>SUMIF($O$47:$O$73,I592,$AF$47:$AF$73)</f>
        <v>0</v>
      </c>
      <c r="K592" s="38">
        <f>SUMIF($O$47:$O$73,I592,$BW$47:$BW$73)</f>
        <v>0</v>
      </c>
      <c r="L592" s="156">
        <f t="shared" si="86"/>
        <v>0</v>
      </c>
    </row>
    <row r="593" spans="2:12" x14ac:dyDescent="0.2">
      <c r="B593" s="10"/>
      <c r="C593" s="34" t="s">
        <v>9</v>
      </c>
      <c r="D593" s="39">
        <f>SUM(D566:D592)</f>
        <v>2136450</v>
      </c>
      <c r="E593" s="39">
        <f>SUM(E566:E592)</f>
        <v>1168904</v>
      </c>
      <c r="F593" s="40">
        <f t="shared" ref="F593:F594" si="87">TRUNC(((E593/D593)-1)*100,2)</f>
        <v>-45.28</v>
      </c>
      <c r="G593" s="9"/>
      <c r="H593" s="44"/>
      <c r="I593" s="34" t="s">
        <v>9</v>
      </c>
      <c r="J593" s="39">
        <f>SUM(J566:J592)</f>
        <v>740622</v>
      </c>
      <c r="K593" s="39">
        <f>SUM(K566:K592)</f>
        <v>647904</v>
      </c>
      <c r="L593" s="40">
        <f>TRUNC(((K593/J593)-1)*100,2)</f>
        <v>-12.51</v>
      </c>
    </row>
    <row r="594" spans="2:12" x14ac:dyDescent="0.2">
      <c r="B594" s="49"/>
      <c r="C594" s="55" t="s">
        <v>83</v>
      </c>
      <c r="D594" s="52">
        <f>SUM(AF8:AF34)</f>
        <v>2136450</v>
      </c>
      <c r="E594" s="52">
        <f>SUM(BW8:BW34)</f>
        <v>1168904</v>
      </c>
      <c r="F594" s="56">
        <f t="shared" si="87"/>
        <v>-45.28</v>
      </c>
      <c r="G594" s="1"/>
      <c r="H594" s="49"/>
      <c r="I594" s="55" t="s">
        <v>83</v>
      </c>
      <c r="J594" s="52">
        <f>SUM(AF47:AF73)</f>
        <v>740622</v>
      </c>
      <c r="K594" s="52">
        <f>SUM(BW47:BW73)</f>
        <v>647904</v>
      </c>
      <c r="L594" s="56">
        <f>TRUNC(((K594/J594)-1)*100,2)</f>
        <v>-12.51</v>
      </c>
    </row>
    <row r="599" spans="2:12" x14ac:dyDescent="0.2">
      <c r="B599" s="6" t="s">
        <v>88</v>
      </c>
      <c r="C599" s="242" t="s">
        <v>41</v>
      </c>
      <c r="D599" s="243"/>
      <c r="E599" s="244"/>
      <c r="F599" s="9"/>
      <c r="G599" s="9"/>
      <c r="H599" s="6" t="s">
        <v>88</v>
      </c>
      <c r="I599" s="239" t="s">
        <v>5</v>
      </c>
      <c r="J599" s="240"/>
      <c r="K599" s="241"/>
      <c r="L599" s="6" t="s">
        <v>89</v>
      </c>
    </row>
    <row r="600" spans="2:12" x14ac:dyDescent="0.2">
      <c r="B600" s="6" t="s">
        <v>4</v>
      </c>
      <c r="C600" s="260" t="s">
        <v>100</v>
      </c>
      <c r="D600" s="261"/>
      <c r="E600" s="262"/>
      <c r="F600" s="9"/>
      <c r="G600" s="9"/>
      <c r="H600" s="6" t="s">
        <v>4</v>
      </c>
      <c r="I600" s="263" t="str">
        <f>C600</f>
        <v>Produto: Tomate</v>
      </c>
      <c r="J600" s="264"/>
      <c r="K600" s="265"/>
      <c r="L600" s="6" t="s">
        <v>90</v>
      </c>
    </row>
    <row r="601" spans="2:12" x14ac:dyDescent="0.2">
      <c r="B601" s="128">
        <f>SUMIF(C603:C629,"Goiás",B603:B629)</f>
        <v>1</v>
      </c>
      <c r="C601" s="237" t="s">
        <v>14</v>
      </c>
      <c r="D601" s="237" t="str">
        <f>$D$194</f>
        <v>Safra 2015 (dezembro)</v>
      </c>
      <c r="E601" s="245" t="str">
        <f>$E$194</f>
        <v>Safra 2016 (dezembro)</v>
      </c>
      <c r="F601" s="5">
        <f>COUNTIF(E603:E629,"&gt;0")</f>
        <v>24</v>
      </c>
      <c r="G601" s="9"/>
      <c r="H601" s="128">
        <f>SUMIF(I603:I629,"Goiás",H603:H629)</f>
        <v>1</v>
      </c>
      <c r="I601" s="237" t="s">
        <v>14</v>
      </c>
      <c r="J601" s="237" t="str">
        <f>D601</f>
        <v>Safra 2015 (dezembro)</v>
      </c>
      <c r="K601" s="245" t="str">
        <f>E601</f>
        <v>Safra 2016 (dezembro)</v>
      </c>
      <c r="L601" s="129">
        <f>COUNTIF(K603:K629,"&gt;0")</f>
        <v>24</v>
      </c>
    </row>
    <row r="602" spans="2:12" x14ac:dyDescent="0.2">
      <c r="B602" s="6" t="s">
        <v>67</v>
      </c>
      <c r="C602" s="238"/>
      <c r="D602" s="238"/>
      <c r="E602" s="246"/>
      <c r="F602" s="37" t="s">
        <v>66</v>
      </c>
      <c r="G602" s="9"/>
      <c r="H602" s="37" t="s">
        <v>67</v>
      </c>
      <c r="I602" s="238"/>
      <c r="J602" s="238"/>
      <c r="K602" s="246"/>
      <c r="L602" s="37" t="s">
        <v>66</v>
      </c>
    </row>
    <row r="603" spans="2:12" x14ac:dyDescent="0.2">
      <c r="B603" s="10">
        <v>1</v>
      </c>
      <c r="C603" s="34" t="s">
        <v>4</v>
      </c>
      <c r="D603" s="35">
        <f>SUMIF($O$8:$O$34,C603,$BE$8:$BE$34)</f>
        <v>912976</v>
      </c>
      <c r="E603" s="38">
        <f>SUMIF($O$8:$O$34,C603,$CV$8:$CV$34)</f>
        <v>978258</v>
      </c>
      <c r="F603" s="156">
        <f t="shared" ref="F603:F618" si="88">IF(E603=0,0,TRUNC(((E603/D603)-1)*100,2))</f>
        <v>7.15</v>
      </c>
      <c r="G603" s="9"/>
      <c r="H603" s="44">
        <v>1</v>
      </c>
      <c r="I603" s="34" t="s">
        <v>4</v>
      </c>
      <c r="J603" s="35">
        <f>SUMIF($O$47:$O$73,I603,$BE$47:$BE$73)</f>
        <v>10664</v>
      </c>
      <c r="K603" s="38">
        <f>SUMIF($O$47:$O$73,I603,$CV$47:$CV$73)</f>
        <v>12002</v>
      </c>
      <c r="L603" s="156">
        <f t="shared" ref="L603:L618" si="89">IF(K603=0,0,TRUNC(((K603/J603)-1)*100,2))</f>
        <v>12.54</v>
      </c>
    </row>
    <row r="604" spans="2:12" x14ac:dyDescent="0.2">
      <c r="B604" s="10">
        <v>2</v>
      </c>
      <c r="C604" s="34" t="s">
        <v>34</v>
      </c>
      <c r="D604" s="35">
        <f>SUMIF($O$8:$O$34,C604,$BE$8:$BE$34)</f>
        <v>1097937</v>
      </c>
      <c r="E604" s="38">
        <f>SUMIF($O$8:$O$34,C604,$CV$8:$CV$34)</f>
        <v>753283</v>
      </c>
      <c r="F604" s="156">
        <f t="shared" si="88"/>
        <v>-31.39</v>
      </c>
      <c r="G604" s="9"/>
      <c r="H604" s="44">
        <v>2</v>
      </c>
      <c r="I604" s="34" t="s">
        <v>34</v>
      </c>
      <c r="J604" s="35">
        <f>SUMIF($O$47:$O$73,I604,$BE$47:$BE$73)</f>
        <v>14967</v>
      </c>
      <c r="K604" s="38">
        <f>SUMIF($O$47:$O$73,I604,$CV$47:$CV$73)</f>
        <v>11259</v>
      </c>
      <c r="L604" s="156">
        <f t="shared" si="89"/>
        <v>-24.77</v>
      </c>
    </row>
    <row r="605" spans="2:12" x14ac:dyDescent="0.2">
      <c r="B605" s="10">
        <v>3</v>
      </c>
      <c r="C605" s="34" t="s">
        <v>31</v>
      </c>
      <c r="D605" s="35">
        <f>SUMIF($O$8:$O$34,C605,$BE$8:$BE$34)</f>
        <v>715890</v>
      </c>
      <c r="E605" s="38">
        <f>SUMIF($O$8:$O$34,C605,$CV$8:$CV$34)</f>
        <v>702510</v>
      </c>
      <c r="F605" s="156">
        <f t="shared" si="88"/>
        <v>-1.86</v>
      </c>
      <c r="G605" s="9"/>
      <c r="H605" s="44">
        <v>3</v>
      </c>
      <c r="I605" s="34" t="s">
        <v>31</v>
      </c>
      <c r="J605" s="35">
        <f>SUMIF($O$47:$O$73,I605,$BE$47:$BE$73)</f>
        <v>9773</v>
      </c>
      <c r="K605" s="38">
        <f>SUMIF($O$47:$O$73,I605,$CV$47:$CV$73)</f>
        <v>10304</v>
      </c>
      <c r="L605" s="156">
        <f t="shared" si="89"/>
        <v>5.43</v>
      </c>
    </row>
    <row r="606" spans="2:12" x14ac:dyDescent="0.2">
      <c r="B606" s="10">
        <v>4</v>
      </c>
      <c r="C606" s="34" t="s">
        <v>35</v>
      </c>
      <c r="D606" s="35">
        <f>SUMIF($O$8:$O$34,C606,$BE$8:$BE$34)</f>
        <v>230319</v>
      </c>
      <c r="E606" s="38">
        <f>SUMIF($O$8:$O$34,C606,$CV$8:$CV$34)</f>
        <v>249760</v>
      </c>
      <c r="F606" s="156">
        <f t="shared" si="88"/>
        <v>8.44</v>
      </c>
      <c r="G606" s="9"/>
      <c r="H606" s="44">
        <v>4</v>
      </c>
      <c r="I606" s="34" t="s">
        <v>35</v>
      </c>
      <c r="J606" s="35">
        <f>SUMIF($O$47:$O$73,I606,$BE$47:$BE$73)</f>
        <v>3746</v>
      </c>
      <c r="K606" s="38">
        <f>SUMIF($O$47:$O$73,I606,$CV$47:$CV$73)</f>
        <v>4387</v>
      </c>
      <c r="L606" s="156">
        <f t="shared" si="89"/>
        <v>17.11</v>
      </c>
    </row>
    <row r="607" spans="2:12" x14ac:dyDescent="0.2">
      <c r="B607" s="10">
        <v>5</v>
      </c>
      <c r="C607" s="34" t="s">
        <v>33</v>
      </c>
      <c r="D607" s="35">
        <f>SUMIF($O$8:$O$34,C607,$BE$8:$BE$34)</f>
        <v>185889</v>
      </c>
      <c r="E607" s="38">
        <f>SUMIF($O$8:$O$34,C607,$CV$8:$CV$34)</f>
        <v>189611</v>
      </c>
      <c r="F607" s="156">
        <f t="shared" si="88"/>
        <v>2</v>
      </c>
      <c r="G607" s="9"/>
      <c r="H607" s="44">
        <v>5</v>
      </c>
      <c r="I607" s="34" t="s">
        <v>30</v>
      </c>
      <c r="J607" s="35">
        <f>SUMIF($O$47:$O$73,I607,$BE$47:$BE$73)</f>
        <v>7103</v>
      </c>
      <c r="K607" s="38">
        <f>SUMIF($O$47:$O$73,I607,$CV$47:$CV$73)</f>
        <v>4055</v>
      </c>
      <c r="L607" s="156">
        <f t="shared" si="89"/>
        <v>-42.91</v>
      </c>
    </row>
    <row r="608" spans="2:12" x14ac:dyDescent="0.2">
      <c r="B608" s="10">
        <v>6</v>
      </c>
      <c r="C608" s="34" t="s">
        <v>30</v>
      </c>
      <c r="D608" s="35">
        <f>SUMIF($O$8:$O$34,C608,$BE$8:$BE$34)</f>
        <v>323660</v>
      </c>
      <c r="E608" s="38">
        <f>SUMIF($O$8:$O$34,C608,$CV$8:$CV$34)</f>
        <v>175170</v>
      </c>
      <c r="F608" s="156">
        <f t="shared" si="88"/>
        <v>-45.87</v>
      </c>
      <c r="G608" s="9"/>
      <c r="H608" s="44">
        <v>6</v>
      </c>
      <c r="I608" s="34" t="s">
        <v>36</v>
      </c>
      <c r="J608" s="35">
        <f>SUMIF($O$47:$O$73,I608,$BE$47:$BE$73)</f>
        <v>2646</v>
      </c>
      <c r="K608" s="38">
        <f>SUMIF($O$47:$O$73,I608,$CV$47:$CV$73)</f>
        <v>2794</v>
      </c>
      <c r="L608" s="156">
        <f t="shared" si="89"/>
        <v>5.59</v>
      </c>
    </row>
    <row r="609" spans="2:12" x14ac:dyDescent="0.2">
      <c r="B609" s="10">
        <v>7</v>
      </c>
      <c r="C609" s="34" t="s">
        <v>36</v>
      </c>
      <c r="D609" s="35">
        <f>SUMIF($O$8:$O$34,C609,$BE$8:$BE$34)</f>
        <v>180486</v>
      </c>
      <c r="E609" s="38">
        <f>SUMIF($O$8:$O$34,C609,$CV$8:$CV$34)</f>
        <v>171699</v>
      </c>
      <c r="F609" s="156">
        <f t="shared" si="88"/>
        <v>-4.8600000000000003</v>
      </c>
      <c r="G609" s="9"/>
      <c r="H609" s="44">
        <v>7</v>
      </c>
      <c r="I609" s="34" t="s">
        <v>33</v>
      </c>
      <c r="J609" s="35">
        <f>SUMIF($O$47:$O$73,I609,$BE$47:$BE$73)</f>
        <v>2532</v>
      </c>
      <c r="K609" s="38">
        <f>SUMIF($O$47:$O$73,I609,$CV$47:$CV$73)</f>
        <v>2573</v>
      </c>
      <c r="L609" s="156">
        <f t="shared" si="89"/>
        <v>1.61</v>
      </c>
    </row>
    <row r="610" spans="2:12" x14ac:dyDescent="0.2">
      <c r="B610" s="10">
        <v>8</v>
      </c>
      <c r="C610" s="34" t="s">
        <v>32</v>
      </c>
      <c r="D610" s="35">
        <f>SUMIF($O$8:$O$34,C610,$BE$8:$BE$34)</f>
        <v>144834</v>
      </c>
      <c r="E610" s="38">
        <f>SUMIF($O$8:$O$34,C610,$CV$8:$CV$34)</f>
        <v>154074</v>
      </c>
      <c r="F610" s="156">
        <f t="shared" si="88"/>
        <v>6.37</v>
      </c>
      <c r="G610" s="9"/>
      <c r="H610" s="44">
        <v>8</v>
      </c>
      <c r="I610" s="34" t="s">
        <v>24</v>
      </c>
      <c r="J610" s="35">
        <f>SUMIF($O$47:$O$73,I610,$BE$47:$BE$73)</f>
        <v>2198</v>
      </c>
      <c r="K610" s="38">
        <f>SUMIF($O$47:$O$73,I610,$CV$47:$CV$73)</f>
        <v>2532</v>
      </c>
      <c r="L610" s="156">
        <f t="shared" si="89"/>
        <v>15.19</v>
      </c>
    </row>
    <row r="611" spans="2:12" x14ac:dyDescent="0.2">
      <c r="B611" s="10">
        <v>9</v>
      </c>
      <c r="C611" s="34" t="s">
        <v>24</v>
      </c>
      <c r="D611" s="35">
        <f>SUMIF($O$8:$O$34,C611,$BE$8:$BE$34)</f>
        <v>95128</v>
      </c>
      <c r="E611" s="38">
        <f>SUMIF($O$8:$O$34,C611,$CV$8:$CV$34)</f>
        <v>122846</v>
      </c>
      <c r="F611" s="156">
        <f t="shared" si="88"/>
        <v>29.13</v>
      </c>
      <c r="G611" s="9"/>
      <c r="H611" s="44">
        <v>9</v>
      </c>
      <c r="I611" s="34" t="s">
        <v>32</v>
      </c>
      <c r="J611" s="35">
        <f>SUMIF($O$47:$O$73,I611,$BE$47:$BE$73)</f>
        <v>2508</v>
      </c>
      <c r="K611" s="38">
        <f>SUMIF($O$47:$O$73,I611,$CV$47:$CV$73)</f>
        <v>2528</v>
      </c>
      <c r="L611" s="156">
        <f t="shared" si="89"/>
        <v>0.79</v>
      </c>
    </row>
    <row r="612" spans="2:12" x14ac:dyDescent="0.2">
      <c r="B612" s="10">
        <v>10</v>
      </c>
      <c r="C612" s="34" t="s">
        <v>37</v>
      </c>
      <c r="D612" s="35">
        <f>SUMIF($O$8:$O$34,C612,$BE$8:$BE$34)</f>
        <v>111363</v>
      </c>
      <c r="E612" s="38">
        <f>SUMIF($O$8:$O$34,C612,$CV$8:$CV$34)</f>
        <v>112563</v>
      </c>
      <c r="F612" s="156">
        <f t="shared" si="88"/>
        <v>1.07</v>
      </c>
      <c r="G612" s="9"/>
      <c r="H612" s="44">
        <v>10</v>
      </c>
      <c r="I612" s="34" t="s">
        <v>37</v>
      </c>
      <c r="J612" s="35">
        <f>SUMIF($O$47:$O$73,I612,$BE$47:$BE$73)</f>
        <v>2269</v>
      </c>
      <c r="K612" s="38">
        <f>SUMIF($O$47:$O$73,I612,$CV$47:$CV$73)</f>
        <v>2324</v>
      </c>
      <c r="L612" s="156">
        <f t="shared" si="89"/>
        <v>2.42</v>
      </c>
    </row>
    <row r="613" spans="2:12" x14ac:dyDescent="0.2">
      <c r="B613" s="10">
        <v>11</v>
      </c>
      <c r="C613" s="34" t="s">
        <v>27</v>
      </c>
      <c r="D613" s="35">
        <f>SUMIF($O$8:$O$34,C613,$BE$8:$BE$34)</f>
        <v>93718</v>
      </c>
      <c r="E613" s="38">
        <f>SUMIF($O$8:$O$34,C613,$CV$8:$CV$34)</f>
        <v>53331</v>
      </c>
      <c r="F613" s="156">
        <f t="shared" si="88"/>
        <v>-43.09</v>
      </c>
      <c r="G613" s="51"/>
      <c r="H613" s="44">
        <v>11</v>
      </c>
      <c r="I613" s="34" t="s">
        <v>27</v>
      </c>
      <c r="J613" s="35">
        <f>SUMIF($O$47:$O$73,I613,$BE$47:$BE$73)</f>
        <v>2527</v>
      </c>
      <c r="K613" s="38">
        <f>SUMIF($O$47:$O$73,I613,$CV$47:$CV$73)</f>
        <v>1741</v>
      </c>
      <c r="L613" s="156">
        <f t="shared" si="89"/>
        <v>-31.1</v>
      </c>
    </row>
    <row r="614" spans="2:12" x14ac:dyDescent="0.2">
      <c r="B614" s="10">
        <v>12</v>
      </c>
      <c r="C614" s="34" t="s">
        <v>40</v>
      </c>
      <c r="D614" s="35">
        <f>SUMIF($O$8:$O$34,C614,$BE$8:$BE$34)</f>
        <v>36691</v>
      </c>
      <c r="E614" s="38">
        <f>SUMIF($O$8:$O$34,C614,$CV$8:$CV$34)</f>
        <v>24760</v>
      </c>
      <c r="F614" s="156">
        <f t="shared" si="88"/>
        <v>-32.51</v>
      </c>
      <c r="G614" s="9"/>
      <c r="H614" s="44">
        <v>12</v>
      </c>
      <c r="I614" s="34" t="s">
        <v>40</v>
      </c>
      <c r="J614" s="35">
        <f>SUMIF($O$47:$O$73,I614,$BE$47:$BE$73)</f>
        <v>529</v>
      </c>
      <c r="K614" s="38">
        <f>SUMIF($O$47:$O$73,I614,$CV$47:$CV$73)</f>
        <v>356</v>
      </c>
      <c r="L614" s="156">
        <f t="shared" si="89"/>
        <v>-32.700000000000003</v>
      </c>
    </row>
    <row r="615" spans="2:12" x14ac:dyDescent="0.2">
      <c r="B615" s="10">
        <v>13</v>
      </c>
      <c r="C615" s="34" t="s">
        <v>26</v>
      </c>
      <c r="D615" s="35">
        <f>SUMIF($O$8:$O$34,C615,$BE$8:$BE$34)</f>
        <v>13045</v>
      </c>
      <c r="E615" s="38">
        <f>SUMIF($O$8:$O$34,C615,$CV$8:$CV$34)</f>
        <v>8955</v>
      </c>
      <c r="F615" s="156">
        <f t="shared" si="88"/>
        <v>-31.35</v>
      </c>
      <c r="G615" s="9"/>
      <c r="H615" s="44">
        <v>13</v>
      </c>
      <c r="I615" s="34" t="s">
        <v>26</v>
      </c>
      <c r="J615" s="35">
        <f>SUMIF($O$47:$O$73,I615,$BE$47:$BE$73)</f>
        <v>439</v>
      </c>
      <c r="K615" s="38">
        <f>SUMIF($O$47:$O$73,I615,$CV$47:$CV$73)</f>
        <v>331</v>
      </c>
      <c r="L615" s="156">
        <f t="shared" si="89"/>
        <v>-24.6</v>
      </c>
    </row>
    <row r="616" spans="2:12" x14ac:dyDescent="0.2">
      <c r="B616" s="10">
        <v>14</v>
      </c>
      <c r="C616" s="34" t="s">
        <v>28</v>
      </c>
      <c r="D616" s="35">
        <f>SUMIF($O$8:$O$34,C616,$BE$8:$BE$34)</f>
        <v>5380</v>
      </c>
      <c r="E616" s="38">
        <f>SUMIF($O$8:$O$34,C616,$CV$8:$CV$34)</f>
        <v>7568</v>
      </c>
      <c r="F616" s="156">
        <f t="shared" si="88"/>
        <v>40.659999999999997</v>
      </c>
      <c r="G616" s="9"/>
      <c r="H616" s="44">
        <v>14</v>
      </c>
      <c r="I616" s="34" t="s">
        <v>18</v>
      </c>
      <c r="J616" s="35">
        <f>SUMIF($O$47:$O$73,I616,$BE$47:$BE$73)</f>
        <v>250</v>
      </c>
      <c r="K616" s="38">
        <f>SUMIF($O$47:$O$73,I616,$CV$47:$CV$73)</f>
        <v>264</v>
      </c>
      <c r="L616" s="156">
        <f t="shared" si="89"/>
        <v>5.6</v>
      </c>
    </row>
    <row r="617" spans="2:12" x14ac:dyDescent="0.2">
      <c r="B617" s="10">
        <v>15</v>
      </c>
      <c r="C617" s="34" t="s">
        <v>19</v>
      </c>
      <c r="D617" s="35">
        <f>SUMIF($O$8:$O$34,C617,$BE$8:$BE$34)</f>
        <v>9315</v>
      </c>
      <c r="E617" s="38">
        <f>SUMIF($O$8:$O$34,C617,$CV$8:$CV$34)</f>
        <v>6580</v>
      </c>
      <c r="F617" s="156">
        <f t="shared" si="88"/>
        <v>-29.36</v>
      </c>
      <c r="G617" s="9"/>
      <c r="H617" s="44">
        <v>15</v>
      </c>
      <c r="I617" s="34" t="s">
        <v>19</v>
      </c>
      <c r="J617" s="35">
        <f>SUMIF($O$47:$O$73,I617,$BE$47:$BE$73)</f>
        <v>360</v>
      </c>
      <c r="K617" s="38">
        <f>SUMIF($O$47:$O$73,I617,$CV$47:$CV$73)</f>
        <v>254</v>
      </c>
      <c r="L617" s="156">
        <f t="shared" si="89"/>
        <v>-29.44</v>
      </c>
    </row>
    <row r="618" spans="2:12" x14ac:dyDescent="0.2">
      <c r="B618" s="10">
        <v>16</v>
      </c>
      <c r="C618" s="34" t="s">
        <v>39</v>
      </c>
      <c r="D618" s="35">
        <f>SUMIF($O$8:$O$34,C618,$BE$8:$BE$34)</f>
        <v>9268</v>
      </c>
      <c r="E618" s="38">
        <f>SUMIF($O$8:$O$34,C618,$CV$8:$CV$34)</f>
        <v>6037</v>
      </c>
      <c r="F618" s="156">
        <f t="shared" si="88"/>
        <v>-34.86</v>
      </c>
      <c r="G618" s="9"/>
      <c r="H618" s="44">
        <v>16</v>
      </c>
      <c r="I618" s="34" t="s">
        <v>39</v>
      </c>
      <c r="J618" s="35">
        <f>SUMIF($O$47:$O$73,I618,$BE$47:$BE$73)</f>
        <v>232</v>
      </c>
      <c r="K618" s="38">
        <f>SUMIF($O$47:$O$73,I618,$CV$47:$CV$73)</f>
        <v>243</v>
      </c>
      <c r="L618" s="156">
        <f t="shared" si="89"/>
        <v>4.74</v>
      </c>
    </row>
    <row r="619" spans="2:12" x14ac:dyDescent="0.2">
      <c r="B619" s="10">
        <v>17</v>
      </c>
      <c r="C619" s="34" t="s">
        <v>25</v>
      </c>
      <c r="D619" s="35">
        <f>SUMIF($O$8:$O$34,C619,$BE$8:$BE$34)</f>
        <v>3828</v>
      </c>
      <c r="E619" s="38">
        <f>SUMIF($O$8:$O$34,C619,$CV$8:$CV$34)</f>
        <v>4696</v>
      </c>
      <c r="F619" s="156">
        <f>IF(E619=0,0,TRUNC(((E619/D619)-1)*100,2))</f>
        <v>22.67</v>
      </c>
      <c r="G619" s="9"/>
      <c r="H619" s="44">
        <v>17</v>
      </c>
      <c r="I619" s="34" t="s">
        <v>22</v>
      </c>
      <c r="J619" s="35">
        <f>SUMIF($O$47:$O$73,I619,$BE$47:$BE$73)</f>
        <v>217</v>
      </c>
      <c r="K619" s="38">
        <f>SUMIF($O$47:$O$73,I619,$CV$47:$CV$73)</f>
        <v>189</v>
      </c>
      <c r="L619" s="156">
        <f>IF(K619=0,0,TRUNC(((K619/J619)-1)*100,2))</f>
        <v>-12.9</v>
      </c>
    </row>
    <row r="620" spans="2:12" x14ac:dyDescent="0.2">
      <c r="B620" s="10">
        <v>18</v>
      </c>
      <c r="C620" s="34" t="s">
        <v>18</v>
      </c>
      <c r="D620" s="35">
        <f>SUMIF($O$8:$O$34,C620,$BE$8:$BE$34)</f>
        <v>4067</v>
      </c>
      <c r="E620" s="38">
        <f>SUMIF($O$8:$O$34,C620,$CV$8:$CV$34)</f>
        <v>4689</v>
      </c>
      <c r="F620" s="156">
        <f t="shared" ref="F620:F629" si="90">IF(E620=0,0,TRUNC(((E620/D620)-1)*100,2))</f>
        <v>15.29</v>
      </c>
      <c r="G620" s="9"/>
      <c r="H620" s="44">
        <v>18</v>
      </c>
      <c r="I620" s="34" t="s">
        <v>25</v>
      </c>
      <c r="J620" s="35">
        <f>SUMIF($O$47:$O$73,I620,$BE$47:$BE$73)</f>
        <v>132</v>
      </c>
      <c r="K620" s="38">
        <f>SUMIF($O$47:$O$73,I620,$CV$47:$CV$73)</f>
        <v>161</v>
      </c>
      <c r="L620" s="156">
        <f t="shared" ref="L620:L629" si="91">IF(K620=0,0,TRUNC(((K620/J620)-1)*100,2))</f>
        <v>21.96</v>
      </c>
    </row>
    <row r="621" spans="2:12" x14ac:dyDescent="0.2">
      <c r="B621" s="10">
        <v>19</v>
      </c>
      <c r="C621" s="34" t="s">
        <v>22</v>
      </c>
      <c r="D621" s="35">
        <f>SUMIF($O$8:$O$34,C621,$BE$8:$BE$34)</f>
        <v>4330</v>
      </c>
      <c r="E621" s="38">
        <f>SUMIF($O$8:$O$34,C621,$CV$8:$CV$34)</f>
        <v>3671</v>
      </c>
      <c r="F621" s="156">
        <f t="shared" si="90"/>
        <v>-15.21</v>
      </c>
      <c r="G621" s="9"/>
      <c r="H621" s="44">
        <v>19</v>
      </c>
      <c r="I621" s="34" t="s">
        <v>15</v>
      </c>
      <c r="J621" s="35">
        <f>SUMIF($O$47:$O$73,I621,$BE$47:$BE$73)</f>
        <v>155</v>
      </c>
      <c r="K621" s="38">
        <f>SUMIF($O$47:$O$73,I621,$CV$47:$CV$73)</f>
        <v>155</v>
      </c>
      <c r="L621" s="156">
        <f t="shared" si="91"/>
        <v>0</v>
      </c>
    </row>
    <row r="622" spans="2:12" x14ac:dyDescent="0.2">
      <c r="B622" s="10">
        <v>20</v>
      </c>
      <c r="C622" s="34" t="s">
        <v>15</v>
      </c>
      <c r="D622" s="35">
        <f>SUMIF($O$8:$O$34,C622,$BE$8:$BE$34)</f>
        <v>2542</v>
      </c>
      <c r="E622" s="38">
        <f>SUMIF($O$8:$O$34,C622,$CV$8:$CV$34)</f>
        <v>2542</v>
      </c>
      <c r="F622" s="156">
        <f t="shared" si="90"/>
        <v>0</v>
      </c>
      <c r="G622" s="9"/>
      <c r="H622" s="44">
        <v>20</v>
      </c>
      <c r="I622" s="34" t="s">
        <v>23</v>
      </c>
      <c r="J622" s="35">
        <f>SUMIF($O$47:$O$73,I622,$BE$47:$BE$73)</f>
        <v>141</v>
      </c>
      <c r="K622" s="38">
        <f>SUMIF($O$47:$O$73,I622,$CV$47:$CV$73)</f>
        <v>132</v>
      </c>
      <c r="L622" s="156">
        <f t="shared" si="91"/>
        <v>-6.38</v>
      </c>
    </row>
    <row r="623" spans="2:12" x14ac:dyDescent="0.2">
      <c r="B623" s="10">
        <v>21</v>
      </c>
      <c r="C623" s="34" t="s">
        <v>23</v>
      </c>
      <c r="D623" s="35">
        <f>SUMIF($O$8:$O$34,C623,$BE$8:$BE$34)</f>
        <v>3120</v>
      </c>
      <c r="E623" s="38">
        <f>SUMIF($O$8:$O$34,C623,$CV$8:$CV$34)</f>
        <v>2498</v>
      </c>
      <c r="F623" s="156">
        <f t="shared" si="90"/>
        <v>-19.93</v>
      </c>
      <c r="G623" s="9"/>
      <c r="H623" s="44">
        <v>21</v>
      </c>
      <c r="I623" s="34" t="s">
        <v>28</v>
      </c>
      <c r="J623" s="35">
        <f>SUMIF($O$47:$O$73,I623,$BE$47:$BE$73)</f>
        <v>72</v>
      </c>
      <c r="K623" s="38">
        <f>SUMIF($O$47:$O$73,I623,$CV$47:$CV$73)</f>
        <v>105</v>
      </c>
      <c r="L623" s="156">
        <f t="shared" si="91"/>
        <v>45.83</v>
      </c>
    </row>
    <row r="624" spans="2:12" x14ac:dyDescent="0.2">
      <c r="B624" s="10">
        <v>22</v>
      </c>
      <c r="C624" s="34" t="s">
        <v>38</v>
      </c>
      <c r="D624" s="35">
        <f>SUMIF($O$8:$O$34,C624,$BE$8:$BE$34)</f>
        <v>2420</v>
      </c>
      <c r="E624" s="38">
        <f>SUMIF($O$8:$O$34,C624,$CV$8:$CV$34)</f>
        <v>2465</v>
      </c>
      <c r="F624" s="156">
        <f t="shared" si="90"/>
        <v>1.85</v>
      </c>
      <c r="G624" s="9"/>
      <c r="H624" s="44">
        <v>22</v>
      </c>
      <c r="I624" s="34" t="s">
        <v>38</v>
      </c>
      <c r="J624" s="35">
        <f>SUMIF($O$47:$O$73,I624,$BE$47:$BE$73)</f>
        <v>70</v>
      </c>
      <c r="K624" s="38">
        <f>SUMIF($O$47:$O$73,I624,$CV$47:$CV$73)</f>
        <v>69</v>
      </c>
      <c r="L624" s="156">
        <f t="shared" si="91"/>
        <v>-1.42</v>
      </c>
    </row>
    <row r="625" spans="2:12" x14ac:dyDescent="0.2">
      <c r="B625" s="10">
        <v>23</v>
      </c>
      <c r="C625" s="34" t="s">
        <v>17</v>
      </c>
      <c r="D625" s="35">
        <f>SUMIF($O$8:$O$34,C625,$BE$8:$BE$34)</f>
        <v>249</v>
      </c>
      <c r="E625" s="38">
        <f>SUMIF($O$8:$O$34,C625,$CV$8:$CV$34)</f>
        <v>249</v>
      </c>
      <c r="F625" s="156">
        <f t="shared" si="90"/>
        <v>0</v>
      </c>
      <c r="G625" s="9"/>
      <c r="H625" s="44">
        <v>23</v>
      </c>
      <c r="I625" s="34" t="s">
        <v>17</v>
      </c>
      <c r="J625" s="35">
        <f>SUMIF($O$47:$O$73,I625,$BE$47:$BE$73)</f>
        <v>20</v>
      </c>
      <c r="K625" s="38">
        <f>SUMIF($O$47:$O$73,I625,$CV$47:$CV$73)</f>
        <v>20</v>
      </c>
      <c r="L625" s="156">
        <f t="shared" si="91"/>
        <v>0</v>
      </c>
    </row>
    <row r="626" spans="2:12" x14ac:dyDescent="0.2">
      <c r="B626" s="10">
        <v>24</v>
      </c>
      <c r="C626" s="34" t="s">
        <v>29</v>
      </c>
      <c r="D626" s="35">
        <f>SUMIF($O$8:$O$34,C626,$BE$8:$BE$34)</f>
        <v>1274</v>
      </c>
      <c r="E626" s="38">
        <f>SUMIF($O$8:$O$34,C626,$CV$8:$CV$34)</f>
        <v>110</v>
      </c>
      <c r="F626" s="156">
        <f t="shared" si="90"/>
        <v>-91.36</v>
      </c>
      <c r="G626" s="9"/>
      <c r="H626" s="44">
        <v>24</v>
      </c>
      <c r="I626" s="34" t="s">
        <v>29</v>
      </c>
      <c r="J626" s="35">
        <f>SUMIF($O$47:$O$73,I626,$BE$47:$BE$73)</f>
        <v>76</v>
      </c>
      <c r="K626" s="38">
        <f>SUMIF($O$47:$O$73,I626,$CV$47:$CV$73)</f>
        <v>7</v>
      </c>
      <c r="L626" s="156">
        <f t="shared" si="91"/>
        <v>-90.78</v>
      </c>
    </row>
    <row r="627" spans="2:12" x14ac:dyDescent="0.2">
      <c r="B627" s="10">
        <v>25</v>
      </c>
      <c r="C627" s="34" t="s">
        <v>21</v>
      </c>
      <c r="D627" s="35">
        <f>SUMIF($O$8:$O$34,C627,$BE$8:$BE$34)</f>
        <v>0</v>
      </c>
      <c r="E627" s="38">
        <f>SUMIF($O$8:$O$34,C627,$CV$8:$CV$34)</f>
        <v>0</v>
      </c>
      <c r="F627" s="156">
        <f t="shared" si="90"/>
        <v>0</v>
      </c>
      <c r="G627" s="9"/>
      <c r="H627" s="44">
        <v>25</v>
      </c>
      <c r="I627" s="34" t="s">
        <v>21</v>
      </c>
      <c r="J627" s="35">
        <f>SUMIF($O$47:$O$73,I627,$BE$47:$BE$73)</f>
        <v>0</v>
      </c>
      <c r="K627" s="38">
        <f>SUMIF($O$47:$O$73,I627,$CV$47:$CV$73)</f>
        <v>0</v>
      </c>
      <c r="L627" s="156">
        <f t="shared" si="91"/>
        <v>0</v>
      </c>
    </row>
    <row r="628" spans="2:12" x14ac:dyDescent="0.2">
      <c r="B628" s="10">
        <v>26</v>
      </c>
      <c r="C628" s="34" t="s">
        <v>16</v>
      </c>
      <c r="D628" s="35">
        <f>SUMIF($O$8:$O$34,C628,$BE$8:$BE$34)</f>
        <v>0</v>
      </c>
      <c r="E628" s="38">
        <f>SUMIF($O$8:$O$34,C628,$CV$8:$CV$34)</f>
        <v>0</v>
      </c>
      <c r="F628" s="156">
        <f t="shared" si="90"/>
        <v>0</v>
      </c>
      <c r="G628" s="9"/>
      <c r="H628" s="44">
        <v>26</v>
      </c>
      <c r="I628" s="34" t="s">
        <v>16</v>
      </c>
      <c r="J628" s="35">
        <f>SUMIF($O$47:$O$73,I628,$BE$47:$BE$73)</f>
        <v>0</v>
      </c>
      <c r="K628" s="38">
        <f>SUMIF($O$47:$O$73,I628,$CV$47:$CV$73)</f>
        <v>0</v>
      </c>
      <c r="L628" s="156">
        <f t="shared" si="91"/>
        <v>0</v>
      </c>
    </row>
    <row r="629" spans="2:12" x14ac:dyDescent="0.2">
      <c r="B629" s="10">
        <v>27</v>
      </c>
      <c r="C629" s="34" t="s">
        <v>20</v>
      </c>
      <c r="D629" s="35">
        <f>SUMIF($O$8:$O$34,C629,$BE$8:$BE$34)</f>
        <v>0</v>
      </c>
      <c r="E629" s="38">
        <f>SUMIF($O$8:$O$34,C629,$CV$8:$CV$34)</f>
        <v>0</v>
      </c>
      <c r="F629" s="156">
        <f t="shared" si="90"/>
        <v>0</v>
      </c>
      <c r="G629" s="9"/>
      <c r="H629" s="44">
        <v>27</v>
      </c>
      <c r="I629" s="34" t="s">
        <v>20</v>
      </c>
      <c r="J629" s="35">
        <f>SUMIF($O$47:$O$73,I629,$BE$47:$BE$73)</f>
        <v>0</v>
      </c>
      <c r="K629" s="38">
        <f>SUMIF($O$47:$O$73,I629,$CV$47:$CV$73)</f>
        <v>0</v>
      </c>
      <c r="L629" s="156">
        <f t="shared" si="91"/>
        <v>0</v>
      </c>
    </row>
    <row r="630" spans="2:12" x14ac:dyDescent="0.2">
      <c r="B630" s="10"/>
      <c r="C630" s="34" t="s">
        <v>9</v>
      </c>
      <c r="D630" s="39">
        <f>SUM(D603:D629)</f>
        <v>4187729</v>
      </c>
      <c r="E630" s="39">
        <f>SUM(E603:E629)</f>
        <v>3737925</v>
      </c>
      <c r="F630" s="40">
        <f t="shared" ref="F630:F631" si="92">TRUNC(((E630/D630)-1)*100,2)</f>
        <v>-10.74</v>
      </c>
      <c r="G630" s="9"/>
      <c r="H630" s="44"/>
      <c r="I630" s="34" t="s">
        <v>9</v>
      </c>
      <c r="J630" s="39">
        <f>SUM(J603:J629)</f>
        <v>63626</v>
      </c>
      <c r="K630" s="39">
        <f>SUM(K603:K629)</f>
        <v>58785</v>
      </c>
      <c r="L630" s="40">
        <f>TRUNC(((K630/J630)-1)*100,2)</f>
        <v>-7.6</v>
      </c>
    </row>
    <row r="631" spans="2:12" x14ac:dyDescent="0.2">
      <c r="B631" s="49"/>
      <c r="C631" s="55" t="s">
        <v>83</v>
      </c>
      <c r="D631" s="52">
        <f>SUM(BE8:BE34)</f>
        <v>4187729</v>
      </c>
      <c r="E631" s="52">
        <f>SUM(CV8:CV34)</f>
        <v>3737925</v>
      </c>
      <c r="F631" s="56">
        <f t="shared" si="92"/>
        <v>-10.74</v>
      </c>
      <c r="G631" s="1"/>
      <c r="H631" s="49"/>
      <c r="I631" s="55" t="s">
        <v>83</v>
      </c>
      <c r="J631" s="52">
        <f>SUM(BE47:BE73)</f>
        <v>63626</v>
      </c>
      <c r="K631" s="52">
        <f>SUM(CV47:CV73)</f>
        <v>58785</v>
      </c>
      <c r="L631" s="56">
        <f>TRUNC(((K631/J631)-1)*100,2)</f>
        <v>-7.6</v>
      </c>
    </row>
    <row r="636" spans="2:12" x14ac:dyDescent="0.2">
      <c r="B636" s="6" t="s">
        <v>88</v>
      </c>
      <c r="C636" s="242" t="s">
        <v>41</v>
      </c>
      <c r="D636" s="243"/>
      <c r="E636" s="244"/>
      <c r="F636" s="9"/>
      <c r="G636" s="9"/>
      <c r="H636" s="6" t="s">
        <v>88</v>
      </c>
      <c r="I636" s="239" t="s">
        <v>5</v>
      </c>
      <c r="J636" s="240"/>
      <c r="K636" s="241"/>
      <c r="L636" s="6" t="s">
        <v>89</v>
      </c>
    </row>
    <row r="637" spans="2:12" x14ac:dyDescent="0.2">
      <c r="B637" s="6" t="s">
        <v>4</v>
      </c>
      <c r="C637" s="260" t="s">
        <v>101</v>
      </c>
      <c r="D637" s="261"/>
      <c r="E637" s="262"/>
      <c r="F637" s="9"/>
      <c r="G637" s="9"/>
      <c r="H637" s="6" t="s">
        <v>4</v>
      </c>
      <c r="I637" s="263" t="str">
        <f>C637</f>
        <v>Produto: Trigo</v>
      </c>
      <c r="J637" s="264"/>
      <c r="K637" s="265"/>
      <c r="L637" s="6" t="s">
        <v>90</v>
      </c>
    </row>
    <row r="638" spans="2:12" x14ac:dyDescent="0.2">
      <c r="B638" s="128">
        <f>SUMIF(C640:C666,"Goiás",B640:B666)</f>
        <v>6</v>
      </c>
      <c r="C638" s="237" t="s">
        <v>14</v>
      </c>
      <c r="D638" s="237" t="str">
        <f>D601</f>
        <v>Safra 2015 (dezembro)</v>
      </c>
      <c r="E638" s="245" t="str">
        <f>E601</f>
        <v>Safra 2016 (dezembro)</v>
      </c>
      <c r="F638" s="5">
        <f>COUNTIF(E640:E666,"&gt;0")</f>
        <v>9</v>
      </c>
      <c r="G638" s="9"/>
      <c r="H638" s="128">
        <f>SUMIF(I640:I666,"Goiás",H640:H666)</f>
        <v>7</v>
      </c>
      <c r="I638" s="237" t="s">
        <v>14</v>
      </c>
      <c r="J638" s="237" t="str">
        <f>D638</f>
        <v>Safra 2015 (dezembro)</v>
      </c>
      <c r="K638" s="245" t="str">
        <f>E638</f>
        <v>Safra 2016 (dezembro)</v>
      </c>
      <c r="L638" s="129">
        <f>COUNTIF(K640:K666,"&gt;0")</f>
        <v>9</v>
      </c>
    </row>
    <row r="639" spans="2:12" x14ac:dyDescent="0.2">
      <c r="B639" s="6" t="s">
        <v>67</v>
      </c>
      <c r="C639" s="238"/>
      <c r="D639" s="238"/>
      <c r="E639" s="246"/>
      <c r="F639" s="37" t="s">
        <v>66</v>
      </c>
      <c r="G639" s="9"/>
      <c r="H639" s="37" t="s">
        <v>67</v>
      </c>
      <c r="I639" s="238"/>
      <c r="J639" s="238"/>
      <c r="K639" s="246"/>
      <c r="L639" s="37" t="s">
        <v>66</v>
      </c>
    </row>
    <row r="640" spans="2:12" x14ac:dyDescent="0.2">
      <c r="B640" s="10">
        <v>1</v>
      </c>
      <c r="C640" s="34" t="s">
        <v>35</v>
      </c>
      <c r="D640" s="35">
        <f>SUMIF($O$8:$O$34,C640,$AG$8:$AG$34)</f>
        <v>3330589</v>
      </c>
      <c r="E640" s="38">
        <f>SUMIF($O$8:$O$34,C640,$BX$8:$BX$34)</f>
        <v>3383850</v>
      </c>
      <c r="F640" s="156">
        <f t="shared" ref="F640:F655" si="93">IF(E640=0,0,TRUNC(((E640/D640)-1)*100,2))</f>
        <v>1.59</v>
      </c>
      <c r="G640" s="9"/>
      <c r="H640" s="44">
        <v>1</v>
      </c>
      <c r="I640" s="34" t="s">
        <v>35</v>
      </c>
      <c r="J640" s="35">
        <f>SUMIF($O$47:$O$73,I640,$AG$47:$AG$73)</f>
        <v>1320984</v>
      </c>
      <c r="K640" s="38">
        <f>SUMIF($O$47:$O$73,I640,$BX$47:$BX$73)</f>
        <v>1084294</v>
      </c>
      <c r="L640" s="156">
        <f t="shared" ref="L640:L655" si="94">IF(K640=0,0,TRUNC(((K640/J640)-1)*100,2))</f>
        <v>-17.91</v>
      </c>
    </row>
    <row r="641" spans="2:12" x14ac:dyDescent="0.2">
      <c r="B641" s="10">
        <v>2</v>
      </c>
      <c r="C641" s="34" t="s">
        <v>37</v>
      </c>
      <c r="D641" s="35">
        <f>SUMIF($O$8:$O$34,C641,$AG$8:$AG$34)</f>
        <v>1391829</v>
      </c>
      <c r="E641" s="38">
        <f>SUMIF($O$8:$O$34,C641,$BX$8:$BX$34)</f>
        <v>2540381</v>
      </c>
      <c r="F641" s="156">
        <f t="shared" si="93"/>
        <v>82.52</v>
      </c>
      <c r="G641" s="9"/>
      <c r="H641" s="44">
        <v>2</v>
      </c>
      <c r="I641" s="34" t="s">
        <v>37</v>
      </c>
      <c r="J641" s="35">
        <f>SUMIF($O$47:$O$73,I641,$AG$47:$AG$73)</f>
        <v>882566</v>
      </c>
      <c r="K641" s="38">
        <f>SUMIF($O$47:$O$73,I641,$BX$47:$BX$73)</f>
        <v>778235</v>
      </c>
      <c r="L641" s="156">
        <f t="shared" si="94"/>
        <v>-11.82</v>
      </c>
    </row>
    <row r="642" spans="2:12" x14ac:dyDescent="0.2">
      <c r="B642" s="10">
        <v>3</v>
      </c>
      <c r="C642" s="34" t="s">
        <v>34</v>
      </c>
      <c r="D642" s="35">
        <f>SUMIF($O$8:$O$34,C642,$AG$8:$AG$34)</f>
        <v>320755</v>
      </c>
      <c r="E642" s="38">
        <f>SUMIF($O$8:$O$34,C642,$BX$8:$BX$34)</f>
        <v>240300</v>
      </c>
      <c r="F642" s="156">
        <f t="shared" si="93"/>
        <v>-25.08</v>
      </c>
      <c r="G642" s="9"/>
      <c r="H642" s="44">
        <v>3</v>
      </c>
      <c r="I642" s="34" t="s">
        <v>31</v>
      </c>
      <c r="J642" s="35">
        <f>SUMIF($O$47:$O$73,I642,$AG$47:$AG$73)</f>
        <v>82109</v>
      </c>
      <c r="K642" s="38">
        <f>SUMIF($O$47:$O$73,I642,$BX$47:$BX$73)</f>
        <v>81769</v>
      </c>
      <c r="L642" s="156">
        <f t="shared" si="94"/>
        <v>-0.41</v>
      </c>
    </row>
    <row r="643" spans="2:12" x14ac:dyDescent="0.2">
      <c r="B643" s="10">
        <v>4</v>
      </c>
      <c r="C643" s="34" t="s">
        <v>31</v>
      </c>
      <c r="D643" s="35">
        <f>SUMIF($O$8:$O$34,C643,$AG$8:$AG$34)</f>
        <v>245214</v>
      </c>
      <c r="E643" s="38">
        <f>SUMIF($O$8:$O$34,C643,$BX$8:$BX$34)</f>
        <v>219436</v>
      </c>
      <c r="F643" s="156">
        <f t="shared" si="93"/>
        <v>-10.51</v>
      </c>
      <c r="G643" s="9"/>
      <c r="H643" s="44">
        <v>4</v>
      </c>
      <c r="I643" s="34" t="s">
        <v>34</v>
      </c>
      <c r="J643" s="35">
        <f>SUMIF($O$47:$O$73,I643,$AG$47:$AG$73)</f>
        <v>101357</v>
      </c>
      <c r="K643" s="38">
        <f>SUMIF($O$47:$O$73,I643,$BX$47:$BX$73)</f>
        <v>76800</v>
      </c>
      <c r="L643" s="156">
        <f t="shared" si="94"/>
        <v>-24.22</v>
      </c>
    </row>
    <row r="644" spans="2:12" x14ac:dyDescent="0.2">
      <c r="B644" s="10">
        <v>5</v>
      </c>
      <c r="C644" s="34" t="s">
        <v>36</v>
      </c>
      <c r="D644" s="35">
        <f>SUMIF($O$8:$O$34,C644,$AG$8:$AG$34)</f>
        <v>131518</v>
      </c>
      <c r="E644" s="38">
        <f>SUMIF($O$8:$O$34,C644,$BX$8:$BX$34)</f>
        <v>216977</v>
      </c>
      <c r="F644" s="156">
        <f t="shared" si="93"/>
        <v>64.97</v>
      </c>
      <c r="G644" s="9"/>
      <c r="H644" s="44">
        <v>5</v>
      </c>
      <c r="I644" s="34" t="s">
        <v>36</v>
      </c>
      <c r="J644" s="35">
        <f>SUMIF($O$47:$O$73,I644,$AG$47:$AG$73)</f>
        <v>74520</v>
      </c>
      <c r="K644" s="38">
        <f>SUMIF($O$47:$O$73,I644,$BX$47:$BX$73)</f>
        <v>64707</v>
      </c>
      <c r="L644" s="156">
        <f t="shared" si="94"/>
        <v>-13.16</v>
      </c>
    </row>
    <row r="645" spans="2:12" x14ac:dyDescent="0.2">
      <c r="B645" s="10">
        <v>6</v>
      </c>
      <c r="C645" s="34" t="s">
        <v>4</v>
      </c>
      <c r="D645" s="35">
        <f>SUMIF($O$8:$O$34,C645,$AG$8:$AG$34)</f>
        <v>43857</v>
      </c>
      <c r="E645" s="38">
        <f>SUMIF($O$8:$O$34,C645,$BX$8:$BX$34)</f>
        <v>65461</v>
      </c>
      <c r="F645" s="156">
        <f t="shared" si="93"/>
        <v>49.26</v>
      </c>
      <c r="G645" s="9"/>
      <c r="H645" s="44">
        <v>6</v>
      </c>
      <c r="I645" s="34" t="s">
        <v>38</v>
      </c>
      <c r="J645" s="35">
        <f>SUMIF($O$47:$O$73,I645,$AG$47:$AG$73)</f>
        <v>17289</v>
      </c>
      <c r="K645" s="38">
        <f>SUMIF($O$47:$O$73,I645,$BX$47:$BX$73)</f>
        <v>20855</v>
      </c>
      <c r="L645" s="156">
        <f t="shared" si="94"/>
        <v>20.62</v>
      </c>
    </row>
    <row r="646" spans="2:12" x14ac:dyDescent="0.2">
      <c r="B646" s="10">
        <v>7</v>
      </c>
      <c r="C646" s="34" t="s">
        <v>38</v>
      </c>
      <c r="D646" s="35">
        <f>SUMIF($O$8:$O$34,C646,$AG$8:$AG$34)</f>
        <v>31769</v>
      </c>
      <c r="E646" s="38">
        <f>SUMIF($O$8:$O$34,C646,$BX$8:$BX$34)</f>
        <v>47720</v>
      </c>
      <c r="F646" s="156">
        <f t="shared" si="93"/>
        <v>50.2</v>
      </c>
      <c r="G646" s="9"/>
      <c r="H646" s="44">
        <v>7</v>
      </c>
      <c r="I646" s="34" t="s">
        <v>4</v>
      </c>
      <c r="J646" s="35">
        <f>SUMIF($O$47:$O$73,I646,$AG$47:$AG$73)</f>
        <v>9190</v>
      </c>
      <c r="K646" s="38">
        <f>SUMIF($O$47:$O$73,I646,$BX$47:$BX$73)</f>
        <v>12775</v>
      </c>
      <c r="L646" s="156">
        <f t="shared" si="94"/>
        <v>39</v>
      </c>
    </row>
    <row r="647" spans="2:12" x14ac:dyDescent="0.2">
      <c r="B647" s="10">
        <v>8</v>
      </c>
      <c r="C647" s="34" t="s">
        <v>30</v>
      </c>
      <c r="D647" s="35">
        <f>SUMIF($O$8:$O$34,C647,$AG$8:$AG$34)</f>
        <v>3000</v>
      </c>
      <c r="E647" s="38">
        <f>SUMIF($O$8:$O$34,C647,$BX$8:$BX$34)</f>
        <v>3000</v>
      </c>
      <c r="F647" s="156">
        <f t="shared" si="93"/>
        <v>0</v>
      </c>
      <c r="G647" s="9"/>
      <c r="H647" s="44">
        <v>8</v>
      </c>
      <c r="I647" s="34" t="s">
        <v>30</v>
      </c>
      <c r="J647" s="35">
        <f>SUMIF($O$47:$O$73,I647,$AG$47:$AG$73)</f>
        <v>500</v>
      </c>
      <c r="K647" s="38">
        <f>SUMIF($O$47:$O$73,I647,$BX$47:$BX$73)</f>
        <v>500</v>
      </c>
      <c r="L647" s="156">
        <f t="shared" si="94"/>
        <v>0</v>
      </c>
    </row>
    <row r="648" spans="2:12" x14ac:dyDescent="0.2">
      <c r="B648" s="10">
        <v>9</v>
      </c>
      <c r="C648" s="34" t="s">
        <v>40</v>
      </c>
      <c r="D648" s="35">
        <f>SUMIF($O$8:$O$34,C648,$AG$8:$AG$34)</f>
        <v>9920</v>
      </c>
      <c r="E648" s="38">
        <f>SUMIF($O$8:$O$34,C648,$BX$8:$BX$34)</f>
        <v>2394</v>
      </c>
      <c r="F648" s="156">
        <f t="shared" si="93"/>
        <v>-75.86</v>
      </c>
      <c r="G648" s="9"/>
      <c r="H648" s="44">
        <v>9</v>
      </c>
      <c r="I648" s="34" t="s">
        <v>40</v>
      </c>
      <c r="J648" s="35">
        <f>SUMIF($O$47:$O$73,I648,$AG$47:$AG$73)</f>
        <v>1600</v>
      </c>
      <c r="K648" s="38">
        <f>SUMIF($O$47:$O$73,I648,$BX$47:$BX$73)</f>
        <v>420</v>
      </c>
      <c r="L648" s="156">
        <f t="shared" si="94"/>
        <v>-73.75</v>
      </c>
    </row>
    <row r="649" spans="2:12" x14ac:dyDescent="0.2">
      <c r="B649" s="10">
        <v>10</v>
      </c>
      <c r="C649" s="34" t="s">
        <v>39</v>
      </c>
      <c r="D649" s="35">
        <f>SUMIF($O$8:$O$34,C649,$AG$8:$AG$34)</f>
        <v>0</v>
      </c>
      <c r="E649" s="38">
        <f>SUMIF($O$8:$O$34,C649,$BX$8:$BX$34)</f>
        <v>0</v>
      </c>
      <c r="F649" s="156">
        <f t="shared" si="93"/>
        <v>0</v>
      </c>
      <c r="G649" s="9"/>
      <c r="H649" s="44">
        <v>10</v>
      </c>
      <c r="I649" s="34" t="s">
        <v>39</v>
      </c>
      <c r="J649" s="35">
        <f>SUMIF($O$47:$O$73,I649,$AG$47:$AG$73)</f>
        <v>0</v>
      </c>
      <c r="K649" s="38">
        <f>SUMIF($O$47:$O$73,I649,$BX$47:$BX$73)</f>
        <v>0</v>
      </c>
      <c r="L649" s="156">
        <f t="shared" si="94"/>
        <v>0</v>
      </c>
    </row>
    <row r="650" spans="2:12" x14ac:dyDescent="0.2">
      <c r="B650" s="10">
        <v>11</v>
      </c>
      <c r="C650" s="34" t="s">
        <v>21</v>
      </c>
      <c r="D650" s="35">
        <f>SUMIF($O$8:$O$34,C650,$AG$8:$AG$34)</f>
        <v>0</v>
      </c>
      <c r="E650" s="38">
        <f>SUMIF($O$8:$O$34,C650,$BX$8:$BX$34)</f>
        <v>0</v>
      </c>
      <c r="F650" s="156">
        <f t="shared" si="93"/>
        <v>0</v>
      </c>
      <c r="G650" s="51"/>
      <c r="H650" s="44">
        <v>11</v>
      </c>
      <c r="I650" s="34" t="s">
        <v>21</v>
      </c>
      <c r="J650" s="35">
        <f>SUMIF($O$47:$O$73,I650,$AG$47:$AG$73)</f>
        <v>0</v>
      </c>
      <c r="K650" s="38">
        <f>SUMIF($O$47:$O$73,I650,$BX$47:$BX$73)</f>
        <v>0</v>
      </c>
      <c r="L650" s="156">
        <f t="shared" si="94"/>
        <v>0</v>
      </c>
    </row>
    <row r="651" spans="2:12" x14ac:dyDescent="0.2">
      <c r="B651" s="10">
        <v>12</v>
      </c>
      <c r="C651" s="34" t="s">
        <v>25</v>
      </c>
      <c r="D651" s="35">
        <f>SUMIF($O$8:$O$34,C651,$AG$8:$AG$34)</f>
        <v>0</v>
      </c>
      <c r="E651" s="38">
        <f>SUMIF($O$8:$O$34,C651,$BX$8:$BX$34)</f>
        <v>0</v>
      </c>
      <c r="F651" s="156">
        <f t="shared" si="93"/>
        <v>0</v>
      </c>
      <c r="G651" s="9"/>
      <c r="H651" s="44">
        <v>12</v>
      </c>
      <c r="I651" s="34" t="s">
        <v>25</v>
      </c>
      <c r="J651" s="35">
        <f>SUMIF($O$47:$O$73,I651,$AG$47:$AG$73)</f>
        <v>0</v>
      </c>
      <c r="K651" s="38">
        <f>SUMIF($O$47:$O$73,I651,$BX$47:$BX$73)</f>
        <v>0</v>
      </c>
      <c r="L651" s="156">
        <f t="shared" si="94"/>
        <v>0</v>
      </c>
    </row>
    <row r="652" spans="2:12" x14ac:dyDescent="0.2">
      <c r="B652" s="10">
        <v>13</v>
      </c>
      <c r="C652" s="34" t="s">
        <v>27</v>
      </c>
      <c r="D652" s="35">
        <f>SUMIF($O$8:$O$34,C652,$AG$8:$AG$34)</f>
        <v>0</v>
      </c>
      <c r="E652" s="38">
        <f>SUMIF($O$8:$O$34,C652,$BX$8:$BX$34)</f>
        <v>0</v>
      </c>
      <c r="F652" s="156">
        <f t="shared" si="93"/>
        <v>0</v>
      </c>
      <c r="G652" s="9"/>
      <c r="H652" s="44">
        <v>13</v>
      </c>
      <c r="I652" s="34" t="s">
        <v>27</v>
      </c>
      <c r="J652" s="35">
        <f>SUMIF($O$47:$O$73,I652,$AG$47:$AG$73)</f>
        <v>0</v>
      </c>
      <c r="K652" s="38">
        <f>SUMIF($O$47:$O$73,I652,$BX$47:$BX$73)</f>
        <v>0</v>
      </c>
      <c r="L652" s="156">
        <f t="shared" si="94"/>
        <v>0</v>
      </c>
    </row>
    <row r="653" spans="2:12" x14ac:dyDescent="0.2">
      <c r="B653" s="10">
        <v>14</v>
      </c>
      <c r="C653" s="34" t="s">
        <v>24</v>
      </c>
      <c r="D653" s="35">
        <f>SUMIF($O$8:$O$34,C653,$AG$8:$AG$34)</f>
        <v>0</v>
      </c>
      <c r="E653" s="38">
        <f>SUMIF($O$8:$O$34,C653,$BX$8:$BX$34)</f>
        <v>0</v>
      </c>
      <c r="F653" s="156">
        <f t="shared" si="93"/>
        <v>0</v>
      </c>
      <c r="G653" s="9"/>
      <c r="H653" s="44">
        <v>14</v>
      </c>
      <c r="I653" s="34" t="s">
        <v>24</v>
      </c>
      <c r="J653" s="35">
        <f>SUMIF($O$47:$O$73,I653,$AG$47:$AG$73)</f>
        <v>0</v>
      </c>
      <c r="K653" s="38">
        <f>SUMIF($O$47:$O$73,I653,$BX$47:$BX$73)</f>
        <v>0</v>
      </c>
      <c r="L653" s="156">
        <f t="shared" si="94"/>
        <v>0</v>
      </c>
    </row>
    <row r="654" spans="2:12" x14ac:dyDescent="0.2">
      <c r="B654" s="10">
        <v>15</v>
      </c>
      <c r="C654" s="34" t="s">
        <v>22</v>
      </c>
      <c r="D654" s="35">
        <f>SUMIF($O$8:$O$34,C654,$AG$8:$AG$34)</f>
        <v>0</v>
      </c>
      <c r="E654" s="38">
        <f>SUMIF($O$8:$O$34,C654,$BX$8:$BX$34)</f>
        <v>0</v>
      </c>
      <c r="F654" s="156">
        <f t="shared" si="93"/>
        <v>0</v>
      </c>
      <c r="G654" s="9"/>
      <c r="H654" s="44">
        <v>15</v>
      </c>
      <c r="I654" s="34" t="s">
        <v>22</v>
      </c>
      <c r="J654" s="35">
        <f>SUMIF($O$47:$O$73,I654,$AG$47:$AG$73)</f>
        <v>0</v>
      </c>
      <c r="K654" s="38">
        <f>SUMIF($O$47:$O$73,I654,$BX$47:$BX$73)</f>
        <v>0</v>
      </c>
      <c r="L654" s="156">
        <f t="shared" si="94"/>
        <v>0</v>
      </c>
    </row>
    <row r="655" spans="2:12" x14ac:dyDescent="0.2">
      <c r="B655" s="10">
        <v>16</v>
      </c>
      <c r="C655" s="34" t="s">
        <v>23</v>
      </c>
      <c r="D655" s="35">
        <f>SUMIF($O$8:$O$34,C655,$AG$8:$AG$34)</f>
        <v>0</v>
      </c>
      <c r="E655" s="38">
        <f>SUMIF($O$8:$O$34,C655,$BX$8:$BX$34)</f>
        <v>0</v>
      </c>
      <c r="F655" s="156">
        <f t="shared" si="93"/>
        <v>0</v>
      </c>
      <c r="G655" s="9"/>
      <c r="H655" s="44">
        <v>16</v>
      </c>
      <c r="I655" s="34" t="s">
        <v>23</v>
      </c>
      <c r="J655" s="35">
        <f>SUMIF($O$47:$O$73,I655,$AG$47:$AG$73)</f>
        <v>0</v>
      </c>
      <c r="K655" s="38">
        <f>SUMIF($O$47:$O$73,I655,$BX$47:$BX$73)</f>
        <v>0</v>
      </c>
      <c r="L655" s="156">
        <f t="shared" si="94"/>
        <v>0</v>
      </c>
    </row>
    <row r="656" spans="2:12" x14ac:dyDescent="0.2">
      <c r="B656" s="10">
        <v>17</v>
      </c>
      <c r="C656" s="34" t="s">
        <v>19</v>
      </c>
      <c r="D656" s="35">
        <f>SUMIF($O$8:$O$34,C656,$AG$8:$AG$34)</f>
        <v>0</v>
      </c>
      <c r="E656" s="38">
        <f>SUMIF($O$8:$O$34,C656,$BX$8:$BX$34)</f>
        <v>0</v>
      </c>
      <c r="F656" s="156">
        <f>IF(E656=0,0,TRUNC(((E656/D656)-1)*100,2))</f>
        <v>0</v>
      </c>
      <c r="G656" s="9"/>
      <c r="H656" s="44">
        <v>17</v>
      </c>
      <c r="I656" s="34" t="s">
        <v>19</v>
      </c>
      <c r="J656" s="35">
        <f>SUMIF($O$47:$O$73,I656,$AG$47:$AG$73)</f>
        <v>0</v>
      </c>
      <c r="K656" s="38">
        <f>SUMIF($O$47:$O$73,I656,$BX$47:$BX$73)</f>
        <v>0</v>
      </c>
      <c r="L656" s="156">
        <f>IF(K656=0,0,TRUNC(((K656/J656)-1)*100,2))</f>
        <v>0</v>
      </c>
    </row>
    <row r="657" spans="2:12" x14ac:dyDescent="0.2">
      <c r="B657" s="10">
        <v>18</v>
      </c>
      <c r="C657" s="34" t="s">
        <v>15</v>
      </c>
      <c r="D657" s="35">
        <f>SUMIF($O$8:$O$34,C657,$AG$8:$AG$34)</f>
        <v>0</v>
      </c>
      <c r="E657" s="38">
        <f>SUMIF($O$8:$O$34,C657,$BX$8:$BX$34)</f>
        <v>0</v>
      </c>
      <c r="F657" s="156">
        <f t="shared" ref="F657:F666" si="95">IF(E657=0,0,TRUNC(((E657/D657)-1)*100,2))</f>
        <v>0</v>
      </c>
      <c r="G657" s="9"/>
      <c r="H657" s="44">
        <v>18</v>
      </c>
      <c r="I657" s="34" t="s">
        <v>15</v>
      </c>
      <c r="J657" s="35">
        <f>SUMIF($O$47:$O$73,I657,$AG$47:$AG$73)</f>
        <v>0</v>
      </c>
      <c r="K657" s="38">
        <f>SUMIF($O$47:$O$73,I657,$BX$47:$BX$73)</f>
        <v>0</v>
      </c>
      <c r="L657" s="156">
        <f t="shared" ref="L657:L666" si="96">IF(K657=0,0,TRUNC(((K657/J657)-1)*100,2))</f>
        <v>0</v>
      </c>
    </row>
    <row r="658" spans="2:12" x14ac:dyDescent="0.2">
      <c r="B658" s="10">
        <v>19</v>
      </c>
      <c r="C658" s="34" t="s">
        <v>29</v>
      </c>
      <c r="D658" s="35">
        <f>SUMIF($O$8:$O$34,C658,$AG$8:$AG$34)</f>
        <v>0</v>
      </c>
      <c r="E658" s="38">
        <f>SUMIF($O$8:$O$34,C658,$BX$8:$BX$34)</f>
        <v>0</v>
      </c>
      <c r="F658" s="156">
        <f t="shared" si="95"/>
        <v>0</v>
      </c>
      <c r="G658" s="9"/>
      <c r="H658" s="44">
        <v>19</v>
      </c>
      <c r="I658" s="34" t="s">
        <v>29</v>
      </c>
      <c r="J658" s="35">
        <f>SUMIF($O$47:$O$73,I658,$AG$47:$AG$73)</f>
        <v>0</v>
      </c>
      <c r="K658" s="38">
        <f>SUMIF($O$47:$O$73,I658,$BX$47:$BX$73)</f>
        <v>0</v>
      </c>
      <c r="L658" s="156">
        <f t="shared" si="96"/>
        <v>0</v>
      </c>
    </row>
    <row r="659" spans="2:12" x14ac:dyDescent="0.2">
      <c r="B659" s="10">
        <v>20</v>
      </c>
      <c r="C659" s="34" t="s">
        <v>16</v>
      </c>
      <c r="D659" s="35">
        <f>SUMIF($O$8:$O$34,C659,$AG$8:$AG$34)</f>
        <v>0</v>
      </c>
      <c r="E659" s="38">
        <f>SUMIF($O$8:$O$34,C659,$BX$8:$BX$34)</f>
        <v>0</v>
      </c>
      <c r="F659" s="156">
        <f t="shared" si="95"/>
        <v>0</v>
      </c>
      <c r="G659" s="9"/>
      <c r="H659" s="44">
        <v>20</v>
      </c>
      <c r="I659" s="34" t="s">
        <v>16</v>
      </c>
      <c r="J659" s="35">
        <f>SUMIF($O$47:$O$73,I659,$AG$47:$AG$73)</f>
        <v>0</v>
      </c>
      <c r="K659" s="38">
        <f>SUMIF($O$47:$O$73,I659,$BX$47:$BX$73)</f>
        <v>0</v>
      </c>
      <c r="L659" s="156">
        <f t="shared" si="96"/>
        <v>0</v>
      </c>
    </row>
    <row r="660" spans="2:12" x14ac:dyDescent="0.2">
      <c r="B660" s="10">
        <v>21</v>
      </c>
      <c r="C660" s="34" t="s">
        <v>18</v>
      </c>
      <c r="D660" s="35">
        <f>SUMIF($O$8:$O$34,C660,$AG$8:$AG$34)</f>
        <v>0</v>
      </c>
      <c r="E660" s="38">
        <f>SUMIF($O$8:$O$34,C660,$BX$8:$BX$34)</f>
        <v>0</v>
      </c>
      <c r="F660" s="156">
        <f t="shared" si="95"/>
        <v>0</v>
      </c>
      <c r="G660" s="9"/>
      <c r="H660" s="44">
        <v>21</v>
      </c>
      <c r="I660" s="34" t="s">
        <v>18</v>
      </c>
      <c r="J660" s="35">
        <f>SUMIF($O$47:$O$73,I660,$AG$47:$AG$73)</f>
        <v>0</v>
      </c>
      <c r="K660" s="38">
        <f>SUMIF($O$47:$O$73,I660,$BX$47:$BX$73)</f>
        <v>0</v>
      </c>
      <c r="L660" s="156">
        <f t="shared" si="96"/>
        <v>0</v>
      </c>
    </row>
    <row r="661" spans="2:12" x14ac:dyDescent="0.2">
      <c r="B661" s="10">
        <v>22</v>
      </c>
      <c r="C661" s="34" t="s">
        <v>26</v>
      </c>
      <c r="D661" s="35">
        <f>SUMIF($O$8:$O$34,C661,$AG$8:$AG$34)</f>
        <v>0</v>
      </c>
      <c r="E661" s="38">
        <f>SUMIF($O$8:$O$34,C661,$BX$8:$BX$34)</f>
        <v>0</v>
      </c>
      <c r="F661" s="156">
        <f t="shared" si="95"/>
        <v>0</v>
      </c>
      <c r="G661" s="9"/>
      <c r="H661" s="44">
        <v>22</v>
      </c>
      <c r="I661" s="34" t="s">
        <v>26</v>
      </c>
      <c r="J661" s="35">
        <f>SUMIF($O$47:$O$73,I661,$AG$47:$AG$73)</f>
        <v>0</v>
      </c>
      <c r="K661" s="38">
        <f>SUMIF($O$47:$O$73,I661,$BX$47:$BX$73)</f>
        <v>0</v>
      </c>
      <c r="L661" s="156">
        <f t="shared" si="96"/>
        <v>0</v>
      </c>
    </row>
    <row r="662" spans="2:12" x14ac:dyDescent="0.2">
      <c r="B662" s="10">
        <v>23</v>
      </c>
      <c r="C662" s="34" t="s">
        <v>32</v>
      </c>
      <c r="D662" s="35">
        <f>SUMIF($O$8:$O$34,C662,$AG$8:$AG$34)</f>
        <v>0</v>
      </c>
      <c r="E662" s="38">
        <f>SUMIF($O$8:$O$34,C662,$BX$8:$BX$34)</f>
        <v>0</v>
      </c>
      <c r="F662" s="156">
        <f t="shared" si="95"/>
        <v>0</v>
      </c>
      <c r="G662" s="9"/>
      <c r="H662" s="44">
        <v>23</v>
      </c>
      <c r="I662" s="34" t="s">
        <v>32</v>
      </c>
      <c r="J662" s="35">
        <f>SUMIF($O$47:$O$73,I662,$AG$47:$AG$73)</f>
        <v>0</v>
      </c>
      <c r="K662" s="38">
        <f>SUMIF($O$47:$O$73,I662,$BX$47:$BX$73)</f>
        <v>0</v>
      </c>
      <c r="L662" s="156">
        <f t="shared" si="96"/>
        <v>0</v>
      </c>
    </row>
    <row r="663" spans="2:12" x14ac:dyDescent="0.2">
      <c r="B663" s="10">
        <v>24</v>
      </c>
      <c r="C663" s="34" t="s">
        <v>17</v>
      </c>
      <c r="D663" s="35">
        <f>SUMIF($O$8:$O$34,C663,$AG$8:$AG$34)</f>
        <v>0</v>
      </c>
      <c r="E663" s="38">
        <f>SUMIF($O$8:$O$34,C663,$BX$8:$BX$34)</f>
        <v>0</v>
      </c>
      <c r="F663" s="156">
        <f t="shared" si="95"/>
        <v>0</v>
      </c>
      <c r="G663" s="9"/>
      <c r="H663" s="44">
        <v>24</v>
      </c>
      <c r="I663" s="34" t="s">
        <v>17</v>
      </c>
      <c r="J663" s="35">
        <f>SUMIF($O$47:$O$73,I663,$AG$47:$AG$73)</f>
        <v>0</v>
      </c>
      <c r="K663" s="38">
        <f>SUMIF($O$47:$O$73,I663,$BX$47:$BX$73)</f>
        <v>0</v>
      </c>
      <c r="L663" s="156">
        <f t="shared" si="96"/>
        <v>0</v>
      </c>
    </row>
    <row r="664" spans="2:12" x14ac:dyDescent="0.2">
      <c r="B664" s="10">
        <v>25</v>
      </c>
      <c r="C664" s="34" t="s">
        <v>28</v>
      </c>
      <c r="D664" s="35">
        <f>SUMIF($O$8:$O$34,C664,$AG$8:$AG$34)</f>
        <v>0</v>
      </c>
      <c r="E664" s="38">
        <f>SUMIF($O$8:$O$34,C664,$BX$8:$BX$34)</f>
        <v>0</v>
      </c>
      <c r="F664" s="156">
        <f t="shared" si="95"/>
        <v>0</v>
      </c>
      <c r="G664" s="9"/>
      <c r="H664" s="44">
        <v>25</v>
      </c>
      <c r="I664" s="34" t="s">
        <v>28</v>
      </c>
      <c r="J664" s="35">
        <f>SUMIF($O$47:$O$73,I664,$AG$47:$AG$73)</f>
        <v>0</v>
      </c>
      <c r="K664" s="38">
        <f>SUMIF($O$47:$O$73,I664,$BX$47:$BX$73)</f>
        <v>0</v>
      </c>
      <c r="L664" s="156">
        <f t="shared" si="96"/>
        <v>0</v>
      </c>
    </row>
    <row r="665" spans="2:12" x14ac:dyDescent="0.2">
      <c r="B665" s="10">
        <v>26</v>
      </c>
      <c r="C665" s="34" t="s">
        <v>33</v>
      </c>
      <c r="D665" s="35">
        <f>SUMIF($O$8:$O$34,C665,$AG$8:$AG$34)</f>
        <v>0</v>
      </c>
      <c r="E665" s="38">
        <f>SUMIF($O$8:$O$34,C665,$BX$8:$BX$34)</f>
        <v>0</v>
      </c>
      <c r="F665" s="156">
        <f t="shared" si="95"/>
        <v>0</v>
      </c>
      <c r="G665" s="9"/>
      <c r="H665" s="44">
        <v>26</v>
      </c>
      <c r="I665" s="34" t="s">
        <v>33</v>
      </c>
      <c r="J665" s="35">
        <f>SUMIF($O$47:$O$73,I665,$AG$47:$AG$73)</f>
        <v>0</v>
      </c>
      <c r="K665" s="38">
        <f>SUMIF($O$47:$O$73,I665,$BX$47:$BX$73)</f>
        <v>0</v>
      </c>
      <c r="L665" s="156">
        <f t="shared" si="96"/>
        <v>0</v>
      </c>
    </row>
    <row r="666" spans="2:12" x14ac:dyDescent="0.2">
      <c r="B666" s="10">
        <v>27</v>
      </c>
      <c r="C666" s="34" t="s">
        <v>20</v>
      </c>
      <c r="D666" s="35">
        <f>SUMIF($O$8:$O$34,C666,$AG$8:$AG$34)</f>
        <v>0</v>
      </c>
      <c r="E666" s="38">
        <f>SUMIF($O$8:$O$34,C666,$BX$8:$BX$34)</f>
        <v>0</v>
      </c>
      <c r="F666" s="156">
        <f t="shared" si="95"/>
        <v>0</v>
      </c>
      <c r="G666" s="9"/>
      <c r="H666" s="44">
        <v>27</v>
      </c>
      <c r="I666" s="34" t="s">
        <v>20</v>
      </c>
      <c r="J666" s="35">
        <f>SUMIF($O$47:$O$73,I666,$AG$47:$AG$73)</f>
        <v>0</v>
      </c>
      <c r="K666" s="38">
        <f>SUMIF($O$47:$O$73,I666,$BX$47:$BX$73)</f>
        <v>0</v>
      </c>
      <c r="L666" s="156">
        <f t="shared" si="96"/>
        <v>0</v>
      </c>
    </row>
    <row r="667" spans="2:12" x14ac:dyDescent="0.2">
      <c r="B667" s="10"/>
      <c r="C667" s="34" t="s">
        <v>9</v>
      </c>
      <c r="D667" s="39">
        <f>SUM(D640:D666)</f>
        <v>5508451</v>
      </c>
      <c r="E667" s="39">
        <f>SUM(E640:E666)</f>
        <v>6719519</v>
      </c>
      <c r="F667" s="40">
        <f t="shared" ref="F667:F668" si="97">TRUNC(((E667/D667)-1)*100,2)</f>
        <v>21.98</v>
      </c>
      <c r="G667" s="9"/>
      <c r="H667" s="44"/>
      <c r="I667" s="34" t="s">
        <v>9</v>
      </c>
      <c r="J667" s="39">
        <f>SUM(J640:J666)</f>
        <v>2490115</v>
      </c>
      <c r="K667" s="39">
        <f>SUM(K640:K666)</f>
        <v>2120355</v>
      </c>
      <c r="L667" s="40">
        <f>TRUNC(((K667/J667)-1)*100,2)</f>
        <v>-14.84</v>
      </c>
    </row>
    <row r="668" spans="2:12" x14ac:dyDescent="0.2">
      <c r="B668" s="49"/>
      <c r="C668" s="55" t="s">
        <v>83</v>
      </c>
      <c r="D668" s="52">
        <f>SUM(AG8:AG34)</f>
        <v>5508451</v>
      </c>
      <c r="E668" s="52">
        <f>SUM(BX8:BX34)</f>
        <v>6719519</v>
      </c>
      <c r="F668" s="56">
        <f t="shared" si="97"/>
        <v>21.98</v>
      </c>
      <c r="G668" s="1"/>
      <c r="H668" s="49"/>
      <c r="I668" s="55" t="s">
        <v>83</v>
      </c>
      <c r="J668" s="52">
        <f>SUM(AG47:AG73)</f>
        <v>2490115</v>
      </c>
      <c r="K668" s="52">
        <f>SUM(BX47:BX73)</f>
        <v>2120355</v>
      </c>
      <c r="L668" s="56">
        <f>TRUNC(((K668/J668)-1)*100,2)</f>
        <v>-14.84</v>
      </c>
    </row>
  </sheetData>
  <sheetProtection sort="0"/>
  <sortState ref="I640:K666">
    <sortCondition descending="1" ref="K640:K666"/>
  </sortState>
  <mergeCells count="187">
    <mergeCell ref="K527:K528"/>
    <mergeCell ref="D564:D565"/>
    <mergeCell ref="E564:E565"/>
    <mergeCell ref="J564:J565"/>
    <mergeCell ref="K564:K565"/>
    <mergeCell ref="I562:K562"/>
    <mergeCell ref="C563:E563"/>
    <mergeCell ref="I563:K563"/>
    <mergeCell ref="C636:E636"/>
    <mergeCell ref="I636:K636"/>
    <mergeCell ref="C564:C565"/>
    <mergeCell ref="I564:I565"/>
    <mergeCell ref="C562:E562"/>
    <mergeCell ref="C637:E637"/>
    <mergeCell ref="I637:K637"/>
    <mergeCell ref="C638:C639"/>
    <mergeCell ref="D638:D639"/>
    <mergeCell ref="E638:E639"/>
    <mergeCell ref="I638:I639"/>
    <mergeCell ref="J638:J639"/>
    <mergeCell ref="K638:K639"/>
    <mergeCell ref="J601:J602"/>
    <mergeCell ref="C601:C602"/>
    <mergeCell ref="D601:D602"/>
    <mergeCell ref="E601:E602"/>
    <mergeCell ref="I601:I602"/>
    <mergeCell ref="K601:K602"/>
    <mergeCell ref="C2:D2"/>
    <mergeCell ref="C527:C528"/>
    <mergeCell ref="D527:D528"/>
    <mergeCell ref="E527:E528"/>
    <mergeCell ref="I527:I528"/>
    <mergeCell ref="J527:J528"/>
    <mergeCell ref="C599:E599"/>
    <mergeCell ref="I599:K599"/>
    <mergeCell ref="C600:E600"/>
    <mergeCell ref="I600:K600"/>
    <mergeCell ref="C490:C491"/>
    <mergeCell ref="D490:D491"/>
    <mergeCell ref="E490:E491"/>
    <mergeCell ref="I490:I491"/>
    <mergeCell ref="K490:K491"/>
    <mergeCell ref="C525:E525"/>
    <mergeCell ref="I525:K525"/>
    <mergeCell ref="C526:E526"/>
    <mergeCell ref="C451:E451"/>
    <mergeCell ref="I451:K451"/>
    <mergeCell ref="C452:E452"/>
    <mergeCell ref="I452:K452"/>
    <mergeCell ref="I526:K526"/>
    <mergeCell ref="C453:C454"/>
    <mergeCell ref="D453:D454"/>
    <mergeCell ref="E453:E454"/>
    <mergeCell ref="I453:I454"/>
    <mergeCell ref="J453:J454"/>
    <mergeCell ref="J490:J491"/>
    <mergeCell ref="K453:K454"/>
    <mergeCell ref="C488:E488"/>
    <mergeCell ref="I488:K488"/>
    <mergeCell ref="C489:E489"/>
    <mergeCell ref="I489:K489"/>
    <mergeCell ref="C414:E414"/>
    <mergeCell ref="I414:K414"/>
    <mergeCell ref="C415:E415"/>
    <mergeCell ref="I415:K415"/>
    <mergeCell ref="C416:C417"/>
    <mergeCell ref="D416:D417"/>
    <mergeCell ref="E416:E417"/>
    <mergeCell ref="I416:I417"/>
    <mergeCell ref="J416:J417"/>
    <mergeCell ref="K416:K417"/>
    <mergeCell ref="C377:E377"/>
    <mergeCell ref="I377:K377"/>
    <mergeCell ref="C378:E378"/>
    <mergeCell ref="I378:K378"/>
    <mergeCell ref="C379:C380"/>
    <mergeCell ref="D379:D380"/>
    <mergeCell ref="E379:E380"/>
    <mergeCell ref="I379:I380"/>
    <mergeCell ref="J379:J380"/>
    <mergeCell ref="K379:K380"/>
    <mergeCell ref="C340:E340"/>
    <mergeCell ref="I340:K340"/>
    <mergeCell ref="C341:E341"/>
    <mergeCell ref="I341:K341"/>
    <mergeCell ref="C342:C343"/>
    <mergeCell ref="D342:D343"/>
    <mergeCell ref="E342:E343"/>
    <mergeCell ref="I342:I343"/>
    <mergeCell ref="J342:J343"/>
    <mergeCell ref="K342:K343"/>
    <mergeCell ref="C229:E229"/>
    <mergeCell ref="I229:K229"/>
    <mergeCell ref="C230:E230"/>
    <mergeCell ref="I230:K230"/>
    <mergeCell ref="C303:E303"/>
    <mergeCell ref="I303:K303"/>
    <mergeCell ref="C304:E304"/>
    <mergeCell ref="I304:K304"/>
    <mergeCell ref="C305:C306"/>
    <mergeCell ref="D305:D306"/>
    <mergeCell ref="E305:E306"/>
    <mergeCell ref="I305:I306"/>
    <mergeCell ref="J305:J306"/>
    <mergeCell ref="K305:K306"/>
    <mergeCell ref="J156:J157"/>
    <mergeCell ref="I118:K118"/>
    <mergeCell ref="K84:K85"/>
    <mergeCell ref="C119:E119"/>
    <mergeCell ref="D84:D85"/>
    <mergeCell ref="I156:I157"/>
    <mergeCell ref="E156:E157"/>
    <mergeCell ref="I267:K267"/>
    <mergeCell ref="C268:C269"/>
    <mergeCell ref="D268:D269"/>
    <mergeCell ref="E268:E269"/>
    <mergeCell ref="I268:I269"/>
    <mergeCell ref="J268:J269"/>
    <mergeCell ref="K231:K232"/>
    <mergeCell ref="K194:K195"/>
    <mergeCell ref="K268:K269"/>
    <mergeCell ref="D194:D195"/>
    <mergeCell ref="E194:E195"/>
    <mergeCell ref="C194:C195"/>
    <mergeCell ref="I194:I195"/>
    <mergeCell ref="J194:J195"/>
    <mergeCell ref="C266:E266"/>
    <mergeCell ref="I266:K266"/>
    <mergeCell ref="C267:E267"/>
    <mergeCell ref="I193:K193"/>
    <mergeCell ref="C231:C232"/>
    <mergeCell ref="D231:D232"/>
    <mergeCell ref="E231:E232"/>
    <mergeCell ref="I231:I232"/>
    <mergeCell ref="J231:J232"/>
    <mergeCell ref="C46:E46"/>
    <mergeCell ref="I11:K11"/>
    <mergeCell ref="C12:C13"/>
    <mergeCell ref="I12:I13"/>
    <mergeCell ref="I154:K154"/>
    <mergeCell ref="I192:K192"/>
    <mergeCell ref="C193:E193"/>
    <mergeCell ref="E84:E85"/>
    <mergeCell ref="J84:J85"/>
    <mergeCell ref="J120:J121"/>
    <mergeCell ref="K120:K121"/>
    <mergeCell ref="K156:K157"/>
    <mergeCell ref="C120:C121"/>
    <mergeCell ref="C155:E155"/>
    <mergeCell ref="I155:K155"/>
    <mergeCell ref="C156:C157"/>
    <mergeCell ref="C192:E192"/>
    <mergeCell ref="D156:D157"/>
    <mergeCell ref="C154:E154"/>
    <mergeCell ref="I84:I85"/>
    <mergeCell ref="E48:E49"/>
    <mergeCell ref="D120:D121"/>
    <mergeCell ref="E120:E121"/>
    <mergeCell ref="C48:C49"/>
    <mergeCell ref="I48:I49"/>
    <mergeCell ref="C10:E10"/>
    <mergeCell ref="I10:K10"/>
    <mergeCell ref="D12:D13"/>
    <mergeCell ref="J12:J13"/>
    <mergeCell ref="K12:K13"/>
    <mergeCell ref="E12:E13"/>
    <mergeCell ref="C11:E11"/>
    <mergeCell ref="C47:E47"/>
    <mergeCell ref="I47:K47"/>
    <mergeCell ref="I120:I121"/>
    <mergeCell ref="C82:E82"/>
    <mergeCell ref="I82:K82"/>
    <mergeCell ref="C84:C85"/>
    <mergeCell ref="I119:K119"/>
    <mergeCell ref="C118:E118"/>
    <mergeCell ref="C83:E83"/>
    <mergeCell ref="I83:K83"/>
    <mergeCell ref="P82:Q82"/>
    <mergeCell ref="R82:S82"/>
    <mergeCell ref="O81:S81"/>
    <mergeCell ref="B7:L7"/>
    <mergeCell ref="K48:K49"/>
    <mergeCell ref="J48:J49"/>
    <mergeCell ref="I46:K46"/>
    <mergeCell ref="D48:D49"/>
    <mergeCell ref="C9:E9"/>
    <mergeCell ref="I9:K9"/>
  </mergeCells>
  <conditionalFormatting sqref="D78">
    <cfRule type="cellIs" dxfId="176" priority="236" stopIfTrue="1" operator="equal">
      <formula>D77</formula>
    </cfRule>
    <cfRule type="cellIs" dxfId="175" priority="237" stopIfTrue="1" operator="notEqual">
      <formula>D77</formula>
    </cfRule>
  </conditionalFormatting>
  <conditionalFormatting sqref="E78">
    <cfRule type="cellIs" dxfId="174" priority="234" stopIfTrue="1" operator="equal">
      <formula>E77</formula>
    </cfRule>
    <cfRule type="cellIs" dxfId="173" priority="235" stopIfTrue="1" operator="notEqual">
      <formula>E77</formula>
    </cfRule>
  </conditionalFormatting>
  <conditionalFormatting sqref="J78">
    <cfRule type="cellIs" dxfId="172" priority="232" stopIfTrue="1" operator="equal">
      <formula>J77</formula>
    </cfRule>
    <cfRule type="cellIs" dxfId="171" priority="233" stopIfTrue="1" operator="notEqual">
      <formula>J77</formula>
    </cfRule>
  </conditionalFormatting>
  <conditionalFormatting sqref="K78">
    <cfRule type="cellIs" dxfId="170" priority="230" stopIfTrue="1" operator="equal">
      <formula>K77</formula>
    </cfRule>
    <cfRule type="cellIs" dxfId="169" priority="231" stopIfTrue="1" operator="notEqual">
      <formula>K77</formula>
    </cfRule>
  </conditionalFormatting>
  <conditionalFormatting sqref="D114">
    <cfRule type="cellIs" dxfId="168" priority="228" stopIfTrue="1" operator="equal">
      <formula>D113</formula>
    </cfRule>
    <cfRule type="cellIs" dxfId="167" priority="229" stopIfTrue="1" operator="notEqual">
      <formula>D113</formula>
    </cfRule>
  </conditionalFormatting>
  <conditionalFormatting sqref="E114">
    <cfRule type="cellIs" dxfId="166" priority="226" stopIfTrue="1" operator="equal">
      <formula>E113</formula>
    </cfRule>
    <cfRule type="cellIs" dxfId="165" priority="227" stopIfTrue="1" operator="notEqual">
      <formula>E113</formula>
    </cfRule>
  </conditionalFormatting>
  <conditionalFormatting sqref="J114">
    <cfRule type="cellIs" dxfId="164" priority="224" stopIfTrue="1" operator="equal">
      <formula>J113</formula>
    </cfRule>
    <cfRule type="cellIs" dxfId="163" priority="225" stopIfTrue="1" operator="notEqual">
      <formula>J113</formula>
    </cfRule>
  </conditionalFormatting>
  <conditionalFormatting sqref="K114">
    <cfRule type="cellIs" dxfId="162" priority="222" stopIfTrue="1" operator="equal">
      <formula>K113</formula>
    </cfRule>
    <cfRule type="cellIs" dxfId="161" priority="223" stopIfTrue="1" operator="notEqual">
      <formula>K113</formula>
    </cfRule>
  </conditionalFormatting>
  <conditionalFormatting sqref="D150">
    <cfRule type="cellIs" dxfId="160" priority="220" stopIfTrue="1" operator="equal">
      <formula>D149</formula>
    </cfRule>
    <cfRule type="cellIs" dxfId="159" priority="221" stopIfTrue="1" operator="notEqual">
      <formula>D149</formula>
    </cfRule>
  </conditionalFormatting>
  <conditionalFormatting sqref="E150">
    <cfRule type="cellIs" dxfId="158" priority="218" stopIfTrue="1" operator="equal">
      <formula>E149</formula>
    </cfRule>
    <cfRule type="cellIs" dxfId="157" priority="219" stopIfTrue="1" operator="notEqual">
      <formula>E149</formula>
    </cfRule>
  </conditionalFormatting>
  <conditionalFormatting sqref="J150">
    <cfRule type="cellIs" dxfId="156" priority="216" stopIfTrue="1" operator="equal">
      <formula>J149</formula>
    </cfRule>
    <cfRule type="cellIs" dxfId="155" priority="217" stopIfTrue="1" operator="notEqual">
      <formula>J149</formula>
    </cfRule>
  </conditionalFormatting>
  <conditionalFormatting sqref="K150">
    <cfRule type="cellIs" dxfId="154" priority="214" stopIfTrue="1" operator="equal">
      <formula>K149</formula>
    </cfRule>
    <cfRule type="cellIs" dxfId="153" priority="215" stopIfTrue="1" operator="notEqual">
      <formula>K149</formula>
    </cfRule>
  </conditionalFormatting>
  <conditionalFormatting sqref="D186">
    <cfRule type="cellIs" dxfId="152" priority="212" stopIfTrue="1" operator="equal">
      <formula>D185</formula>
    </cfRule>
    <cfRule type="cellIs" dxfId="151" priority="213" stopIfTrue="1" operator="notEqual">
      <formula>D185</formula>
    </cfRule>
  </conditionalFormatting>
  <conditionalFormatting sqref="E186">
    <cfRule type="cellIs" dxfId="150" priority="210" stopIfTrue="1" operator="equal">
      <formula>E185</formula>
    </cfRule>
    <cfRule type="cellIs" dxfId="149" priority="211" stopIfTrue="1" operator="notEqual">
      <formula>E185</formula>
    </cfRule>
  </conditionalFormatting>
  <conditionalFormatting sqref="J186">
    <cfRule type="cellIs" dxfId="148" priority="208" stopIfTrue="1" operator="equal">
      <formula>J185</formula>
    </cfRule>
    <cfRule type="cellIs" dxfId="147" priority="209" stopIfTrue="1" operator="notEqual">
      <formula>J185</formula>
    </cfRule>
  </conditionalFormatting>
  <conditionalFormatting sqref="K186">
    <cfRule type="cellIs" dxfId="146" priority="206" stopIfTrue="1" operator="equal">
      <formula>K185</formula>
    </cfRule>
    <cfRule type="cellIs" dxfId="145" priority="207" stopIfTrue="1" operator="notEqual">
      <formula>K185</formula>
    </cfRule>
  </conditionalFormatting>
  <conditionalFormatting sqref="D594">
    <cfRule type="cellIs" dxfId="144" priority="204" stopIfTrue="1" operator="equal">
      <formula>D593</formula>
    </cfRule>
    <cfRule type="cellIs" dxfId="143" priority="205" stopIfTrue="1" operator="notEqual">
      <formula>D593</formula>
    </cfRule>
  </conditionalFormatting>
  <conditionalFormatting sqref="E594">
    <cfRule type="cellIs" dxfId="142" priority="202" stopIfTrue="1" operator="equal">
      <formula>E593</formula>
    </cfRule>
    <cfRule type="cellIs" dxfId="141" priority="203" stopIfTrue="1" operator="notEqual">
      <formula>E593</formula>
    </cfRule>
  </conditionalFormatting>
  <conditionalFormatting sqref="J594">
    <cfRule type="cellIs" dxfId="140" priority="200" stopIfTrue="1" operator="equal">
      <formula>J593</formula>
    </cfRule>
    <cfRule type="cellIs" dxfId="139" priority="201" stopIfTrue="1" operator="notEqual">
      <formula>J593</formula>
    </cfRule>
  </conditionalFormatting>
  <conditionalFormatting sqref="K594">
    <cfRule type="cellIs" dxfId="138" priority="198" stopIfTrue="1" operator="equal">
      <formula>K593</formula>
    </cfRule>
    <cfRule type="cellIs" dxfId="137" priority="199" stopIfTrue="1" operator="notEqual">
      <formula>K593</formula>
    </cfRule>
  </conditionalFormatting>
  <conditionalFormatting sqref="D224">
    <cfRule type="cellIs" dxfId="136" priority="196" stopIfTrue="1" operator="equal">
      <formula>D223</formula>
    </cfRule>
    <cfRule type="cellIs" dxfId="135" priority="197" stopIfTrue="1" operator="notEqual">
      <formula>D223</formula>
    </cfRule>
  </conditionalFormatting>
  <conditionalFormatting sqref="E224">
    <cfRule type="cellIs" dxfId="134" priority="194" stopIfTrue="1" operator="equal">
      <formula>E223</formula>
    </cfRule>
    <cfRule type="cellIs" dxfId="133" priority="195" stopIfTrue="1" operator="notEqual">
      <formula>E223</formula>
    </cfRule>
  </conditionalFormatting>
  <conditionalFormatting sqref="J224">
    <cfRule type="cellIs" dxfId="132" priority="192" stopIfTrue="1" operator="equal">
      <formula>J223</formula>
    </cfRule>
    <cfRule type="cellIs" dxfId="131" priority="193" stopIfTrue="1" operator="notEqual">
      <formula>J223</formula>
    </cfRule>
  </conditionalFormatting>
  <conditionalFormatting sqref="K224">
    <cfRule type="cellIs" dxfId="130" priority="190" stopIfTrue="1" operator="equal">
      <formula>K223</formula>
    </cfRule>
    <cfRule type="cellIs" dxfId="129" priority="191" stopIfTrue="1" operator="notEqual">
      <formula>K223</formula>
    </cfRule>
  </conditionalFormatting>
  <conditionalFormatting sqref="D42:E42">
    <cfRule type="cellIs" dxfId="128" priority="188" stopIfTrue="1" operator="equal">
      <formula>D41</formula>
    </cfRule>
    <cfRule type="cellIs" dxfId="127" priority="189" stopIfTrue="1" operator="notEqual">
      <formula>D41</formula>
    </cfRule>
  </conditionalFormatting>
  <conditionalFormatting sqref="J42:K42">
    <cfRule type="cellIs" dxfId="126" priority="184" stopIfTrue="1" operator="equal">
      <formula>J41</formula>
    </cfRule>
    <cfRule type="cellIs" dxfId="125" priority="185" stopIfTrue="1" operator="notEqual">
      <formula>J41</formula>
    </cfRule>
  </conditionalFormatting>
  <conditionalFormatting sqref="D261:E261">
    <cfRule type="cellIs" dxfId="124" priority="180" stopIfTrue="1" operator="equal">
      <formula>D260</formula>
    </cfRule>
    <cfRule type="cellIs" dxfId="123" priority="181" stopIfTrue="1" operator="notEqual">
      <formula>D260</formula>
    </cfRule>
  </conditionalFormatting>
  <conditionalFormatting sqref="E261">
    <cfRule type="cellIs" dxfId="122" priority="178" stopIfTrue="1" operator="equal">
      <formula>E260</formula>
    </cfRule>
    <cfRule type="cellIs" dxfId="121" priority="179" stopIfTrue="1" operator="notEqual">
      <formula>E260</formula>
    </cfRule>
  </conditionalFormatting>
  <conditionalFormatting sqref="J261">
    <cfRule type="cellIs" dxfId="120" priority="176" stopIfTrue="1" operator="equal">
      <formula>J260</formula>
    </cfRule>
    <cfRule type="cellIs" dxfId="119" priority="177" stopIfTrue="1" operator="notEqual">
      <formula>J260</formula>
    </cfRule>
  </conditionalFormatting>
  <conditionalFormatting sqref="K261">
    <cfRule type="cellIs" dxfId="118" priority="174" stopIfTrue="1" operator="equal">
      <formula>K260</formula>
    </cfRule>
    <cfRule type="cellIs" dxfId="117" priority="175" stopIfTrue="1" operator="notEqual">
      <formula>K260</formula>
    </cfRule>
  </conditionalFormatting>
  <conditionalFormatting sqref="D298">
    <cfRule type="cellIs" dxfId="116" priority="172" stopIfTrue="1" operator="equal">
      <formula>D297</formula>
    </cfRule>
    <cfRule type="cellIs" dxfId="115" priority="173" stopIfTrue="1" operator="notEqual">
      <formula>D297</formula>
    </cfRule>
  </conditionalFormatting>
  <conditionalFormatting sqref="E298">
    <cfRule type="cellIs" dxfId="114" priority="170" stopIfTrue="1" operator="equal">
      <formula>E297</formula>
    </cfRule>
    <cfRule type="cellIs" dxfId="113" priority="171" stopIfTrue="1" operator="notEqual">
      <formula>E297</formula>
    </cfRule>
  </conditionalFormatting>
  <conditionalFormatting sqref="J298">
    <cfRule type="cellIs" dxfId="112" priority="168" stopIfTrue="1" operator="equal">
      <formula>J297</formula>
    </cfRule>
    <cfRule type="cellIs" dxfId="111" priority="169" stopIfTrue="1" operator="notEqual">
      <formula>J297</formula>
    </cfRule>
  </conditionalFormatting>
  <conditionalFormatting sqref="K298">
    <cfRule type="cellIs" dxfId="110" priority="166" stopIfTrue="1" operator="equal">
      <formula>K297</formula>
    </cfRule>
    <cfRule type="cellIs" dxfId="109" priority="167" stopIfTrue="1" operator="notEqual">
      <formula>K297</formula>
    </cfRule>
  </conditionalFormatting>
  <conditionalFormatting sqref="D335">
    <cfRule type="cellIs" dxfId="108" priority="164" stopIfTrue="1" operator="equal">
      <formula>D334</formula>
    </cfRule>
    <cfRule type="cellIs" dxfId="107" priority="165" stopIfTrue="1" operator="notEqual">
      <formula>D334</formula>
    </cfRule>
  </conditionalFormatting>
  <conditionalFormatting sqref="E335">
    <cfRule type="cellIs" dxfId="106" priority="162" stopIfTrue="1" operator="equal">
      <formula>E334</formula>
    </cfRule>
    <cfRule type="cellIs" dxfId="105" priority="163" stopIfTrue="1" operator="notEqual">
      <formula>E334</formula>
    </cfRule>
  </conditionalFormatting>
  <conditionalFormatting sqref="J335">
    <cfRule type="cellIs" dxfId="104" priority="160" stopIfTrue="1" operator="equal">
      <formula>J334</formula>
    </cfRule>
    <cfRule type="cellIs" dxfId="103" priority="161" stopIfTrue="1" operator="notEqual">
      <formula>J334</formula>
    </cfRule>
  </conditionalFormatting>
  <conditionalFormatting sqref="K335">
    <cfRule type="cellIs" dxfId="102" priority="158" stopIfTrue="1" operator="equal">
      <formula>K334</formula>
    </cfRule>
    <cfRule type="cellIs" dxfId="101" priority="159" stopIfTrue="1" operator="notEqual">
      <formula>K334</formula>
    </cfRule>
  </conditionalFormatting>
  <conditionalFormatting sqref="D372">
    <cfRule type="cellIs" dxfId="100" priority="156" stopIfTrue="1" operator="equal">
      <formula>D371</formula>
    </cfRule>
    <cfRule type="cellIs" dxfId="99" priority="157" stopIfTrue="1" operator="notEqual">
      <formula>D371</formula>
    </cfRule>
  </conditionalFormatting>
  <conditionalFormatting sqref="E372">
    <cfRule type="cellIs" dxfId="98" priority="154" stopIfTrue="1" operator="equal">
      <formula>E371</formula>
    </cfRule>
    <cfRule type="cellIs" dxfId="97" priority="155" stopIfTrue="1" operator="notEqual">
      <formula>E371</formula>
    </cfRule>
  </conditionalFormatting>
  <conditionalFormatting sqref="J372">
    <cfRule type="cellIs" dxfId="96" priority="152" stopIfTrue="1" operator="equal">
      <formula>J371</formula>
    </cfRule>
    <cfRule type="cellIs" dxfId="95" priority="153" stopIfTrue="1" operator="notEqual">
      <formula>J371</formula>
    </cfRule>
  </conditionalFormatting>
  <conditionalFormatting sqref="K372">
    <cfRule type="cellIs" dxfId="94" priority="150" stopIfTrue="1" operator="equal">
      <formula>K371</formula>
    </cfRule>
    <cfRule type="cellIs" dxfId="93" priority="151" stopIfTrue="1" operator="notEqual">
      <formula>K371</formula>
    </cfRule>
  </conditionalFormatting>
  <conditionalFormatting sqref="D409">
    <cfRule type="cellIs" dxfId="92" priority="148" stopIfTrue="1" operator="equal">
      <formula>D408</formula>
    </cfRule>
    <cfRule type="cellIs" dxfId="91" priority="149" stopIfTrue="1" operator="notEqual">
      <formula>D408</formula>
    </cfRule>
  </conditionalFormatting>
  <conditionalFormatting sqref="E409">
    <cfRule type="cellIs" dxfId="90" priority="146" stopIfTrue="1" operator="equal">
      <formula>E408</formula>
    </cfRule>
    <cfRule type="cellIs" dxfId="89" priority="147" stopIfTrue="1" operator="notEqual">
      <formula>E408</formula>
    </cfRule>
  </conditionalFormatting>
  <conditionalFormatting sqref="J409">
    <cfRule type="cellIs" dxfId="88" priority="144" stopIfTrue="1" operator="equal">
      <formula>J408</formula>
    </cfRule>
    <cfRule type="cellIs" dxfId="87" priority="145" stopIfTrue="1" operator="notEqual">
      <formula>J408</formula>
    </cfRule>
  </conditionalFormatting>
  <conditionalFormatting sqref="K409">
    <cfRule type="cellIs" dxfId="86" priority="142" stopIfTrue="1" operator="equal">
      <formula>K408</formula>
    </cfRule>
    <cfRule type="cellIs" dxfId="85" priority="143" stopIfTrue="1" operator="notEqual">
      <formula>K408</formula>
    </cfRule>
  </conditionalFormatting>
  <conditionalFormatting sqref="D446">
    <cfRule type="cellIs" dxfId="84" priority="140" stopIfTrue="1" operator="equal">
      <formula>D445</formula>
    </cfRule>
    <cfRule type="cellIs" dxfId="83" priority="141" stopIfTrue="1" operator="notEqual">
      <formula>D445</formula>
    </cfRule>
  </conditionalFormatting>
  <conditionalFormatting sqref="E446">
    <cfRule type="cellIs" dxfId="82" priority="138" stopIfTrue="1" operator="equal">
      <formula>E445</formula>
    </cfRule>
    <cfRule type="cellIs" dxfId="81" priority="139" stopIfTrue="1" operator="notEqual">
      <formula>E445</formula>
    </cfRule>
  </conditionalFormatting>
  <conditionalFormatting sqref="J446">
    <cfRule type="cellIs" dxfId="80" priority="136" stopIfTrue="1" operator="equal">
      <formula>J445</formula>
    </cfRule>
    <cfRule type="cellIs" dxfId="79" priority="137" stopIfTrue="1" operator="notEqual">
      <formula>J445</formula>
    </cfRule>
  </conditionalFormatting>
  <conditionalFormatting sqref="K446">
    <cfRule type="cellIs" dxfId="78" priority="134" stopIfTrue="1" operator="equal">
      <formula>K445</formula>
    </cfRule>
    <cfRule type="cellIs" dxfId="77" priority="135" stopIfTrue="1" operator="notEqual">
      <formula>K445</formula>
    </cfRule>
  </conditionalFormatting>
  <conditionalFormatting sqref="D483">
    <cfRule type="cellIs" dxfId="76" priority="132" stopIfTrue="1" operator="equal">
      <formula>D482</formula>
    </cfRule>
    <cfRule type="cellIs" dxfId="75" priority="133" stopIfTrue="1" operator="notEqual">
      <formula>D482</formula>
    </cfRule>
  </conditionalFormatting>
  <conditionalFormatting sqref="E483">
    <cfRule type="cellIs" dxfId="74" priority="130" stopIfTrue="1" operator="equal">
      <formula>E482</formula>
    </cfRule>
    <cfRule type="cellIs" dxfId="73" priority="131" stopIfTrue="1" operator="notEqual">
      <formula>E482</formula>
    </cfRule>
  </conditionalFormatting>
  <conditionalFormatting sqref="J483">
    <cfRule type="cellIs" dxfId="72" priority="128" stopIfTrue="1" operator="equal">
      <formula>J482</formula>
    </cfRule>
    <cfRule type="cellIs" dxfId="71" priority="129" stopIfTrue="1" operator="notEqual">
      <formula>J482</formula>
    </cfRule>
  </conditionalFormatting>
  <conditionalFormatting sqref="K483">
    <cfRule type="cellIs" dxfId="70" priority="126" stopIfTrue="1" operator="equal">
      <formula>K482</formula>
    </cfRule>
    <cfRule type="cellIs" dxfId="69" priority="127" stopIfTrue="1" operator="notEqual">
      <formula>K482</formula>
    </cfRule>
  </conditionalFormatting>
  <conditionalFormatting sqref="D520">
    <cfRule type="cellIs" dxfId="68" priority="124" stopIfTrue="1" operator="equal">
      <formula>D519</formula>
    </cfRule>
    <cfRule type="cellIs" dxfId="67" priority="125" stopIfTrue="1" operator="notEqual">
      <formula>D519</formula>
    </cfRule>
  </conditionalFormatting>
  <conditionalFormatting sqref="E520">
    <cfRule type="cellIs" dxfId="66" priority="122" stopIfTrue="1" operator="equal">
      <formula>E519</formula>
    </cfRule>
    <cfRule type="cellIs" dxfId="65" priority="123" stopIfTrue="1" operator="notEqual">
      <formula>E519</formula>
    </cfRule>
  </conditionalFormatting>
  <conditionalFormatting sqref="J520">
    <cfRule type="cellIs" dxfId="64" priority="120" stopIfTrue="1" operator="equal">
      <formula>J519</formula>
    </cfRule>
    <cfRule type="cellIs" dxfId="63" priority="121" stopIfTrue="1" operator="notEqual">
      <formula>J519</formula>
    </cfRule>
  </conditionalFormatting>
  <conditionalFormatting sqref="K520">
    <cfRule type="cellIs" dxfId="62" priority="118" stopIfTrue="1" operator="equal">
      <formula>K519</formula>
    </cfRule>
    <cfRule type="cellIs" dxfId="61" priority="119" stopIfTrue="1" operator="notEqual">
      <formula>K519</formula>
    </cfRule>
  </conditionalFormatting>
  <conditionalFormatting sqref="D557">
    <cfRule type="cellIs" dxfId="60" priority="116" stopIfTrue="1" operator="equal">
      <formula>D556</formula>
    </cfRule>
    <cfRule type="cellIs" dxfId="59" priority="117" stopIfTrue="1" operator="notEqual">
      <formula>D556</formula>
    </cfRule>
  </conditionalFormatting>
  <conditionalFormatting sqref="E557">
    <cfRule type="cellIs" dxfId="58" priority="114" stopIfTrue="1" operator="equal">
      <formula>E556</formula>
    </cfRule>
    <cfRule type="cellIs" dxfId="57" priority="115" stopIfTrue="1" operator="notEqual">
      <formula>E556</formula>
    </cfRule>
  </conditionalFormatting>
  <conditionalFormatting sqref="J557">
    <cfRule type="cellIs" dxfId="56" priority="112" stopIfTrue="1" operator="equal">
      <formula>J556</formula>
    </cfRule>
    <cfRule type="cellIs" dxfId="55" priority="113" stopIfTrue="1" operator="notEqual">
      <formula>J556</formula>
    </cfRule>
  </conditionalFormatting>
  <conditionalFormatting sqref="K557">
    <cfRule type="cellIs" dxfId="54" priority="110" stopIfTrue="1" operator="equal">
      <formula>K556</formula>
    </cfRule>
    <cfRule type="cellIs" dxfId="53" priority="111" stopIfTrue="1" operator="notEqual">
      <formula>K556</formula>
    </cfRule>
  </conditionalFormatting>
  <conditionalFormatting sqref="D631">
    <cfRule type="cellIs" dxfId="52" priority="100" stopIfTrue="1" operator="equal">
      <formula>D630</formula>
    </cfRule>
    <cfRule type="cellIs" dxfId="51" priority="101" stopIfTrue="1" operator="notEqual">
      <formula>D630</formula>
    </cfRule>
  </conditionalFormatting>
  <conditionalFormatting sqref="E631">
    <cfRule type="cellIs" dxfId="50" priority="98" stopIfTrue="1" operator="equal">
      <formula>E630</formula>
    </cfRule>
    <cfRule type="cellIs" dxfId="49" priority="99" stopIfTrue="1" operator="notEqual">
      <formula>E630</formula>
    </cfRule>
  </conditionalFormatting>
  <conditionalFormatting sqref="J631">
    <cfRule type="cellIs" dxfId="48" priority="96" stopIfTrue="1" operator="equal">
      <formula>J630</formula>
    </cfRule>
    <cfRule type="cellIs" dxfId="47" priority="97" stopIfTrue="1" operator="notEqual">
      <formula>J630</formula>
    </cfRule>
  </conditionalFormatting>
  <conditionalFormatting sqref="K631">
    <cfRule type="cellIs" dxfId="46" priority="94" stopIfTrue="1" operator="equal">
      <formula>K630</formula>
    </cfRule>
    <cfRule type="cellIs" dxfId="45" priority="95" stopIfTrue="1" operator="notEqual">
      <formula>K630</formula>
    </cfRule>
  </conditionalFormatting>
  <conditionalFormatting sqref="D668">
    <cfRule type="cellIs" dxfId="44" priority="92" stopIfTrue="1" operator="equal">
      <formula>D667</formula>
    </cfRule>
    <cfRule type="cellIs" dxfId="43" priority="93" stopIfTrue="1" operator="notEqual">
      <formula>D667</formula>
    </cfRule>
  </conditionalFormatting>
  <conditionalFormatting sqref="E668">
    <cfRule type="cellIs" dxfId="42" priority="90" stopIfTrue="1" operator="equal">
      <formula>E667</formula>
    </cfRule>
    <cfRule type="cellIs" dxfId="41" priority="91" stopIfTrue="1" operator="notEqual">
      <formula>E667</formula>
    </cfRule>
  </conditionalFormatting>
  <conditionalFormatting sqref="J668">
    <cfRule type="cellIs" dxfId="40" priority="88" stopIfTrue="1" operator="equal">
      <formula>J667</formula>
    </cfRule>
    <cfRule type="cellIs" dxfId="39" priority="89" stopIfTrue="1" operator="notEqual">
      <formula>J667</formula>
    </cfRule>
  </conditionalFormatting>
  <conditionalFormatting sqref="K668">
    <cfRule type="cellIs" dxfId="38" priority="86" stopIfTrue="1" operator="equal">
      <formula>K667</formula>
    </cfRule>
    <cfRule type="cellIs" dxfId="37" priority="87" stopIfTrue="1" operator="notEqual">
      <formula>K667</formula>
    </cfRule>
  </conditionalFormatting>
  <conditionalFormatting sqref="I640:I666 C640:C666 C603:C629 I603:I629 I566:I592 C566:C592 C529:C555 I529:I555 I492:I518 C492:C518 C455:C481 I455:I481 I418:I444 C418:C444 C381:C407 I381:I407 I344:I370 C344:C370 I307:I333 C307:C333 I270:I296 C270:C296 C233:C259 I233:I259 I196:I222 C196:C222 C158:C184 I158:I184 I122:I148 C122:C148 C86:C112 I86:I112 I50:I76 C50:C76 C14:C40 I14:I40">
    <cfRule type="containsText" dxfId="36" priority="76" stopIfTrue="1" operator="containsText" text="Goiás">
      <formula>NOT(ISERROR(SEARCH("Goiás",C14)))</formula>
    </cfRule>
  </conditionalFormatting>
  <conditionalFormatting sqref="B455:B481">
    <cfRule type="cellIs" dxfId="35" priority="36" stopIfTrue="1" operator="equal">
      <formula>$B$453</formula>
    </cfRule>
  </conditionalFormatting>
  <conditionalFormatting sqref="B14:B40">
    <cfRule type="cellIs" dxfId="34" priority="35" stopIfTrue="1" operator="equal">
      <formula>$B$12</formula>
    </cfRule>
  </conditionalFormatting>
  <conditionalFormatting sqref="H14:H40">
    <cfRule type="cellIs" dxfId="33" priority="34" stopIfTrue="1" operator="equal">
      <formula>$H$12</formula>
    </cfRule>
  </conditionalFormatting>
  <conditionalFormatting sqref="B50:B76">
    <cfRule type="cellIs" dxfId="32" priority="33" stopIfTrue="1" operator="equal">
      <formula>$B$48</formula>
    </cfRule>
  </conditionalFormatting>
  <conditionalFormatting sqref="H50:H76">
    <cfRule type="cellIs" dxfId="31" priority="32" stopIfTrue="1" operator="equal">
      <formula>$H$48</formula>
    </cfRule>
  </conditionalFormatting>
  <conditionalFormatting sqref="H84">
    <cfRule type="cellIs" dxfId="30" priority="31" stopIfTrue="1" operator="equal">
      <formula>$H$48+$H$84</formula>
    </cfRule>
  </conditionalFormatting>
  <conditionalFormatting sqref="H86:H112">
    <cfRule type="cellIs" dxfId="29" priority="30" stopIfTrue="1" operator="equal">
      <formula>$H$84</formula>
    </cfRule>
  </conditionalFormatting>
  <conditionalFormatting sqref="H122:H148">
    <cfRule type="cellIs" dxfId="28" priority="29" stopIfTrue="1" operator="equal">
      <formula>$H$120</formula>
    </cfRule>
  </conditionalFormatting>
  <conditionalFormatting sqref="B122:B148">
    <cfRule type="cellIs" dxfId="27" priority="28" stopIfTrue="1" operator="equal">
      <formula>$B$120</formula>
    </cfRule>
  </conditionalFormatting>
  <conditionalFormatting sqref="B158:B184">
    <cfRule type="cellIs" dxfId="26" priority="27" stopIfTrue="1" operator="equal">
      <formula>$B$156</formula>
    </cfRule>
  </conditionalFormatting>
  <conditionalFormatting sqref="H158:H184">
    <cfRule type="cellIs" dxfId="25" priority="26" stopIfTrue="1" operator="equal">
      <formula>$H$156</formula>
    </cfRule>
  </conditionalFormatting>
  <conditionalFormatting sqref="B196:B222">
    <cfRule type="cellIs" dxfId="24" priority="25" stopIfTrue="1" operator="equal">
      <formula>$B$194</formula>
    </cfRule>
  </conditionalFormatting>
  <conditionalFormatting sqref="H196:H222">
    <cfRule type="cellIs" dxfId="23" priority="24" stopIfTrue="1" operator="equal">
      <formula>$H$194</formula>
    </cfRule>
  </conditionalFormatting>
  <conditionalFormatting sqref="B233:B259">
    <cfRule type="cellIs" dxfId="22" priority="23" stopIfTrue="1" operator="equal">
      <formula>$B$231</formula>
    </cfRule>
  </conditionalFormatting>
  <conditionalFormatting sqref="H233:H260">
    <cfRule type="cellIs" dxfId="21" priority="22" stopIfTrue="1" operator="equal">
      <formula>$H$231</formula>
    </cfRule>
  </conditionalFormatting>
  <conditionalFormatting sqref="B270:B296">
    <cfRule type="cellIs" dxfId="20" priority="21" stopIfTrue="1" operator="equal">
      <formula>$B$268</formula>
    </cfRule>
  </conditionalFormatting>
  <conditionalFormatting sqref="H270:H296">
    <cfRule type="cellIs" dxfId="19" priority="20" stopIfTrue="1" operator="equal">
      <formula>$H$268</formula>
    </cfRule>
  </conditionalFormatting>
  <conditionalFormatting sqref="B307:B333">
    <cfRule type="cellIs" dxfId="18" priority="19" stopIfTrue="1" operator="equal">
      <formula>$B$305</formula>
    </cfRule>
  </conditionalFormatting>
  <conditionalFormatting sqref="H307:H333">
    <cfRule type="cellIs" dxfId="17" priority="18" stopIfTrue="1" operator="equal">
      <formula>$H$305</formula>
    </cfRule>
  </conditionalFormatting>
  <conditionalFormatting sqref="H344:H370">
    <cfRule type="cellIs" dxfId="16" priority="17" stopIfTrue="1" operator="equal">
      <formula>$H$342</formula>
    </cfRule>
  </conditionalFormatting>
  <conditionalFormatting sqref="B344:B370">
    <cfRule type="cellIs" dxfId="15" priority="16" stopIfTrue="1" operator="equal">
      <formula>$B$342</formula>
    </cfRule>
  </conditionalFormatting>
  <conditionalFormatting sqref="B381:B407">
    <cfRule type="cellIs" dxfId="14" priority="15" stopIfTrue="1" operator="equal">
      <formula>$B$379</formula>
    </cfRule>
  </conditionalFormatting>
  <conditionalFormatting sqref="H381:H407">
    <cfRule type="cellIs" dxfId="13" priority="14" stopIfTrue="1" operator="equal">
      <formula>$H$379</formula>
    </cfRule>
  </conditionalFormatting>
  <conditionalFormatting sqref="B418:B444">
    <cfRule type="cellIs" dxfId="12" priority="13" stopIfTrue="1" operator="equal">
      <formula>$B$416</formula>
    </cfRule>
  </conditionalFormatting>
  <conditionalFormatting sqref="H418:H444">
    <cfRule type="cellIs" dxfId="11" priority="12" stopIfTrue="1" operator="equal">
      <formula>$H$416</formula>
    </cfRule>
  </conditionalFormatting>
  <conditionalFormatting sqref="H455:H481">
    <cfRule type="cellIs" dxfId="10" priority="11" stopIfTrue="1" operator="equal">
      <formula>$H$453</formula>
    </cfRule>
  </conditionalFormatting>
  <conditionalFormatting sqref="B492:B518">
    <cfRule type="cellIs" dxfId="9" priority="10" stopIfTrue="1" operator="equal">
      <formula>$B$490</formula>
    </cfRule>
  </conditionalFormatting>
  <conditionalFormatting sqref="H492:H518">
    <cfRule type="cellIs" dxfId="8" priority="9" stopIfTrue="1" operator="equal">
      <formula>$H$490</formula>
    </cfRule>
  </conditionalFormatting>
  <conditionalFormatting sqref="B529:B555">
    <cfRule type="cellIs" dxfId="7" priority="8" stopIfTrue="1" operator="equal">
      <formula>$B$527</formula>
    </cfRule>
  </conditionalFormatting>
  <conditionalFormatting sqref="H529:H555">
    <cfRule type="cellIs" dxfId="6" priority="7" stopIfTrue="1" operator="equal">
      <formula>$H$527</formula>
    </cfRule>
  </conditionalFormatting>
  <conditionalFormatting sqref="B566:D592">
    <cfRule type="cellIs" dxfId="5" priority="6" stopIfTrue="1" operator="equal">
      <formula>$B$564</formula>
    </cfRule>
  </conditionalFormatting>
  <conditionalFormatting sqref="H566:H592">
    <cfRule type="cellIs" dxfId="4" priority="5" stopIfTrue="1" operator="equal">
      <formula>$H$564</formula>
    </cfRule>
  </conditionalFormatting>
  <conditionalFormatting sqref="B603:B629">
    <cfRule type="cellIs" dxfId="3" priority="4" stopIfTrue="1" operator="equal">
      <formula>$B$601</formula>
    </cfRule>
  </conditionalFormatting>
  <conditionalFormatting sqref="H603:H629">
    <cfRule type="cellIs" dxfId="2" priority="3" stopIfTrue="1" operator="equal">
      <formula>$H$601</formula>
    </cfRule>
  </conditionalFormatting>
  <conditionalFormatting sqref="B640:B666">
    <cfRule type="cellIs" dxfId="1" priority="2" stopIfTrue="1" operator="equal">
      <formula>$B$638</formula>
    </cfRule>
  </conditionalFormatting>
  <conditionalFormatting sqref="H640:H667">
    <cfRule type="cellIs" dxfId="0" priority="1" stopIfTrue="1" operator="equal">
      <formula>$H$638</formula>
    </cfRule>
  </conditionalFormatting>
  <printOptions horizontalCentered="1" verticalCentered="1"/>
  <pageMargins left="0.47244094488188981" right="0.47244094488188981" top="0.19685039370078741" bottom="0.19685039370078741" header="0.31496062992125984" footer="0.11811023622047245"/>
  <pageSetup paperSize="9" scale="95" orientation="landscape" r:id="rId1"/>
  <headerFooter alignWithMargins="0">
    <oddFooter>&amp;R&amp;8Página &amp;P / &amp;N</oddFooter>
  </headerFooter>
  <rowBreaks count="1" manualBreakCount="1"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5</vt:i4>
      </vt:variant>
    </vt:vector>
  </HeadingPairs>
  <TitlesOfParts>
    <vt:vector size="8" baseType="lpstr">
      <vt:lpstr>Pág_1_Previsao_GO</vt:lpstr>
      <vt:lpstr>Pág_2_Previsão_U F</vt:lpstr>
      <vt:lpstr>Entrada_Dados</vt:lpstr>
      <vt:lpstr>Entrada_Dados!Area_de_impressao</vt:lpstr>
      <vt:lpstr>Pág_1_Previsao_GO!Area_de_impressao</vt:lpstr>
      <vt:lpstr>'Pág_2_Previsão_U F'!Area_de_impressao</vt:lpstr>
      <vt:lpstr>Entrada_Dados!Titulos_de_impressao</vt:lpstr>
      <vt:lpstr>'Pág_2_Previsão_U F'!Titulos_de_impressao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Proposta Simplificada</dc:title>
  <dc:subject>Custeio Agricola e Investimento Rural</dc:subject>
  <dc:creator>Ademir Frauzino Pereira - Nucac</dc:creator>
  <cp:lastModifiedBy>Juarez Gomes Bucar</cp:lastModifiedBy>
  <cp:revision>1</cp:revision>
  <cp:lastPrinted>2016-12-08T16:03:03Z</cp:lastPrinted>
  <dcterms:created xsi:type="dcterms:W3CDTF">2004-04-13T21:01:24Z</dcterms:created>
  <dcterms:modified xsi:type="dcterms:W3CDTF">2017-01-30T16:21:49Z</dcterms:modified>
</cp:coreProperties>
</file>