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grodrigues\Downloads\"/>
    </mc:Choice>
  </mc:AlternateContent>
  <bookViews>
    <workbookView xWindow="0" yWindow="0" windowWidth="28800" windowHeight="12870" firstSheet="1" activeTab="1"/>
  </bookViews>
  <sheets>
    <sheet name="Balanço" sheetId="2" state="hidden" r:id="rId1"/>
    <sheet name="Balanço Patrimonial" sheetId="12" r:id="rId2"/>
    <sheet name="DMPL" sheetId="11" r:id="rId3"/>
    <sheet name="DRE" sheetId="15" r:id="rId4"/>
    <sheet name="DFC" sheetId="16" r:id="rId5"/>
    <sheet name="DVA" sheetId="17" r:id="rId6"/>
    <sheet name="DRA" sheetId="18" r:id="rId7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2" l="1"/>
  <c r="C23" i="2" s="1"/>
  <c r="D16" i="2"/>
  <c r="D23" i="2" s="1"/>
  <c r="F16" i="2"/>
  <c r="B16" i="2"/>
  <c r="F20" i="2"/>
  <c r="B20" i="2"/>
  <c r="F23" i="2" l="1"/>
  <c r="B23" i="2"/>
  <c r="F13" i="15" l="1"/>
  <c r="D23" i="17" l="1"/>
  <c r="D25" i="17"/>
  <c r="D42" i="17"/>
  <c r="D26" i="17"/>
  <c r="D41" i="17"/>
  <c r="D18" i="17"/>
  <c r="D17" i="17"/>
  <c r="E15" i="17"/>
  <c r="E13" i="17" s="1"/>
  <c r="D15" i="17"/>
  <c r="D14" i="17"/>
  <c r="G13" i="15"/>
  <c r="D38" i="16" l="1"/>
  <c r="D37" i="16"/>
  <c r="D56" i="16"/>
  <c r="F50" i="15"/>
  <c r="F48" i="15"/>
  <c r="F38" i="15"/>
  <c r="F32" i="15"/>
  <c r="D39" i="16" l="1"/>
  <c r="F24" i="15"/>
  <c r="D16" i="17" s="1"/>
  <c r="D13" i="17" s="1"/>
  <c r="G24" i="15"/>
  <c r="J41" i="12"/>
  <c r="B137" i="2"/>
  <c r="B129" i="2"/>
  <c r="J18" i="12" s="1"/>
  <c r="D26" i="16" s="1"/>
  <c r="B118" i="2"/>
  <c r="B111" i="2" s="1"/>
  <c r="J16" i="12" s="1"/>
  <c r="D38" i="12"/>
  <c r="B90" i="2"/>
  <c r="F85" i="2"/>
  <c r="E85" i="2"/>
  <c r="D85" i="2"/>
  <c r="C85" i="2"/>
  <c r="B85" i="2"/>
  <c r="D34" i="12" s="1"/>
  <c r="D48" i="16" s="1"/>
  <c r="F40" i="2"/>
  <c r="B12" i="2"/>
  <c r="B9" i="2"/>
  <c r="B11" i="2"/>
  <c r="B10" i="2"/>
  <c r="B8" i="2"/>
  <c r="D17" i="12"/>
  <c r="B2" i="2"/>
  <c r="B5" i="2" s="1"/>
  <c r="B194" i="2"/>
  <c r="B191" i="2"/>
  <c r="J42" i="12" s="1"/>
  <c r="B188" i="2"/>
  <c r="B187" i="2"/>
  <c r="B176" i="2"/>
  <c r="J30" i="12" s="1"/>
  <c r="B178" i="2"/>
  <c r="B168" i="2"/>
  <c r="J22" i="12"/>
  <c r="D32" i="16" s="1"/>
  <c r="B163" i="2"/>
  <c r="B159" i="2"/>
  <c r="J21" i="12" s="1"/>
  <c r="D30" i="16" s="1"/>
  <c r="B153" i="2"/>
  <c r="J20" i="12" s="1"/>
  <c r="D29" i="16" s="1"/>
  <c r="B147" i="2"/>
  <c r="J19" i="12" s="1"/>
  <c r="B122" i="2"/>
  <c r="J17" i="12" s="1"/>
  <c r="D25" i="16" s="1"/>
  <c r="B103" i="2"/>
  <c r="B89" i="2"/>
  <c r="B81" i="2"/>
  <c r="B87" i="2" s="1"/>
  <c r="B74" i="2"/>
  <c r="D32" i="12" s="1"/>
  <c r="D46" i="16" s="1"/>
  <c r="B70" i="2"/>
  <c r="D31" i="12" s="1"/>
  <c r="D45" i="16" s="1"/>
  <c r="B64" i="2"/>
  <c r="D30" i="12" s="1"/>
  <c r="D44" i="16" s="1"/>
  <c r="B59" i="2"/>
  <c r="B54" i="2"/>
  <c r="D28" i="12" s="1"/>
  <c r="D43" i="16" s="1"/>
  <c r="B48" i="2"/>
  <c r="B44" i="2"/>
  <c r="D22" i="12" s="1"/>
  <c r="D22" i="16" s="1"/>
  <c r="B40" i="2"/>
  <c r="D21" i="12" s="1"/>
  <c r="D21" i="16" s="1"/>
  <c r="B34" i="2"/>
  <c r="D20" i="12" s="1"/>
  <c r="D20" i="16" s="1"/>
  <c r="B29" i="2"/>
  <c r="D19" i="12" s="1"/>
  <c r="D19" i="16" s="1"/>
  <c r="D18" i="12"/>
  <c r="D18" i="16" s="1"/>
  <c r="C12" i="2"/>
  <c r="C90" i="2"/>
  <c r="C91" i="2"/>
  <c r="C97" i="2"/>
  <c r="C89" i="2"/>
  <c r="C47" i="2"/>
  <c r="C48" i="2" s="1"/>
  <c r="C9" i="2"/>
  <c r="C11" i="2"/>
  <c r="C10" i="2"/>
  <c r="C8" i="2"/>
  <c r="F45" i="15"/>
  <c r="D22" i="17"/>
  <c r="D36" i="17"/>
  <c r="D35" i="17" s="1"/>
  <c r="E41" i="17"/>
  <c r="E35" i="17"/>
  <c r="E30" i="17"/>
  <c r="D30" i="17"/>
  <c r="E22" i="17"/>
  <c r="E28" i="17" s="1"/>
  <c r="B59" i="16"/>
  <c r="E59" i="16"/>
  <c r="E49" i="16"/>
  <c r="E47" i="16"/>
  <c r="E46" i="16"/>
  <c r="E45" i="16"/>
  <c r="E43" i="16"/>
  <c r="E37" i="16"/>
  <c r="E39" i="16" s="1"/>
  <c r="E32" i="16"/>
  <c r="E31" i="16"/>
  <c r="E30" i="16"/>
  <c r="E29" i="16"/>
  <c r="E27" i="16"/>
  <c r="E26" i="16"/>
  <c r="E25" i="16"/>
  <c r="E23" i="16"/>
  <c r="E22" i="16"/>
  <c r="E21" i="16"/>
  <c r="E20" i="16"/>
  <c r="E19" i="16"/>
  <c r="E18" i="16"/>
  <c r="E15" i="16"/>
  <c r="D15" i="16"/>
  <c r="F35" i="15"/>
  <c r="F30" i="15"/>
  <c r="H31" i="11"/>
  <c r="H30" i="11"/>
  <c r="H29" i="11"/>
  <c r="H28" i="11"/>
  <c r="H27" i="11"/>
  <c r="H26" i="11"/>
  <c r="H22" i="11"/>
  <c r="H21" i="11"/>
  <c r="H20" i="11"/>
  <c r="H19" i="11"/>
  <c r="H18" i="11"/>
  <c r="H17" i="11"/>
  <c r="G24" i="11"/>
  <c r="G33" i="11" s="1"/>
  <c r="F24" i="11"/>
  <c r="F33" i="11" s="1"/>
  <c r="E24" i="11"/>
  <c r="E33" i="11" s="1"/>
  <c r="D24" i="11"/>
  <c r="D33" i="11" s="1"/>
  <c r="H15" i="11"/>
  <c r="J43" i="12"/>
  <c r="J40" i="12"/>
  <c r="J39" i="12"/>
  <c r="E41" i="12"/>
  <c r="K38" i="12"/>
  <c r="E37" i="12"/>
  <c r="E26" i="12" s="1"/>
  <c r="E45" i="12" s="1"/>
  <c r="K29" i="12"/>
  <c r="K45" i="12"/>
  <c r="E27" i="12"/>
  <c r="K17" i="12"/>
  <c r="K16" i="12"/>
  <c r="E16" i="12"/>
  <c r="E15" i="12"/>
  <c r="C137" i="2"/>
  <c r="C129" i="2" s="1"/>
  <c r="C118" i="2"/>
  <c r="C111" i="2" s="1"/>
  <c r="D103" i="2"/>
  <c r="E103" i="2"/>
  <c r="F103" i="2"/>
  <c r="G103" i="2"/>
  <c r="H103" i="2"/>
  <c r="I103" i="2"/>
  <c r="D98" i="2"/>
  <c r="E98" i="2"/>
  <c r="F98" i="2"/>
  <c r="G98" i="2"/>
  <c r="H98" i="2"/>
  <c r="I98" i="2"/>
  <c r="C102" i="2"/>
  <c r="C101" i="2"/>
  <c r="C2" i="2"/>
  <c r="C5" i="2" s="1"/>
  <c r="C194" i="2"/>
  <c r="C191" i="2"/>
  <c r="C188" i="2"/>
  <c r="C187" i="2" s="1"/>
  <c r="C176" i="2"/>
  <c r="C178" i="2" s="1"/>
  <c r="C168" i="2"/>
  <c r="C163" i="2"/>
  <c r="C159" i="2"/>
  <c r="C153" i="2"/>
  <c r="C147" i="2"/>
  <c r="C122" i="2"/>
  <c r="C81" i="2"/>
  <c r="C74" i="2"/>
  <c r="C70" i="2"/>
  <c r="C64" i="2"/>
  <c r="C59" i="2"/>
  <c r="C54" i="2"/>
  <c r="C44" i="2"/>
  <c r="C40" i="2"/>
  <c r="C34" i="2"/>
  <c r="C29" i="2"/>
  <c r="D12" i="2"/>
  <c r="G60" i="15"/>
  <c r="G54" i="15"/>
  <c r="F54" i="15"/>
  <c r="G50" i="15"/>
  <c r="G45" i="15" s="1"/>
  <c r="G38" i="15"/>
  <c r="G35" i="15"/>
  <c r="G30" i="15"/>
  <c r="G23" i="15"/>
  <c r="G22" i="15" s="1"/>
  <c r="F23" i="15"/>
  <c r="F22" i="15" s="1"/>
  <c r="G18" i="15"/>
  <c r="G20" i="15"/>
  <c r="F20" i="15"/>
  <c r="D144" i="2"/>
  <c r="D147" i="2" s="1"/>
  <c r="E159" i="2"/>
  <c r="F159" i="2"/>
  <c r="G159" i="2"/>
  <c r="H159" i="2"/>
  <c r="D159" i="2"/>
  <c r="F111" i="2"/>
  <c r="D137" i="2"/>
  <c r="D129" i="2" s="1"/>
  <c r="D118" i="2"/>
  <c r="D111" i="2" s="1"/>
  <c r="E81" i="2"/>
  <c r="F81" i="2"/>
  <c r="G81" i="2"/>
  <c r="H81" i="2"/>
  <c r="D81" i="2"/>
  <c r="D10" i="2"/>
  <c r="D11" i="2"/>
  <c r="D8" i="2"/>
  <c r="D2" i="2"/>
  <c r="D5" i="2" s="1"/>
  <c r="D194" i="2"/>
  <c r="D191" i="2"/>
  <c r="D188" i="2"/>
  <c r="D187" i="2" s="1"/>
  <c r="D176" i="2"/>
  <c r="D178" i="2" s="1"/>
  <c r="D168" i="2"/>
  <c r="D163" i="2"/>
  <c r="D153" i="2"/>
  <c r="D122" i="2"/>
  <c r="D74" i="2"/>
  <c r="D70" i="2"/>
  <c r="D64" i="2"/>
  <c r="D59" i="2"/>
  <c r="D54" i="2"/>
  <c r="D48" i="2"/>
  <c r="D44" i="2"/>
  <c r="D40" i="2"/>
  <c r="D34" i="2"/>
  <c r="D29" i="2"/>
  <c r="I137" i="2"/>
  <c r="I129" i="2" s="1"/>
  <c r="I118" i="2"/>
  <c r="I111" i="2" s="1"/>
  <c r="I194" i="2"/>
  <c r="I191" i="2"/>
  <c r="H194" i="2"/>
  <c r="H191" i="2"/>
  <c r="I176" i="2"/>
  <c r="I178" i="2" s="1"/>
  <c r="H176" i="2"/>
  <c r="H178" i="2" s="1"/>
  <c r="I168" i="2"/>
  <c r="H168" i="2"/>
  <c r="I163" i="2"/>
  <c r="H163" i="2"/>
  <c r="I159" i="2"/>
  <c r="I153" i="2"/>
  <c r="H153" i="2"/>
  <c r="H137" i="2"/>
  <c r="H129" i="2" s="1"/>
  <c r="H118" i="2"/>
  <c r="H111" i="2"/>
  <c r="I147" i="2"/>
  <c r="I122" i="2"/>
  <c r="H147" i="2"/>
  <c r="H122" i="2"/>
  <c r="I81" i="2"/>
  <c r="I74" i="2"/>
  <c r="H74" i="2"/>
  <c r="I70" i="2"/>
  <c r="H70" i="2"/>
  <c r="I64" i="2"/>
  <c r="H64" i="2"/>
  <c r="I59" i="2"/>
  <c r="H59" i="2"/>
  <c r="H54" i="2"/>
  <c r="I54" i="2"/>
  <c r="H48" i="2"/>
  <c r="I48" i="2"/>
  <c r="H44" i="2"/>
  <c r="I44" i="2"/>
  <c r="H40" i="2"/>
  <c r="I40" i="2"/>
  <c r="F34" i="2"/>
  <c r="G34" i="2"/>
  <c r="H34" i="2"/>
  <c r="I34" i="2"/>
  <c r="E34" i="2"/>
  <c r="I29" i="2"/>
  <c r="H29" i="2"/>
  <c r="H23" i="2"/>
  <c r="I23" i="2"/>
  <c r="H13" i="2"/>
  <c r="I13" i="2"/>
  <c r="H2" i="2"/>
  <c r="H5" i="2" s="1"/>
  <c r="I5" i="2"/>
  <c r="E194" i="2"/>
  <c r="E191" i="2"/>
  <c r="E188" i="2"/>
  <c r="E187" i="2" s="1"/>
  <c r="E176" i="2"/>
  <c r="E178" i="2" s="1"/>
  <c r="F176" i="2"/>
  <c r="F178" i="2" s="1"/>
  <c r="G176" i="2"/>
  <c r="G178" i="2" s="1"/>
  <c r="F188" i="2"/>
  <c r="F187" i="2" s="1"/>
  <c r="F191" i="2"/>
  <c r="G191" i="2"/>
  <c r="G197" i="2" s="1"/>
  <c r="E168" i="2"/>
  <c r="E163" i="2"/>
  <c r="F153" i="2"/>
  <c r="G153" i="2"/>
  <c r="E153" i="2"/>
  <c r="E147" i="2"/>
  <c r="G137" i="2"/>
  <c r="G129" i="2" s="1"/>
  <c r="F122" i="2"/>
  <c r="G122" i="2"/>
  <c r="E122" i="2"/>
  <c r="G118" i="2"/>
  <c r="G111" i="2"/>
  <c r="E137" i="2"/>
  <c r="E129" i="2" s="1"/>
  <c r="E118" i="2"/>
  <c r="E111" i="2" s="1"/>
  <c r="E74" i="2"/>
  <c r="E70" i="2"/>
  <c r="E64" i="2"/>
  <c r="E59" i="2"/>
  <c r="E54" i="2"/>
  <c r="E48" i="2"/>
  <c r="E44" i="2"/>
  <c r="E40" i="2"/>
  <c r="E29" i="2"/>
  <c r="E18" i="2"/>
  <c r="E16" i="2" s="1"/>
  <c r="E23" i="2" s="1"/>
  <c r="F2" i="2"/>
  <c r="F5" i="2" s="1"/>
  <c r="E11" i="2"/>
  <c r="E9" i="2"/>
  <c r="E8" i="2"/>
  <c r="E10" i="2"/>
  <c r="E12" i="2"/>
  <c r="E2" i="2"/>
  <c r="E5" i="2" s="1"/>
  <c r="G5" i="2"/>
  <c r="F10" i="2"/>
  <c r="F9" i="2"/>
  <c r="F11" i="2"/>
  <c r="F194" i="2"/>
  <c r="G194" i="2"/>
  <c r="F137" i="2"/>
  <c r="F129" i="2" s="1"/>
  <c r="C96" i="2"/>
  <c r="G70" i="2"/>
  <c r="F70" i="2"/>
  <c r="G40" i="2"/>
  <c r="G23" i="2"/>
  <c r="G13" i="2"/>
  <c r="F12" i="2"/>
  <c r="F8" i="2"/>
  <c r="G29" i="2"/>
  <c r="F29" i="2"/>
  <c r="G168" i="2"/>
  <c r="F168" i="2"/>
  <c r="G163" i="2"/>
  <c r="F163" i="2"/>
  <c r="G74" i="2"/>
  <c r="F74" i="2"/>
  <c r="F147" i="2"/>
  <c r="G147" i="2"/>
  <c r="F64" i="2"/>
  <c r="G64" i="2"/>
  <c r="F59" i="2"/>
  <c r="G59" i="2"/>
  <c r="F54" i="2"/>
  <c r="G54" i="2"/>
  <c r="F48" i="2"/>
  <c r="G48" i="2"/>
  <c r="F44" i="2"/>
  <c r="G44" i="2"/>
  <c r="K15" i="12"/>
  <c r="B98" i="2"/>
  <c r="D33" i="12" l="1"/>
  <c r="D47" i="16" s="1"/>
  <c r="H197" i="2"/>
  <c r="B93" i="2"/>
  <c r="D16" i="12"/>
  <c r="D57" i="16" s="1"/>
  <c r="D59" i="16" s="1"/>
  <c r="E197" i="2"/>
  <c r="F140" i="2"/>
  <c r="F170" i="2" s="1"/>
  <c r="B197" i="2"/>
  <c r="B140" i="2"/>
  <c r="B170" i="2" s="1"/>
  <c r="B201" i="2" s="1"/>
  <c r="D197" i="2"/>
  <c r="C197" i="2"/>
  <c r="D13" i="2"/>
  <c r="C13" i="2"/>
  <c r="E140" i="2"/>
  <c r="E170" i="2" s="1"/>
  <c r="C98" i="2"/>
  <c r="E106" i="2"/>
  <c r="I50" i="2"/>
  <c r="C93" i="2"/>
  <c r="I106" i="2"/>
  <c r="F106" i="2"/>
  <c r="I197" i="2"/>
  <c r="C140" i="2"/>
  <c r="C170" i="2" s="1"/>
  <c r="H140" i="2"/>
  <c r="H170" i="2" s="1"/>
  <c r="H201" i="2" s="1"/>
  <c r="E13" i="2"/>
  <c r="G140" i="2"/>
  <c r="G170" i="2" s="1"/>
  <c r="G201" i="2" s="1"/>
  <c r="D50" i="2"/>
  <c r="H106" i="2"/>
  <c r="F50" i="2"/>
  <c r="D106" i="2"/>
  <c r="H50" i="2"/>
  <c r="D140" i="2"/>
  <c r="D170" i="2" s="1"/>
  <c r="B13" i="2"/>
  <c r="F197" i="2"/>
  <c r="G106" i="2"/>
  <c r="B106" i="2"/>
  <c r="G50" i="2"/>
  <c r="F13" i="2"/>
  <c r="J38" i="12"/>
  <c r="D27" i="12"/>
  <c r="D41" i="12"/>
  <c r="D37" i="12"/>
  <c r="D49" i="16"/>
  <c r="D51" i="16" s="1"/>
  <c r="J29" i="12"/>
  <c r="I140" i="2"/>
  <c r="I170" i="2" s="1"/>
  <c r="E50" i="2"/>
  <c r="D24" i="16"/>
  <c r="C103" i="2"/>
  <c r="J15" i="12"/>
  <c r="D27" i="16"/>
  <c r="B50" i="2"/>
  <c r="G28" i="15"/>
  <c r="G43" i="15" s="1"/>
  <c r="G52" i="15" s="1"/>
  <c r="G58" i="15" s="1"/>
  <c r="G64" i="15" s="1"/>
  <c r="D15" i="18" s="1"/>
  <c r="D20" i="18" s="1"/>
  <c r="C50" i="2"/>
  <c r="C24" i="11"/>
  <c r="C33" i="11" s="1"/>
  <c r="H24" i="11"/>
  <c r="H33" i="11" s="1"/>
  <c r="E33" i="17"/>
  <c r="E38" i="17" s="1"/>
  <c r="E51" i="16"/>
  <c r="E17" i="16"/>
  <c r="F28" i="15"/>
  <c r="F43" i="15" s="1"/>
  <c r="F52" i="15" s="1"/>
  <c r="F58" i="15" s="1"/>
  <c r="F60" i="15" s="1"/>
  <c r="D28" i="17"/>
  <c r="D33" i="17" s="1"/>
  <c r="D38" i="17" s="1"/>
  <c r="C201" i="2" l="1"/>
  <c r="E201" i="2"/>
  <c r="I108" i="2"/>
  <c r="G108" i="2"/>
  <c r="G203" i="2" s="1"/>
  <c r="C106" i="2"/>
  <c r="C108" i="2" s="1"/>
  <c r="F201" i="2"/>
  <c r="D201" i="2"/>
  <c r="B108" i="2"/>
  <c r="D26" i="12"/>
  <c r="H108" i="2"/>
  <c r="H203" i="2" s="1"/>
  <c r="E108" i="2"/>
  <c r="F108" i="2"/>
  <c r="I201" i="2"/>
  <c r="D108" i="2"/>
  <c r="J45" i="12"/>
  <c r="E14" i="16"/>
  <c r="E33" i="16" s="1"/>
  <c r="E54" i="16" s="1"/>
  <c r="E43" i="17"/>
  <c r="E40" i="17" s="1"/>
  <c r="D23" i="16"/>
  <c r="D17" i="16" s="1"/>
  <c r="D15" i="12"/>
  <c r="F64" i="15"/>
  <c r="I203" i="2" l="1"/>
  <c r="D45" i="12"/>
  <c r="D14" i="16"/>
  <c r="D33" i="16" s="1"/>
  <c r="D54" i="16" s="1"/>
  <c r="D43" i="17"/>
  <c r="D40" i="17" s="1"/>
  <c r="C15" i="18"/>
  <c r="C20" i="18" s="1"/>
</calcChain>
</file>

<file path=xl/sharedStrings.xml><?xml version="1.0" encoding="utf-8"?>
<sst xmlns="http://schemas.openxmlformats.org/spreadsheetml/2006/main" count="405" uniqueCount="293">
  <si>
    <t>Disponibilidades Financeiras</t>
  </si>
  <si>
    <t>Títulos e Valores Mobiliários</t>
  </si>
  <si>
    <t>Adiantamentos Concedidos a Obras</t>
  </si>
  <si>
    <t>Antecipações a Empregados</t>
  </si>
  <si>
    <t>Tributos a Recuperar</t>
  </si>
  <si>
    <t>Despesas Antecipadas</t>
  </si>
  <si>
    <t>Devedores por Créditos Repassados</t>
  </si>
  <si>
    <t>Infra Estrutura de Conjuntos</t>
  </si>
  <si>
    <t>Provisão para perdas de Crédito de Liquidação Duvidosa</t>
  </si>
  <si>
    <t>Terrenos Destinados Edificações ou Urbanização</t>
  </si>
  <si>
    <t>Saldo Negativo do Imposto de Renda</t>
  </si>
  <si>
    <t>Software</t>
  </si>
  <si>
    <t>Empréstimo Consignado</t>
  </si>
  <si>
    <t>Obrigações Sociais</t>
  </si>
  <si>
    <t>INSS a Recolher - Serviços Terceirizados</t>
  </si>
  <si>
    <t>Obrigações Tributárias</t>
  </si>
  <si>
    <t>IRRF a Recolher - Empregados</t>
  </si>
  <si>
    <t>IRRF a Recolher - Terceiros</t>
  </si>
  <si>
    <t>ISS Próprio</t>
  </si>
  <si>
    <t>ISS - Terceiros</t>
  </si>
  <si>
    <t>Contas a Pagar</t>
  </si>
  <si>
    <t>Fornecedores de Bens e Serviços</t>
  </si>
  <si>
    <t>Fornecedores de Bens e Serviços a faturar</t>
  </si>
  <si>
    <t>Diárias a Pagar</t>
  </si>
  <si>
    <t>Provisões Trabalhistas</t>
  </si>
  <si>
    <t>Caução a Restituir</t>
  </si>
  <si>
    <t>Créditos para Recursos Vinculados</t>
  </si>
  <si>
    <t>Programas Construção Unidades Habitacionais</t>
  </si>
  <si>
    <t>Provisões para Contingências</t>
  </si>
  <si>
    <t>Provisões para Contingências Processos Civeis</t>
  </si>
  <si>
    <t>PATRIMÔNIO LÍQUIDO</t>
  </si>
  <si>
    <t>Capital Social</t>
  </si>
  <si>
    <t>Ações</t>
  </si>
  <si>
    <t>Integralizado</t>
  </si>
  <si>
    <t>Capital Subscrito</t>
  </si>
  <si>
    <t>Capital Subscrito a Integralizar</t>
  </si>
  <si>
    <t>Reservas</t>
  </si>
  <si>
    <t>Reservas de Lucros</t>
  </si>
  <si>
    <t>Resultado de Apuração</t>
  </si>
  <si>
    <t>Férias</t>
  </si>
  <si>
    <t>TOTAL</t>
  </si>
  <si>
    <t>Fontes Orçamentárias</t>
  </si>
  <si>
    <t>Protege</t>
  </si>
  <si>
    <t>Caixa e Equivalente de Caixa</t>
  </si>
  <si>
    <t>Recurso Arrecadado</t>
  </si>
  <si>
    <t>Alienação de Imóveis</t>
  </si>
  <si>
    <t>Convênios Federais</t>
  </si>
  <si>
    <t>Recurso Ordinário</t>
  </si>
  <si>
    <t>João Paulo II - 2ª Etapa</t>
  </si>
  <si>
    <t>Real Conquista</t>
  </si>
  <si>
    <t>Damianópolis</t>
  </si>
  <si>
    <t>(-) Perdas com créditos de Liquidação Duvidosa (c )</t>
  </si>
  <si>
    <t>IRRF Sobre Rendimentos Aplicados (a)</t>
  </si>
  <si>
    <t>IRRF Sobre Serviço Prestados (b)</t>
  </si>
  <si>
    <t>IRRF sobre Férias ( c )</t>
  </si>
  <si>
    <t>Seguro a Apropriar</t>
  </si>
  <si>
    <t>Almoxarifado - sede</t>
  </si>
  <si>
    <t>Unidades Residenciais Programas Governo</t>
  </si>
  <si>
    <t>Conjunto Vera Cruz/Goiânia-Goiás</t>
  </si>
  <si>
    <t>Santos Dumont/Goiânia-Goiás</t>
  </si>
  <si>
    <t>Contas</t>
  </si>
  <si>
    <t>Obrigações Trabalhistas e Consignações</t>
  </si>
  <si>
    <t>Empregados Cedidos</t>
  </si>
  <si>
    <t xml:space="preserve">Contribuição Previdenciária - INSS a Recolher </t>
  </si>
  <si>
    <t>PIS/COFINS/CSLL  Terceiros</t>
  </si>
  <si>
    <t xml:space="preserve">PIS - Não Cumulativo a Recolher </t>
  </si>
  <si>
    <t xml:space="preserve">COFINS  Não Cumulativo a Recolher  </t>
  </si>
  <si>
    <t>Retenções - Cooperativa</t>
  </si>
  <si>
    <t>Provisões de Férias</t>
  </si>
  <si>
    <t>Convênio Ministério das Cidades e Caixa Econômica Federal/FAR</t>
  </si>
  <si>
    <t xml:space="preserve">Prejuízos Acumulados </t>
  </si>
  <si>
    <t>Ações em Tesouraria</t>
  </si>
  <si>
    <t>Subvenção Governamental a Realizar</t>
  </si>
  <si>
    <t>Subvenção Governamental /Investimento</t>
  </si>
  <si>
    <t>Receitas Financeiras</t>
  </si>
  <si>
    <t>Conta Única do Tesouro Estadual</t>
  </si>
  <si>
    <t>Salários a Pagar</t>
  </si>
  <si>
    <t>FGTS a Recolher</t>
  </si>
  <si>
    <t>Rescisões Trabalhistas</t>
  </si>
  <si>
    <t>Provisões de 13º Salário</t>
  </si>
  <si>
    <t>Caução a Restituir/Adian Clientes</t>
  </si>
  <si>
    <t>ATIVO</t>
  </si>
  <si>
    <t>PASSIVO</t>
  </si>
  <si>
    <t>13º Salário</t>
  </si>
  <si>
    <t>Contribuições Sindicais</t>
  </si>
  <si>
    <t>ISS - Outros Municipios</t>
  </si>
  <si>
    <t>Crédito ao Trabalhador</t>
  </si>
  <si>
    <t>Restos a Pagar - Fonte Orçamentária PROTEGE</t>
  </si>
  <si>
    <t>Saldo Financeiro  Fonte Orçamentária Recurso Ordinário</t>
  </si>
  <si>
    <t>Recursos Convênio FAR/Fonte Orçamentária PROTEGE</t>
  </si>
  <si>
    <t>DEMONSTRAÇÃO DAS MUTAÇÕES DO PATRIMÔNIO LÍQUIDO (DMPL)</t>
  </si>
  <si>
    <t>DESCRIÇÃO</t>
  </si>
  <si>
    <t>Capital Realizado Atualizado</t>
  </si>
  <si>
    <t xml:space="preserve">  Resultado Acumulado</t>
  </si>
  <si>
    <t>Total Geral</t>
  </si>
  <si>
    <t>Capital a Realizar</t>
  </si>
  <si>
    <t>Subvenção Governamental para Investimento</t>
  </si>
  <si>
    <t>Subvenção Governamental/Investimento</t>
  </si>
  <si>
    <t>Ajuste de Exercícios Anteriores</t>
  </si>
  <si>
    <t>Resultado do Exercício</t>
  </si>
  <si>
    <t>(-) Ações Em Tesouraria</t>
  </si>
  <si>
    <t>Saldo em 31/12/2023</t>
  </si>
  <si>
    <t>Saldo em 31/12/2024</t>
  </si>
  <si>
    <t xml:space="preserve"> AGÊNCIA GOIANA DE HABITAÇÃO S/A</t>
  </si>
  <si>
    <t>CNPJ:  01.274.240/0001-47</t>
  </si>
  <si>
    <t>(Valores Expressos em Reais)</t>
  </si>
  <si>
    <t>Reconhecemos a exatidão da presente Demonstração das Mutações do Patrimônio Líquido - Nota Explicativa nº 22</t>
  </si>
  <si>
    <t>(Valores expressos em milhares de reais)</t>
  </si>
  <si>
    <t>BALANÇO PATRIMONIAL (BP)</t>
  </si>
  <si>
    <t>Nota</t>
  </si>
  <si>
    <t>ATIVO CIRCULANTE</t>
  </si>
  <si>
    <t>PASSIVO CIRCULANTE</t>
  </si>
  <si>
    <t>Obrigações Trabalhistas</t>
  </si>
  <si>
    <t>Contas a Receber</t>
  </si>
  <si>
    <t>Créditos Vinculados Convênios</t>
  </si>
  <si>
    <t>Estoque de bens do almoxarifado</t>
  </si>
  <si>
    <t>ATIVO NÃO CIRCULANTE</t>
  </si>
  <si>
    <t>Realizável a Longo Prazo</t>
  </si>
  <si>
    <t>12.1</t>
  </si>
  <si>
    <t>12.2</t>
  </si>
  <si>
    <t>PASSIVO NÃO CIRCULANTE</t>
  </si>
  <si>
    <t xml:space="preserve">Unidades Residenciais </t>
  </si>
  <si>
    <t>12.3</t>
  </si>
  <si>
    <t>Contingências Judiciais</t>
  </si>
  <si>
    <t>Terrenos Edificações ou Urbanização</t>
  </si>
  <si>
    <t>12.4</t>
  </si>
  <si>
    <t>12.5</t>
  </si>
  <si>
    <t>Obras em Andamento - Programas Habitacionais</t>
  </si>
  <si>
    <t>12.6</t>
  </si>
  <si>
    <t>Imobilizado</t>
  </si>
  <si>
    <t>Bens Tangíveis</t>
  </si>
  <si>
    <t>(-)Depreciações Acumuladas</t>
  </si>
  <si>
    <t>21.1</t>
  </si>
  <si>
    <t>(-) Capital a Integralizar</t>
  </si>
  <si>
    <t>Intangível</t>
  </si>
  <si>
    <t>Reserva Subvenção Governamental</t>
  </si>
  <si>
    <t>21.2</t>
  </si>
  <si>
    <t>Resultados Acumulados</t>
  </si>
  <si>
    <t>21.3</t>
  </si>
  <si>
    <t>(-)Amortizações Acumuladas</t>
  </si>
  <si>
    <t>21.4</t>
  </si>
  <si>
    <t>TOTAL DO ATIVO</t>
  </si>
  <si>
    <t>TOTAL DO PASSIVO</t>
  </si>
  <si>
    <t xml:space="preserve">   ESTRUTURADAS CONFORME RESOLUÇÃO CFC Nº 1.374/2011.</t>
  </si>
  <si>
    <t xml:space="preserve">       DEMONSTRAÇÃO DO RESULTADO DO EXERCÍCIO  (DRE)</t>
  </si>
  <si>
    <t>RECEITA OPERACIONAL BRUTA</t>
  </si>
  <si>
    <t>23.1</t>
  </si>
  <si>
    <t>(=) RECEITA OPERACIONAL LÍQUIDA</t>
  </si>
  <si>
    <t>OUTRAS RECEITAS</t>
  </si>
  <si>
    <t>23.2</t>
  </si>
  <si>
    <t>SUBVENÇÃO GOVERNAMENTAL</t>
  </si>
  <si>
    <t>Subvenção de Custeio  - Recursos Tesouro Estadual  (a)</t>
  </si>
  <si>
    <t>Subvenção Programas Habitacionais - Recursos Tesouro Estadual  (b)</t>
  </si>
  <si>
    <t>Subvenção Programas Habitacionais - Recursos União  (c)</t>
  </si>
  <si>
    <t>23.3</t>
  </si>
  <si>
    <t>APLICAÇÃO PROGRAMAS HABITACIONAIS</t>
  </si>
  <si>
    <t>23.3.1</t>
  </si>
  <si>
    <t>Com Recursos - União (a)</t>
  </si>
  <si>
    <t>Com Recursos - Tesouro Estadual (b)</t>
  </si>
  <si>
    <t>23.3.2</t>
  </si>
  <si>
    <t>Mão de Obra  (a)</t>
  </si>
  <si>
    <t>Serviços de Terceiros  (b)</t>
  </si>
  <si>
    <t>Outros Custos Operacionais  (c)</t>
  </si>
  <si>
    <t>Custo com Obras Administradas  (d)</t>
  </si>
  <si>
    <t>(=) RESULTADO OPERACIONAL BRUTO</t>
  </si>
  <si>
    <t>DESPESAS OPERACIONAIS</t>
  </si>
  <si>
    <t>23.4</t>
  </si>
  <si>
    <t>Despesas com Pessoal (a)</t>
  </si>
  <si>
    <t>Serviço de Terceiros  (b)</t>
  </si>
  <si>
    <t>Despesas Gerais Administrativas (c)</t>
  </si>
  <si>
    <t>Despesas Tributárias (d)</t>
  </si>
  <si>
    <t>Outras Receitas e Outras Despesas Operacionais (e)</t>
  </si>
  <si>
    <t>(=) RESULTADO OPERACIONAL</t>
  </si>
  <si>
    <t>RESULTADO FINANCEIRO LÍQUIDO</t>
  </si>
  <si>
    <t>23.5</t>
  </si>
  <si>
    <t>Despesas Financeiras</t>
  </si>
  <si>
    <t>(=) RESULTADO OPERACIONAL LÍQUIDO</t>
  </si>
  <si>
    <t>PROVISÃO IRPJ E CSLL</t>
  </si>
  <si>
    <t>CSLL</t>
  </si>
  <si>
    <t>IRPJ</t>
  </si>
  <si>
    <t>(=) RESULTADO LÍQUIDO DO PERÍODO</t>
  </si>
  <si>
    <t>23.6</t>
  </si>
  <si>
    <t>Reconhecemos a exatidão da presente Demonstração do Resultado do Exercício - Nota Explicativa nº 23</t>
  </si>
  <si>
    <t>(-)Impostos Incidentes e Desvinculações  (c)</t>
  </si>
  <si>
    <t>Medições Realizadas</t>
  </si>
  <si>
    <t>Baixas Realizadas</t>
  </si>
  <si>
    <t>Senador Canedo - Conjunto Sabiá</t>
  </si>
  <si>
    <t>Aparecida de Goiânia - Conjunto Planicie</t>
  </si>
  <si>
    <t xml:space="preserve">ATIVO </t>
  </si>
  <si>
    <t>Férias a Pagar</t>
  </si>
  <si>
    <t>19/20</t>
  </si>
  <si>
    <t>DEMONSTRAÇÃO DOS FLUXOS DE CAIXA - MÉTODO INDIRETO (DFC)</t>
  </si>
  <si>
    <t xml:space="preserve"> Atividades Operacionais </t>
  </si>
  <si>
    <t>24.1</t>
  </si>
  <si>
    <t xml:space="preserve">    Lucro Líquido</t>
  </si>
  <si>
    <t xml:space="preserve"> Ajustes de:</t>
  </si>
  <si>
    <t xml:space="preserve">    Depreciação e Amortização</t>
  </si>
  <si>
    <t>Variação no Capital Circulante e Não Circulante</t>
  </si>
  <si>
    <t xml:space="preserve">    Aumento/Redução em Adiantamento a Obras</t>
  </si>
  <si>
    <t xml:space="preserve">    Aumento/Redução em Antecipações a Empregados</t>
  </si>
  <si>
    <t xml:space="preserve">    Aumento/Redução em Tributos a Recuperar</t>
  </si>
  <si>
    <t xml:space="preserve">    Aumento/Redução em Despesas Antecipadas</t>
  </si>
  <si>
    <t xml:space="preserve">    Aumento/Redução em Estoque de Bens do almoxarifado</t>
  </si>
  <si>
    <t xml:space="preserve">    Aumento/Redução em Obrigações Trabalhistas </t>
  </si>
  <si>
    <t xml:space="preserve">    Aumento/Redução em Obrigações Sociais</t>
  </si>
  <si>
    <t xml:space="preserve">    Aumento/Redução em Obrigações Tributárias</t>
  </si>
  <si>
    <t xml:space="preserve">    Aumento/Redução em Contas a Pagar</t>
  </si>
  <si>
    <t xml:space="preserve">    Aumento/Redução em Tributos Parcelados</t>
  </si>
  <si>
    <t xml:space="preserve">    Aumento/Redução em Provisões Trabalhistas</t>
  </si>
  <si>
    <t xml:space="preserve">    Aumento/Redução em Subvenção Governamental a Realizar</t>
  </si>
  <si>
    <t xml:space="preserve">    Aumento/Redução em Cauções a Restituir</t>
  </si>
  <si>
    <t xml:space="preserve">    Aumento/Redução em Créditos Vinculados Convênios</t>
  </si>
  <si>
    <t xml:space="preserve">   ( = ) Caixa Líquido Consumido nas Atividades  Operacionais</t>
  </si>
  <si>
    <t xml:space="preserve"> Atividades De Investimento</t>
  </si>
  <si>
    <t>24.2</t>
  </si>
  <si>
    <t xml:space="preserve">     Baixa de Imobilizado</t>
  </si>
  <si>
    <t xml:space="preserve">   ( = ) Caixa Líquido Consumido nas Atividades de Investimentos</t>
  </si>
  <si>
    <t>Atividades de Financiamento</t>
  </si>
  <si>
    <t>24.3</t>
  </si>
  <si>
    <t xml:space="preserve">    Aumento/Redução Devedores com Vendas Compromissadas</t>
  </si>
  <si>
    <t xml:space="preserve">    Aumento/Redução Terrenos Edificações ou Urbanização</t>
  </si>
  <si>
    <t xml:space="preserve">    Aumento/Redução Tributos a Recuperar</t>
  </si>
  <si>
    <t xml:space="preserve">    Aumento/Redução em Obras em Andamento Programas Habitacionais</t>
  </si>
  <si>
    <t xml:space="preserve">    Aumento/Redução em Contingencias Judiciais</t>
  </si>
  <si>
    <t xml:space="preserve">     Aquisição de ações para tesouraria</t>
  </si>
  <si>
    <t xml:space="preserve">   ( = ) Caixa Líquido Consumido nas Atividades de Financiamento</t>
  </si>
  <si>
    <t xml:space="preserve">   ( = ) (Redução)/Aumento Líquido nas Disponibilidades</t>
  </si>
  <si>
    <t>24.4</t>
  </si>
  <si>
    <t xml:space="preserve">    Saldo de Caixa Início do Exercício</t>
  </si>
  <si>
    <t xml:space="preserve">    Saldo de Caixa Final do Exercício</t>
  </si>
  <si>
    <t>Reconhecemos a exatidão da presente Demonstração dos Fluxos de Caixa - Nota Explicativa nº 24</t>
  </si>
  <si>
    <t xml:space="preserve">       DEMONSTRAÇÃO DO VALOR ADICIONADO (DVA)</t>
  </si>
  <si>
    <t>RECEITAS</t>
  </si>
  <si>
    <t>25.1</t>
  </si>
  <si>
    <t>Receita de Alienação de Bens Imóveis</t>
  </si>
  <si>
    <t xml:space="preserve">Subvenção de Custeio  - Recursos Tesouro Estadual </t>
  </si>
  <si>
    <t xml:space="preserve">Subvenção Programas Habitacionais - Recursos Tesouro Estadual </t>
  </si>
  <si>
    <t xml:space="preserve">Subvenção Programas Habitacionais - Recursos União </t>
  </si>
  <si>
    <t xml:space="preserve">Outras Receitas </t>
  </si>
  <si>
    <t>(-)INSUMOS ADQUIRIDOS DE TERCEIROS</t>
  </si>
  <si>
    <t>25.2</t>
  </si>
  <si>
    <t>Materiais, Energia, Serviços de Terceiros e Outros</t>
  </si>
  <si>
    <t>Perda/Recuperação de Valores Ativos</t>
  </si>
  <si>
    <t>Outras Despesas</t>
  </si>
  <si>
    <t>(=)VALOR ADICIONADO BRUTO</t>
  </si>
  <si>
    <t>(-)RETENÇÕES</t>
  </si>
  <si>
    <t>Depreciação, Amortização e Exaustão</t>
  </si>
  <si>
    <t>(=)VALOR ADICIONADO LÍQUIDO PRODUZIDO PELA ENTIDADE</t>
  </si>
  <si>
    <t>(+)VALOR ADICIONADO RECEBIDO EM TRANSFERÊNCIA</t>
  </si>
  <si>
    <t>(=)VALOR ADICIONADO TOTAL A DISTRIBUIR</t>
  </si>
  <si>
    <t>(+)DISTRIBUIÇÃO DO VALOR ADICIONADO</t>
  </si>
  <si>
    <t>25.3</t>
  </si>
  <si>
    <t>Pessoal e Encargos</t>
  </si>
  <si>
    <t>Impostos, Taxas e Contribuições</t>
  </si>
  <si>
    <t>Lucros Retidos/Prejuízos do Exercício</t>
  </si>
  <si>
    <t>Reconhecemos a exatidão da presente Demonstração do Valor Adicionado - Nota Explicativa nº 25</t>
  </si>
  <si>
    <t xml:space="preserve">       DEMONSTRAÇÃO DO RESULTADO ABRANGENTE  (DRA)</t>
  </si>
  <si>
    <t>RESULTADO LÍQUIDO DO PERÍODO</t>
  </si>
  <si>
    <t>Outros resultados abrangentes classificados conforme sua natureza (outras receitas e outras despesas abrangentes)</t>
  </si>
  <si>
    <t>Parcela dos outros resultados abrangentes de empresas investidas reconhecida por meio do método de equivalência patrimonial</t>
  </si>
  <si>
    <t>RESULTADO ABRANGENTE DO PERÍODO</t>
  </si>
  <si>
    <t>Reconhecemos a exatidão da presente Demonstração do Resultado Abrangente - Nota Explicativa nº 26</t>
  </si>
  <si>
    <t xml:space="preserve">    Aumento/Redução Unidades Residenciais Programas de Governo</t>
  </si>
  <si>
    <t xml:space="preserve">    Aumento/Redução em Contas a Receber</t>
  </si>
  <si>
    <t>31 de Dezembro de 2025</t>
  </si>
  <si>
    <t>Goiânia-Goiás, 31 de Dezembro de 2025</t>
  </si>
  <si>
    <t>Obras Concluídas - Programas Habitacionais</t>
  </si>
  <si>
    <t>12.7</t>
  </si>
  <si>
    <t>Transferência Obras Concluídas</t>
  </si>
  <si>
    <t>Provisões para Contingências Processos Fiscais</t>
  </si>
  <si>
    <t>13.5</t>
  </si>
  <si>
    <t>13.6</t>
  </si>
  <si>
    <t xml:space="preserve">RECONHECEMOS A EXATIDÃO DO PRESENTE BALANÇO PATRIMONIAL ENCERRADO EM 31/12/2025, TOTALIZANDO NO ATIVO E PASSIVO O VALOR DE R$ 993.876.523,56 (NOVECENTOS E NOVENTA E TRÊS MILHÕES, OITOCENTOS E SETENTA E SEIS MIL, QUINHENTOS E VINTE E TRÊS REAIS E CINQUENTA E SEIS CENTAVOS)                                           </t>
  </si>
  <si>
    <t>Saldo em 31/12/2025</t>
  </si>
  <si>
    <t xml:space="preserve">     Aquisição de  Imobilizado/Desenvolvimento de Software,</t>
  </si>
  <si>
    <t xml:space="preserve">    Aumento/Redução em Obras Concluídas</t>
  </si>
  <si>
    <t>Receitas Bruta de Serviço  (a)</t>
  </si>
  <si>
    <t>Receita de Alienação de Bens Imóveis (b)</t>
  </si>
  <si>
    <t xml:space="preserve">Receitas Bruta de Serviço </t>
  </si>
  <si>
    <t>CUSTOS DOS SERVIÇOS PRESTADOS</t>
  </si>
  <si>
    <t>OUTROS CUSTOS DOS SERVIÇOS PRESTADOS</t>
  </si>
  <si>
    <t>Provisão para Perdas com créditos de liquidação duvidosa</t>
  </si>
  <si>
    <t>Contas a Receber - Devedores por Vendas Compromissadas</t>
  </si>
  <si>
    <t>Prestações a receber Conjuntos e Loteamentos - Fonte Alienação de Bens (a)</t>
  </si>
  <si>
    <t>Secretaria de Estado da Economia - Fonte Recurso Arrecadado (b)</t>
  </si>
  <si>
    <t>Contas a Receber - Devedores Vendas Compromissadas</t>
  </si>
  <si>
    <t>Obras em Andamento - Recurso Tesouro Estadual - Fonte Protege</t>
  </si>
  <si>
    <t>Obras em Andamento - Retomada - Fonte Recurso Ordinário Estadual</t>
  </si>
  <si>
    <t>Obras em Andamento - Recurso Tesouro Estadual - Fonte Protege/FAR</t>
  </si>
  <si>
    <t>Obras Em Andamento - Programas Habitacionais</t>
  </si>
  <si>
    <t>Obras em Andamento - Convênios Federais FGTS/CAIXA</t>
  </si>
  <si>
    <t>Obra Concluída - Convênios Federais/CAIXA/FGTS (João Paulo II)</t>
  </si>
  <si>
    <t>Estoque de Bens do Almoxarifado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</si>
</sst>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&quot;* #,##0.00_);\(&quot;R$&quot;* #,##0.00\);_(&quot;R$&quot;* &quot;-&quot;??_);_(@_)"/>
    <numFmt numFmtId="167" formatCode="_(* #,##0.00_);_(* \(#,##0.00\);_(* &quot;-&quot;??_);_(@_)"/>
    <numFmt numFmtId="168" formatCode="_(* #,##0.00_);_(* \(#,##0.00\);_(* \-??_);_(@_)"/>
  </numFmts>
  <fonts count="17" x14ac:knownFonts="1">
    <font>
      <sz val="8"/>
      <name val="Arial"/>
    </font>
    <font>
      <b/>
      <sz val="10"/>
      <name val="Arial"/>
      <family val="2"/>
    </font>
    <font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70C0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05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/>
    </xf>
    <xf numFmtId="14" fontId="4" fillId="2" borderId="0" xfId="0" applyNumberFormat="1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0" fontId="9" fillId="2" borderId="0" xfId="0" applyFont="1" applyFill="1" applyAlignment="1"/>
    <xf numFmtId="0" fontId="9" fillId="2" borderId="0" xfId="0" applyFont="1" applyFill="1" applyAlignment="1">
      <alignment horizontal="center"/>
    </xf>
    <xf numFmtId="0" fontId="10" fillId="2" borderId="0" xfId="3" applyFont="1" applyFill="1" applyBorder="1"/>
    <xf numFmtId="167" fontId="9" fillId="2" borderId="0" xfId="7" applyNumberFormat="1" applyFont="1" applyFill="1" applyBorder="1" applyAlignment="1"/>
    <xf numFmtId="0" fontId="9" fillId="2" borderId="0" xfId="3" applyFont="1" applyFill="1" applyAlignment="1"/>
    <xf numFmtId="0" fontId="9" fillId="2" borderId="0" xfId="3" applyFont="1" applyFill="1" applyAlignment="1">
      <alignment horizontal="center"/>
    </xf>
    <xf numFmtId="167" fontId="10" fillId="3" borderId="1" xfId="7" applyNumberFormat="1" applyFont="1" applyFill="1" applyBorder="1" applyAlignment="1">
      <alignment horizontal="center"/>
    </xf>
    <xf numFmtId="0" fontId="5" fillId="3" borderId="1" xfId="7" applyNumberFormat="1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center" vertical="center"/>
    </xf>
    <xf numFmtId="0" fontId="5" fillId="2" borderId="0" xfId="7" applyNumberFormat="1" applyFont="1" applyFill="1" applyBorder="1" applyAlignment="1">
      <alignment horizontal="center" vertical="center" wrapText="1"/>
    </xf>
    <xf numFmtId="0" fontId="5" fillId="2" borderId="0" xfId="3" applyNumberFormat="1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center" vertical="center" wrapText="1"/>
    </xf>
    <xf numFmtId="0" fontId="10" fillId="2" borderId="0" xfId="3" applyFont="1" applyFill="1" applyBorder="1" applyAlignment="1">
      <alignment horizontal="center"/>
    </xf>
    <xf numFmtId="167" fontId="5" fillId="2" borderId="0" xfId="6" applyFont="1" applyFill="1" applyBorder="1" applyAlignment="1">
      <alignment horizontal="center"/>
    </xf>
    <xf numFmtId="0" fontId="4" fillId="2" borderId="0" xfId="0" applyFont="1" applyFill="1" applyAlignment="1"/>
    <xf numFmtId="0" fontId="4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/>
    <xf numFmtId="0" fontId="4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168" fontId="3" fillId="2" borderId="0" xfId="0" applyNumberFormat="1" applyFont="1" applyFill="1" applyBorder="1" applyAlignment="1">
      <alignment horizontal="center"/>
    </xf>
    <xf numFmtId="167" fontId="4" fillId="2" borderId="0" xfId="0" applyNumberFormat="1" applyFont="1" applyFill="1" applyBorder="1"/>
    <xf numFmtId="43" fontId="4" fillId="2" borderId="0" xfId="0" applyNumberFormat="1" applyFont="1" applyFill="1" applyBorder="1" applyAlignment="1">
      <alignment horizontal="center"/>
    </xf>
    <xf numFmtId="43" fontId="4" fillId="2" borderId="0" xfId="0" applyNumberFormat="1" applyFont="1" applyFill="1" applyBorder="1" applyAlignment="1"/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43" fontId="3" fillId="2" borderId="0" xfId="0" applyNumberFormat="1" applyFont="1" applyFill="1" applyBorder="1" applyAlignment="1">
      <alignment wrapText="1"/>
    </xf>
    <xf numFmtId="167" fontId="3" fillId="2" borderId="0" xfId="7" applyNumberFormat="1" applyFont="1" applyFill="1" applyBorder="1" applyAlignment="1">
      <alignment horizontal="center"/>
    </xf>
    <xf numFmtId="167" fontId="4" fillId="2" borderId="0" xfId="0" applyNumberFormat="1" applyFont="1" applyFill="1" applyBorder="1" applyAlignment="1">
      <alignment horizontal="center"/>
    </xf>
    <xf numFmtId="167" fontId="4" fillId="2" borderId="0" xfId="7" applyNumberFormat="1" applyFont="1" applyFill="1" applyBorder="1" applyAlignment="1">
      <alignment horizontal="center"/>
    </xf>
    <xf numFmtId="14" fontId="4" fillId="3" borderId="1" xfId="0" applyNumberFormat="1" applyFont="1" applyFill="1" applyBorder="1" applyAlignment="1">
      <alignment horizontal="center"/>
    </xf>
    <xf numFmtId="167" fontId="4" fillId="3" borderId="1" xfId="0" applyNumberFormat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167" fontId="10" fillId="2" borderId="1" xfId="0" applyNumberFormat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167" fontId="9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167" fontId="9" fillId="2" borderId="0" xfId="7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67" fontId="9" fillId="2" borderId="1" xfId="7" applyNumberFormat="1" applyFont="1" applyFill="1" applyBorder="1" applyAlignment="1">
      <alignment horizontal="center"/>
    </xf>
    <xf numFmtId="167" fontId="10" fillId="2" borderId="1" xfId="7" applyNumberFormat="1" applyFont="1" applyFill="1" applyBorder="1" applyAlignment="1">
      <alignment horizontal="center"/>
    </xf>
    <xf numFmtId="167" fontId="9" fillId="2" borderId="0" xfId="7" applyNumberFormat="1" applyFont="1" applyFill="1" applyAlignment="1">
      <alignment horizontal="center"/>
    </xf>
    <xf numFmtId="167" fontId="10" fillId="2" borderId="0" xfId="7" applyNumberFormat="1" applyFont="1" applyFill="1" applyBorder="1" applyAlignment="1">
      <alignment horizontal="center"/>
    </xf>
    <xf numFmtId="167" fontId="9" fillId="2" borderId="0" xfId="0" applyNumberFormat="1" applyFont="1" applyFill="1" applyAlignment="1">
      <alignment horizontal="center"/>
    </xf>
    <xf numFmtId="0" fontId="10" fillId="3" borderId="1" xfId="0" applyFont="1" applyFill="1" applyBorder="1" applyAlignment="1">
      <alignment horizontal="center"/>
    </xf>
    <xf numFmtId="14" fontId="10" fillId="3" borderId="1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3" borderId="1" xfId="0" applyFont="1" applyFill="1" applyBorder="1" applyAlignment="1">
      <alignment horizontal="center"/>
    </xf>
    <xf numFmtId="168" fontId="3" fillId="2" borderId="0" xfId="0" applyNumberFormat="1" applyFont="1" applyFill="1" applyAlignment="1">
      <alignment horizontal="center"/>
    </xf>
    <xf numFmtId="168" fontId="4" fillId="2" borderId="0" xfId="0" applyNumberFormat="1" applyFont="1" applyFill="1" applyAlignment="1">
      <alignment horizontal="center"/>
    </xf>
    <xf numFmtId="43" fontId="4" fillId="2" borderId="0" xfId="0" applyNumberFormat="1" applyFont="1" applyFill="1" applyAlignment="1">
      <alignment horizontal="center"/>
    </xf>
    <xf numFmtId="167" fontId="4" fillId="2" borderId="0" xfId="0" applyNumberFormat="1" applyFont="1" applyFill="1" applyAlignment="1">
      <alignment horizontal="center"/>
    </xf>
    <xf numFmtId="167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justify" wrapText="1"/>
    </xf>
    <xf numFmtId="0" fontId="3" fillId="2" borderId="0" xfId="0" applyFont="1" applyFill="1" applyAlignment="1">
      <alignment horizontal="center" wrapText="1"/>
    </xf>
    <xf numFmtId="0" fontId="12" fillId="2" borderId="1" xfId="3" applyFont="1" applyFill="1" applyBorder="1" applyAlignment="1">
      <alignment horizontal="center"/>
    </xf>
    <xf numFmtId="167" fontId="4" fillId="2" borderId="1" xfId="6" applyFont="1" applyFill="1" applyBorder="1" applyAlignment="1">
      <alignment horizontal="center"/>
    </xf>
    <xf numFmtId="0" fontId="13" fillId="2" borderId="0" xfId="0" applyFont="1" applyFill="1"/>
    <xf numFmtId="0" fontId="12" fillId="2" borderId="0" xfId="3" applyFont="1" applyFill="1" applyBorder="1" applyAlignment="1">
      <alignment horizontal="center"/>
    </xf>
    <xf numFmtId="167" fontId="4" fillId="2" borderId="0" xfId="6" applyFont="1" applyFill="1" applyBorder="1" applyAlignment="1">
      <alignment horizontal="center"/>
    </xf>
    <xf numFmtId="0" fontId="13" fillId="2" borderId="0" xfId="3" applyFont="1" applyFill="1" applyBorder="1" applyAlignment="1">
      <alignment horizontal="left"/>
    </xf>
    <xf numFmtId="167" fontId="3" fillId="2" borderId="0" xfId="6" applyFont="1" applyFill="1" applyBorder="1" applyAlignment="1">
      <alignment horizontal="center"/>
    </xf>
    <xf numFmtId="0" fontId="13" fillId="2" borderId="0" xfId="3" applyFont="1" applyFill="1" applyBorder="1" applyAlignment="1">
      <alignment horizontal="center"/>
    </xf>
    <xf numFmtId="0" fontId="12" fillId="2" borderId="0" xfId="3" applyFont="1" applyFill="1" applyBorder="1"/>
    <xf numFmtId="167" fontId="4" fillId="2" borderId="0" xfId="6" applyFont="1" applyFill="1" applyBorder="1" applyAlignment="1"/>
    <xf numFmtId="0" fontId="13" fillId="2" borderId="0" xfId="0" applyFont="1" applyFill="1" applyAlignment="1">
      <alignment horizontal="center"/>
    </xf>
    <xf numFmtId="0" fontId="13" fillId="2" borderId="0" xfId="0" applyFont="1" applyFill="1" applyAlignment="1"/>
    <xf numFmtId="167" fontId="14" fillId="2" borderId="0" xfId="6" applyFont="1" applyFill="1" applyBorder="1" applyAlignment="1"/>
    <xf numFmtId="167" fontId="14" fillId="2" borderId="0" xfId="6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43" fontId="9" fillId="2" borderId="0" xfId="0" applyNumberFormat="1" applyFont="1" applyFill="1" applyAlignment="1">
      <alignment horizontal="center"/>
    </xf>
    <xf numFmtId="37" fontId="4" fillId="2" borderId="0" xfId="2" applyNumberFormat="1" applyFont="1" applyFill="1" applyAlignment="1" applyProtection="1">
      <alignment horizontal="center" vertical="center"/>
      <protection locked="0"/>
    </xf>
    <xf numFmtId="167" fontId="4" fillId="2" borderId="0" xfId="2" applyNumberFormat="1" applyFont="1" applyFill="1" applyAlignment="1" applyProtection="1">
      <alignment horizontal="center" vertical="center"/>
      <protection locked="0"/>
    </xf>
    <xf numFmtId="0" fontId="3" fillId="2" borderId="0" xfId="2" applyFont="1" applyFill="1" applyProtection="1">
      <protection locked="0"/>
    </xf>
    <xf numFmtId="37" fontId="3" fillId="2" borderId="0" xfId="2" applyNumberFormat="1" applyFont="1" applyFill="1" applyAlignment="1" applyProtection="1">
      <alignment vertical="center"/>
      <protection locked="0"/>
    </xf>
    <xf numFmtId="37" fontId="3" fillId="2" borderId="0" xfId="2" applyNumberFormat="1" applyFont="1" applyFill="1" applyAlignment="1" applyProtection="1">
      <alignment horizontal="center" vertical="center"/>
      <protection locked="0"/>
    </xf>
    <xf numFmtId="167" fontId="3" fillId="2" borderId="0" xfId="2" applyNumberFormat="1" applyFont="1" applyFill="1" applyAlignment="1" applyProtection="1">
      <alignment horizontal="center" vertical="center"/>
      <protection locked="0"/>
    </xf>
    <xf numFmtId="0" fontId="3" fillId="2" borderId="0" xfId="2" applyNumberFormat="1" applyFont="1" applyFill="1" applyBorder="1" applyAlignment="1" applyProtection="1">
      <alignment horizontal="center" vertical="center"/>
      <protection locked="0"/>
    </xf>
    <xf numFmtId="0" fontId="4" fillId="2" borderId="0" xfId="2" applyFont="1" applyFill="1" applyProtection="1">
      <protection locked="0"/>
    </xf>
    <xf numFmtId="37" fontId="4" fillId="2" borderId="0" xfId="2" applyNumberFormat="1" applyFont="1" applyFill="1" applyBorder="1" applyAlignment="1" applyProtection="1">
      <alignment horizontal="center" vertical="center"/>
      <protection locked="0"/>
    </xf>
    <xf numFmtId="167" fontId="4" fillId="2" borderId="0" xfId="2" applyNumberFormat="1" applyFont="1" applyFill="1" applyBorder="1" applyAlignment="1" applyProtection="1">
      <alignment horizontal="center" vertical="center"/>
      <protection locked="0"/>
    </xf>
    <xf numFmtId="14" fontId="4" fillId="2" borderId="0" xfId="2" applyNumberFormat="1" applyFont="1" applyFill="1" applyBorder="1" applyAlignment="1" applyProtection="1">
      <alignment horizontal="center" vertical="center"/>
      <protection locked="0"/>
    </xf>
    <xf numFmtId="0" fontId="3" fillId="2" borderId="0" xfId="2" applyFont="1" applyFill="1" applyProtection="1">
      <protection hidden="1"/>
    </xf>
    <xf numFmtId="0" fontId="12" fillId="2" borderId="0" xfId="0" applyFont="1" applyFill="1" applyAlignment="1"/>
    <xf numFmtId="0" fontId="12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168" fontId="12" fillId="2" borderId="1" xfId="0" applyNumberFormat="1" applyFont="1" applyFill="1" applyBorder="1" applyAlignment="1">
      <alignment horizontal="center"/>
    </xf>
    <xf numFmtId="167" fontId="12" fillId="2" borderId="1" xfId="0" applyNumberFormat="1" applyFont="1" applyFill="1" applyBorder="1" applyAlignment="1">
      <alignment horizontal="center"/>
    </xf>
    <xf numFmtId="0" fontId="8" fillId="4" borderId="0" xfId="0" applyFont="1" applyFill="1" applyAlignment="1">
      <alignment horizontal="left"/>
    </xf>
    <xf numFmtId="168" fontId="8" fillId="4" borderId="0" xfId="0" applyNumberFormat="1" applyFont="1" applyFill="1" applyAlignment="1">
      <alignment horizontal="center"/>
    </xf>
    <xf numFmtId="167" fontId="13" fillId="2" borderId="0" xfId="0" applyNumberFormat="1" applyFont="1" applyFill="1" applyBorder="1" applyAlignment="1">
      <alignment horizontal="center"/>
    </xf>
    <xf numFmtId="0" fontId="13" fillId="2" borderId="0" xfId="0" applyFont="1" applyFill="1" applyBorder="1" applyAlignment="1">
      <alignment horizontal="left"/>
    </xf>
    <xf numFmtId="168" fontId="13" fillId="2" borderId="0" xfId="0" applyNumberFormat="1" applyFont="1" applyFill="1" applyBorder="1" applyAlignment="1">
      <alignment horizontal="center"/>
    </xf>
    <xf numFmtId="167" fontId="13" fillId="2" borderId="0" xfId="7" applyNumberFormat="1" applyFont="1" applyFill="1" applyBorder="1" applyAlignment="1">
      <alignment horizontal="center"/>
    </xf>
    <xf numFmtId="0" fontId="13" fillId="2" borderId="0" xfId="0" applyFont="1" applyFill="1" applyAlignment="1">
      <alignment horizontal="left"/>
    </xf>
    <xf numFmtId="168" fontId="13" fillId="2" borderId="0" xfId="0" applyNumberFormat="1" applyFont="1" applyFill="1" applyAlignment="1">
      <alignment horizontal="center"/>
    </xf>
    <xf numFmtId="0" fontId="13" fillId="2" borderId="0" xfId="0" applyFont="1" applyFill="1" applyBorder="1" applyAlignment="1">
      <alignment horizontal="center"/>
    </xf>
    <xf numFmtId="167" fontId="13" fillId="2" borderId="0" xfId="7" applyNumberFormat="1" applyFont="1" applyFill="1" applyAlignment="1">
      <alignment horizontal="center"/>
    </xf>
    <xf numFmtId="168" fontId="12" fillId="2" borderId="1" xfId="7" applyNumberFormat="1" applyFont="1" applyFill="1" applyBorder="1" applyAlignment="1">
      <alignment horizontal="center"/>
    </xf>
    <xf numFmtId="167" fontId="12" fillId="2" borderId="1" xfId="7" applyNumberFormat="1" applyFont="1" applyFill="1" applyBorder="1" applyAlignment="1">
      <alignment horizontal="center"/>
    </xf>
    <xf numFmtId="0" fontId="12" fillId="2" borderId="0" xfId="0" applyFont="1" applyFill="1"/>
    <xf numFmtId="167" fontId="12" fillId="2" borderId="0" xfId="7" applyNumberFormat="1" applyFont="1" applyFill="1" applyBorder="1" applyAlignment="1">
      <alignment horizontal="center"/>
    </xf>
    <xf numFmtId="0" fontId="13" fillId="2" borderId="0" xfId="0" applyFont="1" applyFill="1" applyBorder="1"/>
    <xf numFmtId="43" fontId="13" fillId="2" borderId="0" xfId="0" applyNumberFormat="1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12" fillId="2" borderId="0" xfId="0" applyFont="1" applyFill="1" applyAlignment="1">
      <alignment horizontal="left"/>
    </xf>
    <xf numFmtId="167" fontId="12" fillId="2" borderId="0" xfId="7" applyNumberFormat="1" applyFont="1" applyFill="1" applyAlignment="1">
      <alignment horizontal="center"/>
    </xf>
    <xf numFmtId="0" fontId="13" fillId="2" borderId="0" xfId="0" applyFont="1" applyFill="1" applyBorder="1" applyAlignment="1">
      <alignment wrapText="1"/>
    </xf>
    <xf numFmtId="43" fontId="13" fillId="2" borderId="0" xfId="7" applyFont="1" applyFill="1" applyBorder="1" applyAlignment="1">
      <alignment horizontal="center" vertical="center"/>
    </xf>
    <xf numFmtId="0" fontId="12" fillId="2" borderId="1" xfId="0" applyFont="1" applyFill="1" applyBorder="1"/>
    <xf numFmtId="0" fontId="12" fillId="2" borderId="0" xfId="0" applyFont="1" applyFill="1" applyBorder="1"/>
    <xf numFmtId="0" fontId="12" fillId="2" borderId="0" xfId="0" applyFont="1" applyFill="1" applyBorder="1" applyAlignment="1">
      <alignment horizontal="center"/>
    </xf>
    <xf numFmtId="43" fontId="9" fillId="2" borderId="0" xfId="0" applyNumberFormat="1" applyFont="1" applyFill="1"/>
    <xf numFmtId="164" fontId="3" fillId="2" borderId="0" xfId="1" applyFont="1" applyFill="1" applyBorder="1" applyAlignment="1" applyProtection="1">
      <alignment vertical="center"/>
      <protection locked="0"/>
    </xf>
    <xf numFmtId="164" fontId="4" fillId="2" borderId="0" xfId="1" applyFont="1" applyFill="1" applyAlignment="1" applyProtection="1">
      <alignment horizontal="center" vertical="center"/>
      <protection locked="0"/>
    </xf>
    <xf numFmtId="164" fontId="3" fillId="2" borderId="0" xfId="1" applyFont="1" applyFill="1" applyAlignment="1" applyProtection="1">
      <alignment vertical="center"/>
      <protection locked="0"/>
    </xf>
    <xf numFmtId="164" fontId="3" fillId="2" borderId="0" xfId="1" applyFont="1" applyFill="1" applyBorder="1" applyAlignment="1" applyProtection="1">
      <alignment horizontal="center" vertical="center"/>
      <protection locked="0"/>
    </xf>
    <xf numFmtId="164" fontId="4" fillId="2" borderId="0" xfId="1" applyFont="1" applyFill="1" applyBorder="1" applyAlignment="1" applyProtection="1">
      <alignment vertical="center"/>
      <protection locked="0"/>
    </xf>
    <xf numFmtId="164" fontId="13" fillId="2" borderId="0" xfId="1" applyFont="1" applyFill="1" applyBorder="1" applyAlignment="1">
      <alignment wrapText="1"/>
    </xf>
    <xf numFmtId="164" fontId="13" fillId="2" borderId="0" xfId="1" applyFont="1" applyFill="1" applyAlignment="1"/>
    <xf numFmtId="164" fontId="0" fillId="0" borderId="0" xfId="1" applyFont="1"/>
    <xf numFmtId="164" fontId="13" fillId="2" borderId="0" xfId="1" applyFont="1" applyFill="1"/>
    <xf numFmtId="14" fontId="10" fillId="2" borderId="1" xfId="0" applyNumberFormat="1" applyFont="1" applyFill="1" applyBorder="1" applyAlignment="1">
      <alignment horizontal="center" wrapText="1"/>
    </xf>
    <xf numFmtId="0" fontId="10" fillId="2" borderId="0" xfId="0" applyFont="1" applyFill="1" applyAlignment="1"/>
    <xf numFmtId="37" fontId="3" fillId="2" borderId="0" xfId="2" applyNumberFormat="1" applyFont="1" applyFill="1" applyBorder="1" applyAlignment="1" applyProtection="1">
      <alignment horizontal="left" vertical="center"/>
      <protection locked="0"/>
    </xf>
    <xf numFmtId="37" fontId="4" fillId="2" borderId="0" xfId="2" applyNumberFormat="1" applyFont="1" applyFill="1" applyAlignment="1" applyProtection="1">
      <alignment vertical="center"/>
      <protection locked="0"/>
    </xf>
    <xf numFmtId="37" fontId="4" fillId="2" borderId="1" xfId="2" applyNumberFormat="1" applyFont="1" applyFill="1" applyBorder="1" applyAlignment="1" applyProtection="1">
      <alignment horizontal="left" vertical="center"/>
      <protection locked="0"/>
    </xf>
    <xf numFmtId="167" fontId="4" fillId="2" borderId="0" xfId="2" applyNumberFormat="1" applyFont="1" applyFill="1" applyBorder="1" applyAlignment="1" applyProtection="1">
      <alignment horizontal="left" vertical="center"/>
      <protection locked="0"/>
    </xf>
    <xf numFmtId="167" fontId="3" fillId="2" borderId="0" xfId="2" applyNumberFormat="1" applyFont="1" applyFill="1" applyBorder="1" applyAlignment="1" applyProtection="1">
      <alignment horizontal="left" vertical="center"/>
      <protection locked="0"/>
    </xf>
    <xf numFmtId="167" fontId="3" fillId="2" borderId="0" xfId="6" applyNumberFormat="1" applyFont="1" applyFill="1" applyBorder="1" applyAlignment="1" applyProtection="1">
      <alignment horizontal="left" vertical="center"/>
      <protection locked="0"/>
    </xf>
    <xf numFmtId="37" fontId="4" fillId="2" borderId="0" xfId="2" applyNumberFormat="1" applyFont="1" applyFill="1" applyBorder="1" applyAlignment="1" applyProtection="1">
      <alignment horizontal="left" vertical="center"/>
      <protection locked="0"/>
    </xf>
    <xf numFmtId="167" fontId="4" fillId="2" borderId="0" xfId="6" applyNumberFormat="1" applyFont="1" applyFill="1" applyBorder="1" applyAlignment="1" applyProtection="1">
      <alignment horizontal="left" vertical="center"/>
      <protection locked="0"/>
    </xf>
    <xf numFmtId="0" fontId="3" fillId="2" borderId="0" xfId="2" applyNumberFormat="1" applyFont="1" applyFill="1" applyBorder="1" applyAlignment="1" applyProtection="1">
      <alignment horizontal="left" vertical="center"/>
      <protection locked="0"/>
    </xf>
    <xf numFmtId="167" fontId="4" fillId="2" borderId="1" xfId="6" applyNumberFormat="1" applyFont="1" applyFill="1" applyBorder="1" applyAlignment="1" applyProtection="1">
      <alignment horizontal="left" vertical="center"/>
      <protection locked="0"/>
    </xf>
    <xf numFmtId="37" fontId="3" fillId="2" borderId="0" xfId="2" applyNumberFormat="1" applyFont="1" applyFill="1" applyAlignment="1" applyProtection="1">
      <alignment horizontal="left" vertical="center"/>
      <protection locked="0"/>
    </xf>
    <xf numFmtId="167" fontId="3" fillId="2" borderId="0" xfId="2" applyNumberFormat="1" applyFont="1" applyFill="1" applyAlignment="1" applyProtection="1">
      <alignment horizontal="left" vertical="center"/>
      <protection locked="0"/>
    </xf>
    <xf numFmtId="167" fontId="3" fillId="2" borderId="0" xfId="6" applyNumberFormat="1" applyFont="1" applyFill="1" applyAlignment="1" applyProtection="1">
      <alignment horizontal="left" vertical="center"/>
      <protection locked="0"/>
    </xf>
    <xf numFmtId="167" fontId="4" fillId="2" borderId="0" xfId="2" applyNumberFormat="1" applyFont="1" applyFill="1" applyAlignment="1" applyProtection="1">
      <alignment horizontal="left" vertical="center"/>
      <protection locked="0"/>
    </xf>
    <xf numFmtId="0" fontId="4" fillId="2" borderId="1" xfId="2" applyFont="1" applyFill="1" applyBorder="1" applyAlignment="1" applyProtection="1">
      <alignment horizontal="left"/>
      <protection locked="0"/>
    </xf>
    <xf numFmtId="167" fontId="4" fillId="2" borderId="1" xfId="6" applyNumberFormat="1" applyFont="1" applyFill="1" applyBorder="1" applyAlignment="1" applyProtection="1">
      <alignment horizontal="left"/>
      <protection locked="0"/>
    </xf>
    <xf numFmtId="0" fontId="13" fillId="2" borderId="0" xfId="2" applyFont="1" applyFill="1" applyBorder="1" applyAlignment="1" applyProtection="1">
      <alignment horizontal="left"/>
      <protection locked="0"/>
    </xf>
    <xf numFmtId="167" fontId="13" fillId="2" borderId="0" xfId="2" applyNumberFormat="1" applyFont="1" applyFill="1" applyBorder="1" applyAlignment="1" applyProtection="1">
      <alignment horizontal="left"/>
      <protection locked="0"/>
    </xf>
    <xf numFmtId="167" fontId="3" fillId="2" borderId="0" xfId="6" applyNumberFormat="1" applyFont="1" applyFill="1" applyBorder="1" applyAlignment="1" applyProtection="1">
      <alignment horizontal="left"/>
      <protection locked="0"/>
    </xf>
    <xf numFmtId="0" fontId="13" fillId="2" borderId="0" xfId="2" applyFont="1" applyFill="1" applyAlignment="1" applyProtection="1">
      <alignment horizontal="left"/>
      <protection locked="0"/>
    </xf>
    <xf numFmtId="167" fontId="13" fillId="2" borderId="0" xfId="2" applyNumberFormat="1" applyFont="1" applyFill="1" applyAlignment="1" applyProtection="1">
      <alignment horizontal="left"/>
      <protection locked="0"/>
    </xf>
    <xf numFmtId="167" fontId="3" fillId="2" borderId="0" xfId="6" applyNumberFormat="1" applyFont="1" applyFill="1" applyAlignment="1" applyProtection="1">
      <alignment horizontal="left"/>
      <protection locked="0"/>
    </xf>
    <xf numFmtId="37" fontId="4" fillId="2" borderId="4" xfId="2" applyNumberFormat="1" applyFont="1" applyFill="1" applyBorder="1" applyAlignment="1" applyProtection="1">
      <alignment vertical="center"/>
      <protection locked="0"/>
    </xf>
    <xf numFmtId="37" fontId="4" fillId="2" borderId="8" xfId="2" applyNumberFormat="1" applyFont="1" applyFill="1" applyBorder="1" applyAlignment="1" applyProtection="1">
      <alignment vertical="center"/>
      <protection locked="0"/>
    </xf>
    <xf numFmtId="0" fontId="9" fillId="2" borderId="0" xfId="0" applyFont="1" applyFill="1" applyBorder="1" applyAlignment="1">
      <alignment horizontal="left"/>
    </xf>
    <xf numFmtId="0" fontId="12" fillId="3" borderId="4" xfId="0" applyFont="1" applyFill="1" applyBorder="1" applyAlignment="1"/>
    <xf numFmtId="0" fontId="12" fillId="3" borderId="8" xfId="0" applyFont="1" applyFill="1" applyBorder="1" applyAlignment="1"/>
    <xf numFmtId="9" fontId="3" fillId="2" borderId="0" xfId="4" applyFont="1" applyFill="1" applyBorder="1" applyAlignment="1">
      <alignment horizontal="center" wrapText="1"/>
    </xf>
    <xf numFmtId="9" fontId="3" fillId="2" borderId="0" xfId="4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4" fontId="6" fillId="2" borderId="1" xfId="1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4" fontId="1" fillId="2" borderId="1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" fillId="2" borderId="4" xfId="0" applyFont="1" applyFill="1" applyBorder="1" applyAlignment="1">
      <alignment horizontal="center"/>
    </xf>
    <xf numFmtId="14" fontId="1" fillId="2" borderId="4" xfId="0" applyNumberFormat="1" applyFont="1" applyFill="1" applyBorder="1" applyAlignment="1">
      <alignment horizontal="center"/>
    </xf>
    <xf numFmtId="4" fontId="6" fillId="2" borderId="5" xfId="1" applyNumberFormat="1" applyFont="1" applyFill="1" applyBorder="1" applyAlignment="1">
      <alignment horizontal="center"/>
    </xf>
    <xf numFmtId="4" fontId="6" fillId="2" borderId="5" xfId="1" applyNumberFormat="1" applyFont="1" applyFill="1" applyBorder="1" applyAlignment="1">
      <alignment horizontal="center" vertical="top"/>
    </xf>
    <xf numFmtId="164" fontId="6" fillId="2" borderId="5" xfId="1" applyFont="1" applyFill="1" applyBorder="1" applyAlignment="1">
      <alignment horizontal="center" vertical="top"/>
    </xf>
    <xf numFmtId="164" fontId="6" fillId="0" borderId="5" xfId="1" applyFont="1" applyBorder="1" applyAlignment="1">
      <alignment horizontal="center"/>
    </xf>
    <xf numFmtId="164" fontId="6" fillId="0" borderId="6" xfId="1" applyFont="1" applyBorder="1" applyAlignment="1">
      <alignment horizontal="center"/>
    </xf>
    <xf numFmtId="4" fontId="6" fillId="2" borderId="1" xfId="1" applyNumberFormat="1" applyFont="1" applyFill="1" applyBorder="1" applyAlignment="1">
      <alignment horizontal="center" vertical="top"/>
    </xf>
    <xf numFmtId="164" fontId="6" fillId="2" borderId="1" xfId="1" applyFont="1" applyFill="1" applyBorder="1" applyAlignment="1">
      <alignment horizontal="center" vertical="top"/>
    </xf>
    <xf numFmtId="164" fontId="6" fillId="0" borderId="1" xfId="1" applyFont="1" applyBorder="1" applyAlignment="1">
      <alignment horizontal="center"/>
    </xf>
    <xf numFmtId="164" fontId="6" fillId="0" borderId="4" xfId="1" applyFont="1" applyBorder="1" applyAlignment="1">
      <alignment horizontal="center"/>
    </xf>
    <xf numFmtId="4" fontId="1" fillId="2" borderId="1" xfId="1" applyNumberFormat="1" applyFont="1" applyFill="1" applyBorder="1" applyAlignment="1">
      <alignment horizontal="center" vertical="top"/>
    </xf>
    <xf numFmtId="164" fontId="1" fillId="2" borderId="1" xfId="1" applyFont="1" applyFill="1" applyBorder="1" applyAlignment="1">
      <alignment horizontal="center" vertical="top"/>
    </xf>
    <xf numFmtId="164" fontId="1" fillId="2" borderId="4" xfId="1" applyFont="1" applyFill="1" applyBorder="1" applyAlignment="1">
      <alignment horizontal="center" vertical="top"/>
    </xf>
    <xf numFmtId="164" fontId="1" fillId="2" borderId="0" xfId="1" applyFont="1" applyFill="1" applyBorder="1" applyAlignment="1">
      <alignment horizontal="center" vertical="top"/>
    </xf>
    <xf numFmtId="4" fontId="6" fillId="2" borderId="0" xfId="0" applyNumberFormat="1" applyFont="1" applyFill="1" applyAlignment="1">
      <alignment horizontal="center"/>
    </xf>
    <xf numFmtId="4" fontId="6" fillId="2" borderId="3" xfId="1" applyNumberFormat="1" applyFont="1" applyFill="1" applyBorder="1" applyAlignment="1">
      <alignment horizontal="center" vertical="top"/>
    </xf>
    <xf numFmtId="164" fontId="6" fillId="0" borderId="3" xfId="1" applyFont="1" applyBorder="1" applyAlignment="1">
      <alignment horizontal="center" vertical="top"/>
    </xf>
    <xf numFmtId="14" fontId="1" fillId="3" borderId="1" xfId="0" applyNumberFormat="1" applyFont="1" applyFill="1" applyBorder="1" applyAlignment="1">
      <alignment horizontal="center"/>
    </xf>
    <xf numFmtId="164" fontId="1" fillId="3" borderId="1" xfId="1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/>
    </xf>
    <xf numFmtId="4" fontId="1" fillId="2" borderId="0" xfId="1" applyNumberFormat="1" applyFont="1" applyFill="1" applyBorder="1" applyAlignment="1">
      <alignment horizontal="center" vertical="top"/>
    </xf>
    <xf numFmtId="164" fontId="1" fillId="3" borderId="0" xfId="1" applyFont="1" applyFill="1" applyBorder="1" applyAlignment="1">
      <alignment horizontal="center" vertical="top"/>
    </xf>
    <xf numFmtId="44" fontId="6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4" fontId="6" fillId="0" borderId="0" xfId="0" applyNumberFormat="1" applyFont="1" applyBorder="1" applyAlignment="1">
      <alignment horizontal="center"/>
    </xf>
    <xf numFmtId="4" fontId="6" fillId="0" borderId="0" xfId="1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4" fontId="6" fillId="0" borderId="1" xfId="1" applyNumberFormat="1" applyFont="1" applyBorder="1" applyAlignment="1">
      <alignment horizontal="center" vertical="top"/>
    </xf>
    <xf numFmtId="164" fontId="6" fillId="0" borderId="1" xfId="1" applyFont="1" applyBorder="1" applyAlignment="1">
      <alignment horizontal="center" vertical="top"/>
    </xf>
    <xf numFmtId="164" fontId="6" fillId="0" borderId="4" xfId="1" applyFont="1" applyBorder="1" applyAlignment="1">
      <alignment horizontal="center" vertical="top"/>
    </xf>
    <xf numFmtId="164" fontId="6" fillId="2" borderId="0" xfId="1" applyFont="1" applyFill="1" applyBorder="1" applyAlignment="1">
      <alignment horizontal="center" vertical="top"/>
    </xf>
    <xf numFmtId="164" fontId="6" fillId="0" borderId="0" xfId="1" applyFont="1" applyBorder="1" applyAlignment="1">
      <alignment horizontal="center" vertical="top"/>
    </xf>
    <xf numFmtId="4" fontId="6" fillId="0" borderId="1" xfId="1" applyNumberFormat="1" applyFont="1" applyBorder="1" applyAlignment="1">
      <alignment horizontal="center"/>
    </xf>
    <xf numFmtId="164" fontId="6" fillId="2" borderId="1" xfId="1" applyFont="1" applyFill="1" applyBorder="1" applyAlignment="1">
      <alignment horizontal="center"/>
    </xf>
    <xf numFmtId="164" fontId="6" fillId="2" borderId="4" xfId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4" fontId="1" fillId="3" borderId="1" xfId="0" applyNumberFormat="1" applyFont="1" applyFill="1" applyBorder="1" applyAlignment="1">
      <alignment horizontal="center"/>
    </xf>
    <xf numFmtId="44" fontId="1" fillId="2" borderId="1" xfId="0" applyNumberFormat="1" applyFont="1" applyFill="1" applyBorder="1" applyAlignment="1">
      <alignment horizontal="center"/>
    </xf>
    <xf numFmtId="44" fontId="1" fillId="2" borderId="4" xfId="0" applyNumberFormat="1" applyFont="1" applyFill="1" applyBorder="1" applyAlignment="1">
      <alignment horizontal="center"/>
    </xf>
    <xf numFmtId="44" fontId="1" fillId="2" borderId="0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/>
    </xf>
    <xf numFmtId="4" fontId="1" fillId="0" borderId="0" xfId="1" applyNumberFormat="1" applyFont="1" applyBorder="1" applyAlignment="1">
      <alignment horizontal="center" vertical="top"/>
    </xf>
    <xf numFmtId="164" fontId="1" fillId="0" borderId="0" xfId="1" applyFont="1" applyBorder="1" applyAlignment="1">
      <alignment horizontal="center" vertical="top"/>
    </xf>
    <xf numFmtId="164" fontId="6" fillId="2" borderId="4" xfId="1" applyFont="1" applyFill="1" applyBorder="1" applyAlignment="1">
      <alignment horizontal="center" vertical="top"/>
    </xf>
    <xf numFmtId="4" fontId="6" fillId="0" borderId="7" xfId="1" applyNumberFormat="1" applyFont="1" applyBorder="1" applyAlignment="1">
      <alignment horizontal="center" vertical="top"/>
    </xf>
    <xf numFmtId="164" fontId="6" fillId="0" borderId="7" xfId="1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4" fontId="1" fillId="0" borderId="1" xfId="1" applyNumberFormat="1" applyFont="1" applyBorder="1" applyAlignment="1">
      <alignment horizontal="center" vertical="top"/>
    </xf>
    <xf numFmtId="164" fontId="1" fillId="0" borderId="1" xfId="1" applyFont="1" applyBorder="1" applyAlignment="1">
      <alignment horizontal="center" vertical="top"/>
    </xf>
    <xf numFmtId="164" fontId="1" fillId="0" borderId="4" xfId="1" applyFont="1" applyBorder="1" applyAlignment="1">
      <alignment horizontal="center" vertical="top"/>
    </xf>
    <xf numFmtId="4" fontId="6" fillId="0" borderId="3" xfId="1" applyNumberFormat="1" applyFont="1" applyBorder="1" applyAlignment="1">
      <alignment horizontal="center" vertical="top"/>
    </xf>
    <xf numFmtId="14" fontId="1" fillId="3" borderId="0" xfId="0" applyNumberFormat="1" applyFont="1" applyFill="1" applyBorder="1" applyAlignment="1">
      <alignment horizontal="center"/>
    </xf>
    <xf numFmtId="4" fontId="6" fillId="2" borderId="1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4" fontId="1" fillId="2" borderId="5" xfId="1" applyNumberFormat="1" applyFont="1" applyFill="1" applyBorder="1" applyAlignment="1">
      <alignment horizontal="center" vertical="top"/>
    </xf>
    <xf numFmtId="4" fontId="1" fillId="3" borderId="1" xfId="1" applyNumberFormat="1" applyFont="1" applyFill="1" applyBorder="1" applyAlignment="1">
      <alignment horizontal="center" vertical="top"/>
    </xf>
    <xf numFmtId="4" fontId="1" fillId="3" borderId="0" xfId="1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4" fontId="1" fillId="3" borderId="2" xfId="0" applyNumberFormat="1" applyFont="1" applyFill="1" applyBorder="1" applyAlignment="1">
      <alignment horizontal="center"/>
    </xf>
    <xf numFmtId="44" fontId="1" fillId="3" borderId="2" xfId="0" applyNumberFormat="1" applyFont="1" applyFill="1" applyBorder="1" applyAlignment="1">
      <alignment horizontal="center"/>
    </xf>
    <xf numFmtId="4" fontId="1" fillId="2" borderId="0" xfId="0" applyNumberFormat="1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4" fontId="16" fillId="2" borderId="1" xfId="1" applyNumberFormat="1" applyFont="1" applyFill="1" applyBorder="1" applyAlignment="1">
      <alignment horizontal="center" vertical="center"/>
    </xf>
    <xf numFmtId="164" fontId="16" fillId="2" borderId="1" xfId="1" applyFont="1" applyFill="1" applyBorder="1" applyAlignment="1">
      <alignment horizontal="center" vertical="center"/>
    </xf>
    <xf numFmtId="164" fontId="16" fillId="2" borderId="4" xfId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" fontId="15" fillId="2" borderId="1" xfId="1" applyNumberFormat="1" applyFont="1" applyFill="1" applyBorder="1" applyAlignment="1">
      <alignment horizontal="center" vertical="center"/>
    </xf>
    <xf numFmtId="164" fontId="15" fillId="2" borderId="1" xfId="1" applyFont="1" applyFill="1" applyBorder="1" applyAlignment="1">
      <alignment horizontal="center" vertical="center"/>
    </xf>
    <xf numFmtId="164" fontId="15" fillId="2" borderId="4" xfId="1" applyFont="1" applyFill="1" applyBorder="1" applyAlignment="1">
      <alignment horizontal="center" vertical="center"/>
    </xf>
    <xf numFmtId="164" fontId="15" fillId="2" borderId="0" xfId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4" fontId="15" fillId="2" borderId="0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1" applyNumberFormat="1" applyFont="1" applyFill="1" applyAlignment="1">
      <alignment horizontal="center"/>
    </xf>
    <xf numFmtId="164" fontId="11" fillId="2" borderId="0" xfId="1" applyFont="1" applyFill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164" fontId="16" fillId="2" borderId="7" xfId="1" applyFont="1" applyFill="1" applyBorder="1" applyAlignment="1">
      <alignment horizontal="center" vertical="center"/>
    </xf>
    <xf numFmtId="164" fontId="15" fillId="2" borderId="0" xfId="1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" fontId="11" fillId="2" borderId="1" xfId="1" applyNumberFormat="1" applyFont="1" applyFill="1" applyBorder="1" applyAlignment="1">
      <alignment horizontal="center" vertical="center"/>
    </xf>
    <xf numFmtId="164" fontId="11" fillId="2" borderId="0" xfId="1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4" fontId="16" fillId="2" borderId="2" xfId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>
      <alignment horizontal="center"/>
    </xf>
    <xf numFmtId="164" fontId="1" fillId="3" borderId="2" xfId="1" applyFont="1" applyFill="1" applyBorder="1" applyAlignment="1">
      <alignment horizontal="center" vertical="top"/>
    </xf>
    <xf numFmtId="4" fontId="6" fillId="2" borderId="0" xfId="1" applyNumberFormat="1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wrapText="1"/>
    </xf>
    <xf numFmtId="4" fontId="6" fillId="2" borderId="1" xfId="1" applyNumberFormat="1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vertical="center"/>
    </xf>
    <xf numFmtId="4" fontId="16" fillId="2" borderId="1" xfId="0" applyNumberFormat="1" applyFont="1" applyFill="1" applyBorder="1" applyAlignment="1">
      <alignment horizontal="center" vertical="center"/>
    </xf>
    <xf numFmtId="8" fontId="16" fillId="0" borderId="0" xfId="0" applyNumberFormat="1" applyFont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8" fontId="15" fillId="0" borderId="0" xfId="0" applyNumberFormat="1" applyFont="1" applyAlignment="1">
      <alignment horizontal="center" vertical="center"/>
    </xf>
    <xf numFmtId="8" fontId="6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8" fontId="1" fillId="0" borderId="0" xfId="0" applyNumberFormat="1" applyFont="1" applyAlignment="1">
      <alignment horizontal="center" vertical="center"/>
    </xf>
    <xf numFmtId="44" fontId="6" fillId="0" borderId="0" xfId="0" applyNumberFormat="1" applyFont="1" applyBorder="1" applyAlignment="1">
      <alignment horizontal="center"/>
    </xf>
    <xf numFmtId="4" fontId="6" fillId="0" borderId="0" xfId="0" applyNumberFormat="1" applyFont="1" applyAlignment="1">
      <alignment horizontal="center"/>
    </xf>
    <xf numFmtId="4" fontId="6" fillId="0" borderId="0" xfId="1" applyNumberFormat="1" applyFont="1" applyAlignment="1">
      <alignment horizontal="center"/>
    </xf>
    <xf numFmtId="164" fontId="6" fillId="0" borderId="0" xfId="1" applyFont="1" applyAlignment="1">
      <alignment horizontal="center"/>
    </xf>
    <xf numFmtId="0" fontId="6" fillId="0" borderId="1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167" fontId="10" fillId="3" borderId="1" xfId="7" applyNumberFormat="1" applyFont="1" applyFill="1" applyBorder="1" applyAlignment="1">
      <alignment horizontal="center"/>
    </xf>
    <xf numFmtId="0" fontId="5" fillId="3" borderId="1" xfId="3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5" fillId="3" borderId="1" xfId="3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10" fillId="2" borderId="0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/>
    </xf>
    <xf numFmtId="37" fontId="4" fillId="2" borderId="0" xfId="2" applyNumberFormat="1" applyFont="1" applyFill="1" applyAlignment="1" applyProtection="1">
      <alignment horizontal="center" vertical="center"/>
      <protection locked="0"/>
    </xf>
    <xf numFmtId="37" fontId="4" fillId="2" borderId="4" xfId="2" applyNumberFormat="1" applyFont="1" applyFill="1" applyBorder="1" applyAlignment="1" applyProtection="1">
      <alignment horizontal="left" vertical="center"/>
      <protection locked="0"/>
    </xf>
    <xf numFmtId="37" fontId="4" fillId="2" borderId="8" xfId="2" applyNumberFormat="1" applyFont="1" applyFill="1" applyBorder="1" applyAlignment="1" applyProtection="1">
      <alignment horizontal="left" vertical="center"/>
      <protection locked="0"/>
    </xf>
    <xf numFmtId="37" fontId="4" fillId="3" borderId="0" xfId="2" applyNumberFormat="1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Border="1" applyAlignment="1">
      <alignment horizontal="center" vertical="center"/>
    </xf>
  </cellXfs>
  <cellStyles count="8">
    <cellStyle name="Moeda" xfId="1" builtinId="4"/>
    <cellStyle name="Normal" xfId="0" builtinId="0"/>
    <cellStyle name="Normal 2" xfId="2"/>
    <cellStyle name="Normal 3" xfId="3"/>
    <cellStyle name="Porcentagem" xfId="4" builtinId="5"/>
    <cellStyle name="Porcentagem 2" xfId="5"/>
    <cellStyle name="Vírgula 2" xfId="6"/>
    <cellStyle name="Vírgula 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6</xdr:row>
      <xdr:rowOff>0</xdr:rowOff>
    </xdr:from>
    <xdr:to>
      <xdr:col>3</xdr:col>
      <xdr:colOff>76200</xdr:colOff>
      <xdr:row>12</xdr:row>
      <xdr:rowOff>47625</xdr:rowOff>
    </xdr:to>
    <xdr:pic>
      <xdr:nvPicPr>
        <xdr:cNvPr id="19512" name="Imagem 1">
          <a:extLst>
            <a:ext uri="{FF2B5EF4-FFF2-40B4-BE49-F238E27FC236}">
              <a16:creationId xmlns:a16="http://schemas.microsoft.com/office/drawing/2014/main" id="{00000000-0008-0000-0800-0000384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3048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4</xdr:row>
      <xdr:rowOff>95250</xdr:rowOff>
    </xdr:from>
    <xdr:to>
      <xdr:col>1</xdr:col>
      <xdr:colOff>38100</xdr:colOff>
      <xdr:row>11</xdr:row>
      <xdr:rowOff>19050</xdr:rowOff>
    </xdr:to>
    <xdr:pic>
      <xdr:nvPicPr>
        <xdr:cNvPr id="16126" name="Imagem 1">
          <a:extLst>
            <a:ext uri="{FF2B5EF4-FFF2-40B4-BE49-F238E27FC236}">
              <a16:creationId xmlns:a16="http://schemas.microsoft.com/office/drawing/2014/main" id="{00000000-0008-0000-0A00-0000FE3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5250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2"/>
  <sheetViews>
    <sheetView showGridLines="0" zoomScale="85" zoomScaleNormal="85" workbookViewId="0">
      <selection activeCell="A219" sqref="A219"/>
    </sheetView>
  </sheetViews>
  <sheetFormatPr defaultColWidth="43.33203125" defaultRowHeight="14.25" x14ac:dyDescent="0.2"/>
  <cols>
    <col min="1" max="1" width="75.5" style="174" bestFit="1" customWidth="1"/>
    <col min="2" max="2" width="26" style="278" bestFit="1" customWidth="1"/>
    <col min="3" max="5" width="23.83203125" style="278" hidden="1" customWidth="1"/>
    <col min="6" max="6" width="23.83203125" style="279" customWidth="1"/>
    <col min="7" max="7" width="23.83203125" style="280" hidden="1" customWidth="1"/>
    <col min="8" max="9" width="23.83203125" style="174" hidden="1" customWidth="1"/>
    <col min="10" max="16384" width="43.33203125" style="174"/>
  </cols>
  <sheetData>
    <row r="1" spans="1:9" ht="12.75" x14ac:dyDescent="0.2">
      <c r="A1" s="175" t="s">
        <v>0</v>
      </c>
      <c r="B1" s="165">
        <v>46022</v>
      </c>
      <c r="C1" s="165">
        <v>45930</v>
      </c>
      <c r="D1" s="165">
        <v>45838</v>
      </c>
      <c r="E1" s="165">
        <v>45747</v>
      </c>
      <c r="F1" s="165">
        <v>45657</v>
      </c>
      <c r="G1" s="165">
        <v>45382</v>
      </c>
      <c r="H1" s="165">
        <v>45473</v>
      </c>
      <c r="I1" s="176">
        <v>45565</v>
      </c>
    </row>
    <row r="2" spans="1:9" ht="12.75" x14ac:dyDescent="0.2">
      <c r="A2" s="166" t="s">
        <v>43</v>
      </c>
      <c r="B2" s="167">
        <f>410780.31+84032.35+390787.34+104911.46</f>
        <v>990511.46</v>
      </c>
      <c r="C2" s="167">
        <f>360564.16+98+55555.08+379166.74</f>
        <v>795383.98</v>
      </c>
      <c r="D2" s="177">
        <f>477022.6+58.81+36112.1+136551.85+98</f>
        <v>649843.36</v>
      </c>
      <c r="E2" s="177">
        <f>385227.45+98+28970.5+65844.53</f>
        <v>480140.48</v>
      </c>
      <c r="F2" s="178">
        <f>34190.02+98+24421.56+65774.2</f>
        <v>124483.78</v>
      </c>
      <c r="G2" s="179">
        <v>61305.919999999998</v>
      </c>
      <c r="H2" s="180">
        <f>34665.53+5196+24713.34+39105.54</f>
        <v>103680.41</v>
      </c>
      <c r="I2" s="181">
        <v>121522.85</v>
      </c>
    </row>
    <row r="3" spans="1:9" ht="12.75" x14ac:dyDescent="0.2">
      <c r="A3" s="166" t="s">
        <v>75</v>
      </c>
      <c r="B3" s="167">
        <v>221281850.53</v>
      </c>
      <c r="C3" s="167">
        <v>27976772.149999999</v>
      </c>
      <c r="D3" s="167">
        <v>45306809.719999999</v>
      </c>
      <c r="E3" s="167">
        <v>80918622.689999998</v>
      </c>
      <c r="F3" s="182">
        <v>160684168.90000001</v>
      </c>
      <c r="G3" s="183">
        <v>266077237.06999999</v>
      </c>
      <c r="H3" s="184">
        <v>231170212.93000001</v>
      </c>
      <c r="I3" s="185">
        <v>148010396.30000001</v>
      </c>
    </row>
    <row r="4" spans="1:9" ht="12.75" x14ac:dyDescent="0.2">
      <c r="A4" s="166" t="s">
        <v>1</v>
      </c>
      <c r="B4" s="167">
        <v>54040954.159999996</v>
      </c>
      <c r="C4" s="167">
        <v>62905248.380000003</v>
      </c>
      <c r="D4" s="167">
        <v>63642478.659999996</v>
      </c>
      <c r="E4" s="167">
        <v>12040589.609999999</v>
      </c>
      <c r="F4" s="182">
        <v>11582047.59</v>
      </c>
      <c r="G4" s="183">
        <v>11369304.380000001</v>
      </c>
      <c r="H4" s="184">
        <v>11593073.07</v>
      </c>
      <c r="I4" s="185">
        <v>11242169.210000001</v>
      </c>
    </row>
    <row r="5" spans="1:9" ht="18" customHeight="1" x14ac:dyDescent="0.2">
      <c r="A5" s="164" t="s">
        <v>40</v>
      </c>
      <c r="B5" s="186">
        <f>SUM(B2:B4)</f>
        <v>276313316.14999998</v>
      </c>
      <c r="C5" s="186">
        <f>SUM(C2:C4)</f>
        <v>91677404.510000005</v>
      </c>
      <c r="D5" s="186">
        <f t="shared" ref="D5:I5" si="0">SUM(D2:D4)</f>
        <v>109599131.73999999</v>
      </c>
      <c r="E5" s="186">
        <f t="shared" si="0"/>
        <v>93439352.780000001</v>
      </c>
      <c r="F5" s="186">
        <f t="shared" si="0"/>
        <v>172390700.27000001</v>
      </c>
      <c r="G5" s="187">
        <f t="shared" si="0"/>
        <v>277507847.37</v>
      </c>
      <c r="H5" s="187">
        <f t="shared" si="0"/>
        <v>242866966.41</v>
      </c>
      <c r="I5" s="188">
        <f t="shared" si="0"/>
        <v>159374088.36000001</v>
      </c>
    </row>
    <row r="6" spans="1:9" ht="18" customHeight="1" x14ac:dyDescent="0.2">
      <c r="A6" s="168"/>
      <c r="B6" s="190"/>
      <c r="C6" s="190"/>
      <c r="D6" s="190"/>
      <c r="E6" s="190"/>
      <c r="F6" s="191"/>
      <c r="G6" s="192"/>
    </row>
    <row r="7" spans="1:9" ht="18" customHeight="1" x14ac:dyDescent="0.2">
      <c r="A7" s="164" t="s">
        <v>41</v>
      </c>
      <c r="B7" s="165">
        <v>46022</v>
      </c>
      <c r="C7" s="165">
        <v>45930</v>
      </c>
      <c r="D7" s="165">
        <v>45838</v>
      </c>
      <c r="E7" s="165">
        <v>45747</v>
      </c>
      <c r="F7" s="165">
        <v>45657</v>
      </c>
      <c r="G7" s="193">
        <v>45382</v>
      </c>
      <c r="H7" s="193">
        <v>45473</v>
      </c>
      <c r="I7" s="193">
        <v>45565</v>
      </c>
    </row>
    <row r="8" spans="1:9" ht="18" customHeight="1" x14ac:dyDescent="0.2">
      <c r="A8" s="166" t="s">
        <v>44</v>
      </c>
      <c r="B8" s="167">
        <f>1571520.77+259302.74+93.72</f>
        <v>1830917.23</v>
      </c>
      <c r="C8" s="167">
        <f>1682718.45+259302.74+49+49+38.08</f>
        <v>1942157.27</v>
      </c>
      <c r="D8" s="167">
        <f>1073703.32+7664.69</f>
        <v>1081368.01</v>
      </c>
      <c r="E8" s="167">
        <f>954890.63+259302.74-200+5420.76+2243.93</f>
        <v>1221658.06</v>
      </c>
      <c r="F8" s="182">
        <f>330483.15+93.72+931.42+98</f>
        <v>331606.28999999998</v>
      </c>
      <c r="G8" s="183">
        <v>671008.09</v>
      </c>
      <c r="H8" s="184">
        <v>370067.84</v>
      </c>
      <c r="I8" s="184">
        <v>979866.46</v>
      </c>
    </row>
    <row r="9" spans="1:9" ht="18" customHeight="1" x14ac:dyDescent="0.2">
      <c r="A9" s="166" t="s">
        <v>46</v>
      </c>
      <c r="B9" s="167">
        <f>84032.35+390787.34+491220.68+5055573.34</f>
        <v>6021613.71</v>
      </c>
      <c r="C9" s="167">
        <f>55555.08+379166.74+600918.34+4656486.22</f>
        <v>5692126.3799999999</v>
      </c>
      <c r="D9" s="167">
        <v>5359614.87</v>
      </c>
      <c r="E9" s="167">
        <f>664491+11020.27+4461111.28+156606.66</f>
        <v>5293229.2100000009</v>
      </c>
      <c r="F9" s="182">
        <f>24421.56+65774.2+643577.1+4613788.75</f>
        <v>5347561.6100000003</v>
      </c>
      <c r="G9" s="183">
        <v>5741003.1200000001</v>
      </c>
      <c r="H9" s="184">
        <v>5828683.4100000001</v>
      </c>
      <c r="I9" s="184">
        <v>5332927.93</v>
      </c>
    </row>
    <row r="10" spans="1:9" ht="18" customHeight="1" x14ac:dyDescent="0.2">
      <c r="A10" s="166" t="s">
        <v>47</v>
      </c>
      <c r="B10" s="167">
        <f>7511006.17+6443.68+24797.05</f>
        <v>7542246.8999999994</v>
      </c>
      <c r="C10" s="167">
        <f>253774.32+1186476.93+3072325.72+6437.73+938.7</f>
        <v>4519953.4000000013</v>
      </c>
      <c r="D10" s="167">
        <f>5708393.76+6443.68+7722.58</f>
        <v>5722560.0199999996</v>
      </c>
      <c r="E10" s="167">
        <f>654137.48+928126.39+4144711.51+3845.69+6443.68</f>
        <v>5737264.75</v>
      </c>
      <c r="F10" s="182">
        <f>718091.7+920094.72+4883868.63+6443.68</f>
        <v>6528498.7299999995</v>
      </c>
      <c r="G10" s="183">
        <v>1102601.03</v>
      </c>
      <c r="H10" s="184">
        <v>5762514</v>
      </c>
      <c r="I10" s="184">
        <v>10883583.34</v>
      </c>
    </row>
    <row r="11" spans="1:9" ht="18" customHeight="1" x14ac:dyDescent="0.2">
      <c r="A11" s="166" t="s">
        <v>45</v>
      </c>
      <c r="B11" s="167">
        <f>52682.52+416963.79+379445.86+8456548.57+7313345.96</f>
        <v>16618986.699999999</v>
      </c>
      <c r="C11" s="167">
        <f>45380.39+416963.79+353149.65+7553252.75+7200000</f>
        <v>15568746.58</v>
      </c>
      <c r="D11" s="167">
        <f>455089.2+7418599.96</f>
        <v>7873689.1600000001</v>
      </c>
      <c r="E11" s="167">
        <f>32094+416963.79+1120331.59+6089215.23</f>
        <v>7658604.6100000003</v>
      </c>
      <c r="F11" s="182">
        <f>22825.29+416963.79+26721.2+6324681.74</f>
        <v>6791192.0200000005</v>
      </c>
      <c r="G11" s="183">
        <v>6098123.2199999997</v>
      </c>
      <c r="H11" s="184">
        <v>6282060.5599999996</v>
      </c>
      <c r="I11" s="184">
        <v>6451580.7800000003</v>
      </c>
    </row>
    <row r="12" spans="1:9" ht="18" customHeight="1" x14ac:dyDescent="0.2">
      <c r="A12" s="166" t="s">
        <v>42</v>
      </c>
      <c r="B12" s="167">
        <f>20744530.81+190725843.73+104911.46+32724265.61</f>
        <v>244299551.61000001</v>
      </c>
      <c r="C12" s="167">
        <f>5479497.85+15580331.96+57647843.82-7553252.75-7200000</f>
        <v>63954420.879999995</v>
      </c>
      <c r="D12" s="167">
        <f>38069682.25+51492217.43</f>
        <v>89561899.680000007</v>
      </c>
      <c r="E12" s="167">
        <f>16965085.63+56563510.52</f>
        <v>73528596.150000006</v>
      </c>
      <c r="F12" s="182">
        <f>38863316.4+114528525.22</f>
        <v>153391841.62</v>
      </c>
      <c r="G12" s="183">
        <v>263893608.69999999</v>
      </c>
      <c r="H12" s="184">
        <v>224623640.59999999</v>
      </c>
      <c r="I12" s="184">
        <v>135726129.84999999</v>
      </c>
    </row>
    <row r="13" spans="1:9" ht="18" customHeight="1" x14ac:dyDescent="0.2">
      <c r="A13" s="164" t="s">
        <v>40</v>
      </c>
      <c r="B13" s="186">
        <f>SUM(B8:B12)</f>
        <v>276313316.15000004</v>
      </c>
      <c r="C13" s="186">
        <f>SUM(C8:C12)</f>
        <v>91677404.50999999</v>
      </c>
      <c r="D13" s="186">
        <f t="shared" ref="D13:I13" si="1">SUM(D8:D12)</f>
        <v>109599131.74000001</v>
      </c>
      <c r="E13" s="186">
        <f t="shared" si="1"/>
        <v>93439352.780000001</v>
      </c>
      <c r="F13" s="186">
        <f t="shared" si="1"/>
        <v>172390700.27000001</v>
      </c>
      <c r="G13" s="194">
        <f t="shared" si="1"/>
        <v>277506344.15999997</v>
      </c>
      <c r="H13" s="194">
        <f t="shared" si="1"/>
        <v>242866966.41</v>
      </c>
      <c r="I13" s="194">
        <f t="shared" si="1"/>
        <v>159374088.35999998</v>
      </c>
    </row>
    <row r="14" spans="1:9" ht="18" customHeight="1" x14ac:dyDescent="0.2">
      <c r="A14" s="195"/>
      <c r="B14" s="196"/>
      <c r="C14" s="196"/>
      <c r="D14" s="196"/>
      <c r="E14" s="196"/>
      <c r="F14" s="196"/>
      <c r="G14" s="197"/>
      <c r="H14" s="197"/>
      <c r="I14" s="197"/>
    </row>
    <row r="15" spans="1:9" ht="18" customHeight="1" x14ac:dyDescent="0.2">
      <c r="B15" s="165">
        <v>46022</v>
      </c>
      <c r="C15" s="165">
        <v>45930</v>
      </c>
      <c r="D15" s="165">
        <v>45838</v>
      </c>
      <c r="E15" s="165">
        <v>45747</v>
      </c>
      <c r="F15" s="165">
        <v>45657</v>
      </c>
      <c r="G15" s="198"/>
      <c r="H15" s="198"/>
      <c r="I15" s="198"/>
    </row>
    <row r="16" spans="1:9" ht="18" customHeight="1" x14ac:dyDescent="0.2">
      <c r="A16" s="164" t="s">
        <v>113</v>
      </c>
      <c r="B16" s="169">
        <f>B17+B18</f>
        <v>1054114.46</v>
      </c>
      <c r="C16" s="169">
        <f t="shared" ref="C16:F16" si="2">C17+C18</f>
        <v>1013686.62</v>
      </c>
      <c r="D16" s="169">
        <f t="shared" si="2"/>
        <v>1013461.2</v>
      </c>
      <c r="E16" s="169">
        <f t="shared" si="2"/>
        <v>1012978.5700000001</v>
      </c>
      <c r="F16" s="169">
        <f t="shared" si="2"/>
        <v>991383.93</v>
      </c>
      <c r="G16" s="165">
        <v>45382</v>
      </c>
      <c r="H16" s="165">
        <v>45473</v>
      </c>
      <c r="I16" s="176">
        <v>45565</v>
      </c>
    </row>
    <row r="17" spans="1:9" ht="18" customHeight="1" x14ac:dyDescent="0.2">
      <c r="A17" s="199" t="s">
        <v>283</v>
      </c>
      <c r="B17" s="167">
        <v>670193.69999999995</v>
      </c>
      <c r="C17" s="167">
        <v>629765.86</v>
      </c>
      <c r="D17" s="167">
        <v>629540.43999999994</v>
      </c>
      <c r="E17" s="167">
        <v>628857.81000000006</v>
      </c>
      <c r="F17" s="182">
        <v>639532.93000000005</v>
      </c>
      <c r="G17" s="183">
        <v>606998.6</v>
      </c>
      <c r="H17" s="184">
        <v>606906.06000000006</v>
      </c>
      <c r="I17" s="185">
        <v>607117.48</v>
      </c>
    </row>
    <row r="18" spans="1:9" ht="18" customHeight="1" x14ac:dyDescent="0.2">
      <c r="A18" s="166" t="s">
        <v>284</v>
      </c>
      <c r="B18" s="167">
        <v>383920.76</v>
      </c>
      <c r="C18" s="167">
        <v>383920.76</v>
      </c>
      <c r="D18" s="167">
        <v>383920.76</v>
      </c>
      <c r="E18" s="167">
        <f>383920.76+200</f>
        <v>384120.76</v>
      </c>
      <c r="F18" s="182">
        <v>351851</v>
      </c>
      <c r="G18" s="183">
        <v>351851</v>
      </c>
      <c r="H18" s="184">
        <v>351851</v>
      </c>
      <c r="I18" s="185">
        <v>351851</v>
      </c>
    </row>
    <row r="19" spans="1:9" ht="12.75" x14ac:dyDescent="0.2">
      <c r="A19" s="166"/>
      <c r="B19" s="167"/>
      <c r="C19" s="167"/>
      <c r="D19" s="167"/>
      <c r="E19" s="167"/>
      <c r="F19" s="182"/>
      <c r="G19" s="183"/>
      <c r="H19" s="184"/>
      <c r="I19" s="185"/>
    </row>
    <row r="20" spans="1:9" ht="12.75" x14ac:dyDescent="0.2">
      <c r="A20" s="164" t="s">
        <v>281</v>
      </c>
      <c r="B20" s="173">
        <f>B21</f>
        <v>-640770.81999999995</v>
      </c>
      <c r="C20" s="173"/>
      <c r="D20" s="173"/>
      <c r="E20" s="173"/>
      <c r="F20" s="186">
        <f>F21</f>
        <v>-599984.03</v>
      </c>
      <c r="G20" s="183"/>
      <c r="H20" s="184"/>
      <c r="I20" s="185"/>
    </row>
    <row r="21" spans="1:9" ht="12.75" x14ac:dyDescent="0.2">
      <c r="A21" s="166" t="s">
        <v>51</v>
      </c>
      <c r="B21" s="167">
        <v>-640770.81999999995</v>
      </c>
      <c r="C21" s="167">
        <v>-631255.68000000005</v>
      </c>
      <c r="D21" s="167">
        <v>-621008.01</v>
      </c>
      <c r="E21" s="167">
        <v>-610678.26</v>
      </c>
      <c r="F21" s="182">
        <v>-599984.03</v>
      </c>
      <c r="G21" s="183">
        <v>-566518.52</v>
      </c>
      <c r="H21" s="184">
        <v>-578182.35</v>
      </c>
      <c r="I21" s="185">
        <v>-589227.67000000004</v>
      </c>
    </row>
    <row r="22" spans="1:9" ht="12.75" x14ac:dyDescent="0.2">
      <c r="A22" s="166"/>
      <c r="B22" s="167"/>
      <c r="C22" s="167"/>
      <c r="D22" s="167"/>
      <c r="E22" s="167"/>
      <c r="F22" s="182"/>
      <c r="G22" s="183"/>
      <c r="H22" s="184"/>
      <c r="I22" s="185"/>
    </row>
    <row r="23" spans="1:9" ht="12.75" x14ac:dyDescent="0.2">
      <c r="A23" s="164" t="s">
        <v>40</v>
      </c>
      <c r="B23" s="186">
        <f>B16+B20</f>
        <v>413343.64</v>
      </c>
      <c r="C23" s="186">
        <f t="shared" ref="C23:F23" si="3">C16+C20</f>
        <v>1013686.62</v>
      </c>
      <c r="D23" s="186">
        <f t="shared" si="3"/>
        <v>1013461.2</v>
      </c>
      <c r="E23" s="186">
        <f t="shared" si="3"/>
        <v>1012978.5700000001</v>
      </c>
      <c r="F23" s="186">
        <f t="shared" si="3"/>
        <v>391399.9</v>
      </c>
      <c r="G23" s="187">
        <f t="shared" ref="G23:I23" si="4">SUM(G17:G21)</f>
        <v>392331.07999999996</v>
      </c>
      <c r="H23" s="187">
        <f t="shared" si="4"/>
        <v>380574.71000000008</v>
      </c>
      <c r="I23" s="188">
        <f t="shared" si="4"/>
        <v>369740.80999999994</v>
      </c>
    </row>
    <row r="24" spans="1:9" ht="19.5" customHeight="1" x14ac:dyDescent="0.2">
      <c r="A24" s="172"/>
      <c r="B24" s="200"/>
      <c r="C24" s="200"/>
      <c r="D24" s="200"/>
      <c r="E24" s="200"/>
      <c r="F24" s="201"/>
      <c r="G24" s="192"/>
    </row>
    <row r="25" spans="1:9" ht="12.75" x14ac:dyDescent="0.2">
      <c r="A25" s="164" t="s">
        <v>2</v>
      </c>
      <c r="B25" s="165">
        <v>46022</v>
      </c>
      <c r="C25" s="165">
        <v>45930</v>
      </c>
      <c r="D25" s="165">
        <v>45838</v>
      </c>
      <c r="E25" s="165">
        <v>45747</v>
      </c>
      <c r="F25" s="165">
        <v>45657</v>
      </c>
      <c r="G25" s="165">
        <v>45382</v>
      </c>
      <c r="H25" s="165">
        <v>45473</v>
      </c>
      <c r="I25" s="176">
        <v>45565</v>
      </c>
    </row>
    <row r="26" spans="1:9" ht="12.75" x14ac:dyDescent="0.2">
      <c r="A26" s="202" t="s">
        <v>48</v>
      </c>
      <c r="B26" s="203">
        <v>7418857.3600000003</v>
      </c>
      <c r="C26" s="203">
        <v>7418857.3600000003</v>
      </c>
      <c r="D26" s="203">
        <v>7418857.3600000003</v>
      </c>
      <c r="E26" s="203">
        <v>7418857.3600000003</v>
      </c>
      <c r="F26" s="203">
        <v>7418857.3600000003</v>
      </c>
      <c r="G26" s="204">
        <v>7418857.3600000003</v>
      </c>
      <c r="H26" s="204">
        <v>7418857.3600000003</v>
      </c>
      <c r="I26" s="205">
        <v>7418857.3600000003</v>
      </c>
    </row>
    <row r="27" spans="1:9" ht="12.75" x14ac:dyDescent="0.2">
      <c r="A27" s="202" t="s">
        <v>49</v>
      </c>
      <c r="B27" s="203">
        <v>225416.51</v>
      </c>
      <c r="C27" s="203">
        <v>225416.51</v>
      </c>
      <c r="D27" s="203">
        <v>225416.51</v>
      </c>
      <c r="E27" s="203">
        <v>225416.51</v>
      </c>
      <c r="F27" s="203">
        <v>225416.51</v>
      </c>
      <c r="G27" s="204">
        <v>225416.51</v>
      </c>
      <c r="H27" s="204">
        <v>225416.51</v>
      </c>
      <c r="I27" s="205">
        <v>225416.51</v>
      </c>
    </row>
    <row r="28" spans="1:9" ht="12.75" x14ac:dyDescent="0.2">
      <c r="A28" s="202" t="s">
        <v>50</v>
      </c>
      <c r="B28" s="203">
        <v>0</v>
      </c>
      <c r="C28" s="203">
        <v>929214.59</v>
      </c>
      <c r="D28" s="203">
        <v>929214.59</v>
      </c>
      <c r="E28" s="203">
        <v>929214.59</v>
      </c>
      <c r="F28" s="203">
        <v>929214.59</v>
      </c>
      <c r="G28" s="204">
        <v>929214.59</v>
      </c>
      <c r="H28" s="204">
        <v>929214.59</v>
      </c>
      <c r="I28" s="205">
        <v>929214.59</v>
      </c>
    </row>
    <row r="29" spans="1:9" ht="12.75" x14ac:dyDescent="0.2">
      <c r="A29" s="164" t="s">
        <v>40</v>
      </c>
      <c r="B29" s="186">
        <f>SUM(B26:B28)</f>
        <v>7644273.8700000001</v>
      </c>
      <c r="C29" s="186">
        <f t="shared" ref="C29:I29" si="5">SUM(C26:C28)</f>
        <v>8573488.4600000009</v>
      </c>
      <c r="D29" s="186">
        <f t="shared" si="5"/>
        <v>8573488.4600000009</v>
      </c>
      <c r="E29" s="186">
        <f t="shared" si="5"/>
        <v>8573488.4600000009</v>
      </c>
      <c r="F29" s="186">
        <f t="shared" si="5"/>
        <v>8573488.4600000009</v>
      </c>
      <c r="G29" s="187">
        <f t="shared" si="5"/>
        <v>8573488.4600000009</v>
      </c>
      <c r="H29" s="187">
        <f t="shared" si="5"/>
        <v>8573488.4600000009</v>
      </c>
      <c r="I29" s="188">
        <f t="shared" si="5"/>
        <v>8573488.4600000009</v>
      </c>
    </row>
    <row r="30" spans="1:9" ht="12.75" x14ac:dyDescent="0.2">
      <c r="A30" s="172"/>
      <c r="B30" s="200"/>
      <c r="C30" s="200"/>
      <c r="D30" s="200"/>
      <c r="E30" s="200"/>
      <c r="F30" s="201"/>
      <c r="G30" s="207"/>
    </row>
    <row r="31" spans="1:9" ht="12.75" x14ac:dyDescent="0.2">
      <c r="A31" s="164" t="s">
        <v>3</v>
      </c>
      <c r="B31" s="165">
        <v>46022</v>
      </c>
      <c r="C31" s="165">
        <v>45930</v>
      </c>
      <c r="D31" s="165">
        <v>45838</v>
      </c>
      <c r="E31" s="165">
        <v>45747</v>
      </c>
      <c r="F31" s="165">
        <v>45657</v>
      </c>
      <c r="G31" s="165">
        <v>45382</v>
      </c>
      <c r="H31" s="165">
        <v>45473</v>
      </c>
      <c r="I31" s="176">
        <v>45565</v>
      </c>
    </row>
    <row r="32" spans="1:9" ht="12.75" x14ac:dyDescent="0.2">
      <c r="A32" s="202" t="s">
        <v>39</v>
      </c>
      <c r="B32" s="208">
        <v>437076.33</v>
      </c>
      <c r="C32" s="208">
        <v>168429.31</v>
      </c>
      <c r="D32" s="208">
        <v>534290.89</v>
      </c>
      <c r="E32" s="208">
        <v>129951.88</v>
      </c>
      <c r="F32" s="203">
        <v>399128.31</v>
      </c>
      <c r="G32" s="204">
        <v>89173.85</v>
      </c>
      <c r="H32" s="184">
        <v>369080.29</v>
      </c>
      <c r="I32" s="185">
        <v>106641.31</v>
      </c>
    </row>
    <row r="33" spans="1:9" ht="12.75" hidden="1" x14ac:dyDescent="0.2">
      <c r="A33" s="202" t="s">
        <v>83</v>
      </c>
      <c r="B33" s="208">
        <v>0</v>
      </c>
      <c r="C33" s="208">
        <v>1275741.56</v>
      </c>
      <c r="D33" s="208">
        <v>853316.5</v>
      </c>
      <c r="E33" s="208">
        <v>427319.68</v>
      </c>
      <c r="F33" s="203">
        <v>0</v>
      </c>
      <c r="G33" s="204">
        <v>387298.56</v>
      </c>
      <c r="H33" s="184">
        <v>809277.82</v>
      </c>
      <c r="I33" s="185">
        <v>1269540.32</v>
      </c>
    </row>
    <row r="34" spans="1:9" ht="12.75" x14ac:dyDescent="0.2">
      <c r="A34" s="164" t="s">
        <v>40</v>
      </c>
      <c r="B34" s="186">
        <f>B33+B32</f>
        <v>437076.33</v>
      </c>
      <c r="C34" s="186">
        <f>C33+C32</f>
        <v>1444170.87</v>
      </c>
      <c r="D34" s="186">
        <f t="shared" ref="D34:I34" si="6">D33+D32</f>
        <v>1387607.3900000001</v>
      </c>
      <c r="E34" s="186">
        <f t="shared" si="6"/>
        <v>557271.56000000006</v>
      </c>
      <c r="F34" s="186">
        <f t="shared" si="6"/>
        <v>399128.31</v>
      </c>
      <c r="G34" s="187">
        <f t="shared" si="6"/>
        <v>476472.41000000003</v>
      </c>
      <c r="H34" s="187">
        <f t="shared" si="6"/>
        <v>1178358.1099999999</v>
      </c>
      <c r="I34" s="188">
        <f t="shared" si="6"/>
        <v>1376181.6300000001</v>
      </c>
    </row>
    <row r="35" spans="1:9" ht="12.75" x14ac:dyDescent="0.2">
      <c r="A35" s="172"/>
      <c r="B35" s="200"/>
      <c r="C35" s="200"/>
      <c r="D35" s="200"/>
      <c r="E35" s="200"/>
      <c r="F35" s="201"/>
      <c r="G35" s="207"/>
    </row>
    <row r="36" spans="1:9" ht="12.75" x14ac:dyDescent="0.2">
      <c r="A36" s="164" t="s">
        <v>4</v>
      </c>
      <c r="B36" s="165">
        <v>46022</v>
      </c>
      <c r="C36" s="165">
        <v>45930</v>
      </c>
      <c r="D36" s="165">
        <v>45838</v>
      </c>
      <c r="E36" s="165">
        <v>45747</v>
      </c>
      <c r="F36" s="165">
        <v>45657</v>
      </c>
      <c r="G36" s="165">
        <v>45382</v>
      </c>
      <c r="H36" s="165">
        <v>45473</v>
      </c>
      <c r="I36" s="176">
        <v>45565</v>
      </c>
    </row>
    <row r="37" spans="1:9" ht="12.75" x14ac:dyDescent="0.2">
      <c r="A37" s="202" t="s">
        <v>52</v>
      </c>
      <c r="B37" s="208">
        <v>261070.6</v>
      </c>
      <c r="C37" s="208">
        <v>120520.94</v>
      </c>
      <c r="D37" s="208">
        <v>106770.3</v>
      </c>
      <c r="E37" s="208">
        <v>17991.009999999998</v>
      </c>
      <c r="F37" s="203">
        <v>169585.66</v>
      </c>
      <c r="G37" s="204">
        <v>15220.45</v>
      </c>
      <c r="H37" s="184">
        <v>84562.86</v>
      </c>
      <c r="I37" s="185">
        <v>98970.8</v>
      </c>
    </row>
    <row r="38" spans="1:9" ht="12.75" x14ac:dyDescent="0.2">
      <c r="A38" s="202" t="s">
        <v>53</v>
      </c>
      <c r="B38" s="208">
        <v>241751.26</v>
      </c>
      <c r="C38" s="208">
        <v>180460.15</v>
      </c>
      <c r="D38" s="208">
        <v>119169.04</v>
      </c>
      <c r="E38" s="208">
        <v>57877.93</v>
      </c>
      <c r="F38" s="203">
        <v>224685.36</v>
      </c>
      <c r="G38" s="204">
        <v>56171.34</v>
      </c>
      <c r="H38" s="184">
        <v>112342.68</v>
      </c>
      <c r="I38" s="185">
        <v>168514.02</v>
      </c>
    </row>
    <row r="39" spans="1:9" ht="12.75" x14ac:dyDescent="0.2">
      <c r="A39" s="202" t="s">
        <v>54</v>
      </c>
      <c r="B39" s="208">
        <v>0</v>
      </c>
      <c r="C39" s="208">
        <v>0</v>
      </c>
      <c r="D39" s="208">
        <v>0</v>
      </c>
      <c r="E39" s="208">
        <v>0</v>
      </c>
      <c r="F39" s="203">
        <v>48793.47</v>
      </c>
      <c r="G39" s="204">
        <v>0</v>
      </c>
      <c r="H39" s="184">
        <v>0</v>
      </c>
      <c r="I39" s="185">
        <v>0</v>
      </c>
    </row>
    <row r="40" spans="1:9" ht="12.75" x14ac:dyDescent="0.2">
      <c r="A40" s="164" t="s">
        <v>40</v>
      </c>
      <c r="B40" s="186">
        <f>B38+B37+B39</f>
        <v>502821.86</v>
      </c>
      <c r="C40" s="186">
        <f>C38+C37+C39</f>
        <v>300981.08999999997</v>
      </c>
      <c r="D40" s="186">
        <f t="shared" ref="D40:I40" si="7">D38+D37+D39</f>
        <v>225939.34</v>
      </c>
      <c r="E40" s="186">
        <f t="shared" si="7"/>
        <v>75868.94</v>
      </c>
      <c r="F40" s="186">
        <f>F38+F37+F39</f>
        <v>443064.49</v>
      </c>
      <c r="G40" s="187">
        <f t="shared" si="7"/>
        <v>71391.789999999994</v>
      </c>
      <c r="H40" s="187">
        <f t="shared" si="7"/>
        <v>196905.53999999998</v>
      </c>
      <c r="I40" s="188">
        <f t="shared" si="7"/>
        <v>267484.82</v>
      </c>
    </row>
    <row r="41" spans="1:9" ht="12.75" x14ac:dyDescent="0.2">
      <c r="A41" s="172"/>
      <c r="B41" s="200"/>
      <c r="C41" s="200"/>
      <c r="D41" s="200"/>
      <c r="E41" s="200"/>
      <c r="F41" s="201"/>
      <c r="G41" s="207"/>
    </row>
    <row r="42" spans="1:9" ht="12.75" x14ac:dyDescent="0.2">
      <c r="A42" s="164" t="s">
        <v>5</v>
      </c>
      <c r="B42" s="165">
        <v>46022</v>
      </c>
      <c r="C42" s="165">
        <v>45930</v>
      </c>
      <c r="D42" s="165">
        <v>45838</v>
      </c>
      <c r="E42" s="165">
        <v>45747</v>
      </c>
      <c r="F42" s="165">
        <v>45657</v>
      </c>
      <c r="G42" s="165">
        <v>45382</v>
      </c>
      <c r="H42" s="165">
        <v>45473</v>
      </c>
      <c r="I42" s="176">
        <v>45565</v>
      </c>
    </row>
    <row r="43" spans="1:9" ht="12.75" x14ac:dyDescent="0.2">
      <c r="A43" s="202" t="s">
        <v>55</v>
      </c>
      <c r="B43" s="167">
        <v>0</v>
      </c>
      <c r="C43" s="167">
        <v>1072.8</v>
      </c>
      <c r="D43" s="167">
        <v>3740.33</v>
      </c>
      <c r="E43" s="167">
        <v>6378.87</v>
      </c>
      <c r="F43" s="182">
        <v>8988.41</v>
      </c>
      <c r="G43" s="183">
        <v>6362</v>
      </c>
      <c r="H43" s="209">
        <v>3730.44</v>
      </c>
      <c r="I43" s="210">
        <v>1069.97</v>
      </c>
    </row>
    <row r="44" spans="1:9" ht="12.75" x14ac:dyDescent="0.2">
      <c r="A44" s="164" t="s">
        <v>40</v>
      </c>
      <c r="B44" s="186">
        <f>B43</f>
        <v>0</v>
      </c>
      <c r="C44" s="186">
        <f>C43</f>
        <v>1072.8</v>
      </c>
      <c r="D44" s="186">
        <f t="shared" ref="D44:I44" si="8">D43</f>
        <v>3740.33</v>
      </c>
      <c r="E44" s="186">
        <f t="shared" si="8"/>
        <v>6378.87</v>
      </c>
      <c r="F44" s="186">
        <f t="shared" si="8"/>
        <v>8988.41</v>
      </c>
      <c r="G44" s="187">
        <f t="shared" si="8"/>
        <v>6362</v>
      </c>
      <c r="H44" s="187">
        <f t="shared" si="8"/>
        <v>3730.44</v>
      </c>
      <c r="I44" s="188">
        <f t="shared" si="8"/>
        <v>1069.97</v>
      </c>
    </row>
    <row r="45" spans="1:9" ht="12.75" x14ac:dyDescent="0.2">
      <c r="A45" s="172"/>
      <c r="B45" s="200"/>
      <c r="C45" s="200"/>
      <c r="D45" s="200"/>
      <c r="E45" s="200"/>
      <c r="F45" s="201"/>
      <c r="G45" s="207"/>
    </row>
    <row r="46" spans="1:9" ht="12.75" x14ac:dyDescent="0.2">
      <c r="A46" s="164" t="s">
        <v>292</v>
      </c>
      <c r="B46" s="165">
        <v>46022</v>
      </c>
      <c r="C46" s="165">
        <v>45930</v>
      </c>
      <c r="D46" s="165">
        <v>45838</v>
      </c>
      <c r="E46" s="165">
        <v>45747</v>
      </c>
      <c r="F46" s="165">
        <v>45657</v>
      </c>
      <c r="G46" s="165">
        <v>45382</v>
      </c>
      <c r="H46" s="165">
        <v>45473</v>
      </c>
      <c r="I46" s="176">
        <v>45565</v>
      </c>
    </row>
    <row r="47" spans="1:9" ht="12.75" x14ac:dyDescent="0.2">
      <c r="A47" s="202" t="s">
        <v>56</v>
      </c>
      <c r="B47" s="203">
        <v>96078.88</v>
      </c>
      <c r="C47" s="203" t="e">
        <f>#REF!</f>
        <v>#REF!</v>
      </c>
      <c r="D47" s="203">
        <v>85536.3</v>
      </c>
      <c r="E47" s="203">
        <v>93959.27</v>
      </c>
      <c r="F47" s="203">
        <v>105608.83</v>
      </c>
      <c r="G47" s="204">
        <v>126408.19</v>
      </c>
      <c r="H47" s="184">
        <v>108111.99</v>
      </c>
      <c r="I47" s="185">
        <v>130386.06</v>
      </c>
    </row>
    <row r="48" spans="1:9" ht="12.75" x14ac:dyDescent="0.2">
      <c r="A48" s="164" t="s">
        <v>40</v>
      </c>
      <c r="B48" s="186">
        <f>B47</f>
        <v>96078.88</v>
      </c>
      <c r="C48" s="186" t="e">
        <f>C47</f>
        <v>#REF!</v>
      </c>
      <c r="D48" s="186">
        <f t="shared" ref="D48:I48" si="9">D47</f>
        <v>85536.3</v>
      </c>
      <c r="E48" s="186">
        <f t="shared" si="9"/>
        <v>93959.27</v>
      </c>
      <c r="F48" s="186">
        <f t="shared" si="9"/>
        <v>105608.83</v>
      </c>
      <c r="G48" s="187">
        <f t="shared" si="9"/>
        <v>126408.19</v>
      </c>
      <c r="H48" s="187">
        <f t="shared" si="9"/>
        <v>108111.99</v>
      </c>
      <c r="I48" s="188">
        <f t="shared" si="9"/>
        <v>130386.06</v>
      </c>
    </row>
    <row r="49" spans="1:9" ht="12.75" x14ac:dyDescent="0.2">
      <c r="A49" s="172"/>
      <c r="B49" s="200"/>
      <c r="C49" s="200"/>
      <c r="D49" s="200"/>
      <c r="E49" s="200"/>
      <c r="F49" s="201"/>
      <c r="G49" s="207"/>
    </row>
    <row r="50" spans="1:9" ht="12.75" x14ac:dyDescent="0.2">
      <c r="A50" s="211" t="s">
        <v>110</v>
      </c>
      <c r="B50" s="212">
        <f>B5+B23+B29+B34+B40+B44+B48</f>
        <v>285406910.72999996</v>
      </c>
      <c r="C50" s="212" t="e">
        <f t="shared" ref="C50:I50" si="10">C5+C23+C29+C34+C40+C44+C48</f>
        <v>#REF!</v>
      </c>
      <c r="D50" s="212">
        <f t="shared" si="10"/>
        <v>120888904.76000001</v>
      </c>
      <c r="E50" s="212">
        <f t="shared" si="10"/>
        <v>103759298.45</v>
      </c>
      <c r="F50" s="212">
        <f t="shared" si="10"/>
        <v>182312378.67000005</v>
      </c>
      <c r="G50" s="213">
        <f t="shared" si="10"/>
        <v>287154301.30000001</v>
      </c>
      <c r="H50" s="213">
        <f t="shared" si="10"/>
        <v>253308135.66000003</v>
      </c>
      <c r="I50" s="214">
        <f t="shared" si="10"/>
        <v>170092440.11000001</v>
      </c>
    </row>
    <row r="51" spans="1:9" ht="12.75" x14ac:dyDescent="0.2">
      <c r="A51" s="216"/>
      <c r="B51" s="217"/>
      <c r="C51" s="217"/>
      <c r="D51" s="217"/>
      <c r="E51" s="217"/>
      <c r="F51" s="218"/>
      <c r="G51" s="219"/>
    </row>
    <row r="52" spans="1:9" ht="12.75" x14ac:dyDescent="0.2">
      <c r="A52" s="164" t="s">
        <v>282</v>
      </c>
      <c r="B52" s="165">
        <v>46022</v>
      </c>
      <c r="C52" s="165">
        <v>45930</v>
      </c>
      <c r="D52" s="165">
        <v>45838</v>
      </c>
      <c r="E52" s="165">
        <v>45747</v>
      </c>
      <c r="F52" s="165">
        <v>45657</v>
      </c>
      <c r="G52" s="165">
        <v>45382</v>
      </c>
      <c r="H52" s="165">
        <v>45473</v>
      </c>
      <c r="I52" s="176">
        <v>45565</v>
      </c>
    </row>
    <row r="53" spans="1:9" ht="12.75" x14ac:dyDescent="0.2">
      <c r="A53" s="199" t="s">
        <v>283</v>
      </c>
      <c r="B53" s="182">
        <v>51327.44</v>
      </c>
      <c r="C53" s="182">
        <v>91991.72</v>
      </c>
      <c r="D53" s="182">
        <v>91991.72</v>
      </c>
      <c r="E53" s="182">
        <v>91991.72</v>
      </c>
      <c r="F53" s="182">
        <v>91991.72</v>
      </c>
      <c r="G53" s="183">
        <v>124608.88</v>
      </c>
      <c r="H53" s="183">
        <v>124608.88</v>
      </c>
      <c r="I53" s="220">
        <v>124608.88</v>
      </c>
    </row>
    <row r="54" spans="1:9" ht="12.75" x14ac:dyDescent="0.2">
      <c r="A54" s="164" t="s">
        <v>40</v>
      </c>
      <c r="B54" s="186">
        <f>B53</f>
        <v>51327.44</v>
      </c>
      <c r="C54" s="186">
        <f>C53</f>
        <v>91991.72</v>
      </c>
      <c r="D54" s="186">
        <f t="shared" ref="D54:I54" si="11">D53</f>
        <v>91991.72</v>
      </c>
      <c r="E54" s="186">
        <f t="shared" si="11"/>
        <v>91991.72</v>
      </c>
      <c r="F54" s="186">
        <f t="shared" si="11"/>
        <v>91991.72</v>
      </c>
      <c r="G54" s="187">
        <f t="shared" si="11"/>
        <v>124608.88</v>
      </c>
      <c r="H54" s="187">
        <f t="shared" si="11"/>
        <v>124608.88</v>
      </c>
      <c r="I54" s="188">
        <f t="shared" si="11"/>
        <v>124608.88</v>
      </c>
    </row>
    <row r="55" spans="1:9" ht="12.75" x14ac:dyDescent="0.2">
      <c r="A55" s="172"/>
      <c r="B55" s="221"/>
      <c r="C55" s="221"/>
      <c r="D55" s="221"/>
      <c r="E55" s="221"/>
      <c r="F55" s="221"/>
      <c r="G55" s="222"/>
    </row>
    <row r="56" spans="1:9" ht="12.75" x14ac:dyDescent="0.2">
      <c r="A56" s="164" t="s">
        <v>6</v>
      </c>
      <c r="B56" s="165">
        <v>46022</v>
      </c>
      <c r="C56" s="165">
        <v>45930</v>
      </c>
      <c r="D56" s="165">
        <v>45838</v>
      </c>
      <c r="E56" s="165">
        <v>45747</v>
      </c>
      <c r="F56" s="165">
        <v>45657</v>
      </c>
      <c r="G56" s="165">
        <v>45382</v>
      </c>
      <c r="H56" s="165">
        <v>45473</v>
      </c>
      <c r="I56" s="176">
        <v>45565</v>
      </c>
    </row>
    <row r="57" spans="1:9" ht="12.75" x14ac:dyDescent="0.2">
      <c r="A57" s="223" t="s">
        <v>7</v>
      </c>
      <c r="B57" s="224">
        <v>0</v>
      </c>
      <c r="C57" s="224">
        <v>6862253.8799999999</v>
      </c>
      <c r="D57" s="224">
        <v>6862253.8799999999</v>
      </c>
      <c r="E57" s="224">
        <v>6862253.8799999999</v>
      </c>
      <c r="F57" s="224">
        <v>6862253.8799999999</v>
      </c>
      <c r="G57" s="225">
        <v>6647028.6699999999</v>
      </c>
      <c r="H57" s="225">
        <v>6647028.6699999999</v>
      </c>
      <c r="I57" s="226">
        <v>6647028.6699999999</v>
      </c>
    </row>
    <row r="58" spans="1:9" ht="12.75" x14ac:dyDescent="0.2">
      <c r="A58" s="202" t="s">
        <v>8</v>
      </c>
      <c r="B58" s="203">
        <v>0</v>
      </c>
      <c r="C58" s="203">
        <v>-6862253.8799999999</v>
      </c>
      <c r="D58" s="203">
        <v>-6862253.8799999999</v>
      </c>
      <c r="E58" s="203">
        <v>-6862253.8799999999</v>
      </c>
      <c r="F58" s="203">
        <v>-6862253.8799999999</v>
      </c>
      <c r="G58" s="204">
        <v>-6647028.6699999999</v>
      </c>
      <c r="H58" s="204">
        <v>-6647028.6699999999</v>
      </c>
      <c r="I58" s="205">
        <v>-6647028.6699999999</v>
      </c>
    </row>
    <row r="59" spans="1:9" ht="12.75" x14ac:dyDescent="0.2">
      <c r="A59" s="164" t="s">
        <v>40</v>
      </c>
      <c r="B59" s="186">
        <f>B57+B58</f>
        <v>0</v>
      </c>
      <c r="C59" s="186">
        <f>C57+C58</f>
        <v>0</v>
      </c>
      <c r="D59" s="186">
        <f t="shared" ref="D59:I59" si="12">D57+D58</f>
        <v>0</v>
      </c>
      <c r="E59" s="186">
        <f t="shared" si="12"/>
        <v>0</v>
      </c>
      <c r="F59" s="186">
        <f t="shared" si="12"/>
        <v>0</v>
      </c>
      <c r="G59" s="187">
        <f t="shared" si="12"/>
        <v>0</v>
      </c>
      <c r="H59" s="187">
        <f t="shared" si="12"/>
        <v>0</v>
      </c>
      <c r="I59" s="188">
        <f t="shared" si="12"/>
        <v>0</v>
      </c>
    </row>
    <row r="60" spans="1:9" ht="12.75" x14ac:dyDescent="0.2">
      <c r="A60" s="172"/>
      <c r="B60" s="200"/>
      <c r="C60" s="200"/>
      <c r="D60" s="200"/>
      <c r="E60" s="200"/>
      <c r="F60" s="227"/>
      <c r="G60" s="192"/>
    </row>
    <row r="61" spans="1:9" ht="12.75" x14ac:dyDescent="0.2">
      <c r="A61" s="164" t="s">
        <v>57</v>
      </c>
      <c r="B61" s="165">
        <v>46022</v>
      </c>
      <c r="C61" s="165">
        <v>45930</v>
      </c>
      <c r="D61" s="165">
        <v>45838</v>
      </c>
      <c r="E61" s="165">
        <v>45747</v>
      </c>
      <c r="F61" s="165">
        <v>45657</v>
      </c>
      <c r="G61" s="228">
        <v>45382</v>
      </c>
      <c r="H61" s="228">
        <v>45473</v>
      </c>
      <c r="I61" s="228">
        <v>45565</v>
      </c>
    </row>
    <row r="62" spans="1:9" ht="12.75" x14ac:dyDescent="0.2">
      <c r="A62" s="166" t="s">
        <v>186</v>
      </c>
      <c r="B62" s="182">
        <v>600528.34</v>
      </c>
      <c r="C62" s="182">
        <v>861627.54</v>
      </c>
      <c r="D62" s="182">
        <v>953012.33</v>
      </c>
      <c r="E62" s="182">
        <v>953012.33</v>
      </c>
      <c r="F62" s="182">
        <v>953012.33</v>
      </c>
      <c r="G62" s="206">
        <v>953012.33</v>
      </c>
      <c r="H62" s="206">
        <v>953012.33</v>
      </c>
      <c r="I62" s="206">
        <v>953012.33</v>
      </c>
    </row>
    <row r="63" spans="1:9" ht="12.75" x14ac:dyDescent="0.2">
      <c r="A63" s="166" t="s">
        <v>187</v>
      </c>
      <c r="B63" s="182">
        <v>99418.73</v>
      </c>
      <c r="C63" s="182">
        <v>176744.44</v>
      </c>
      <c r="D63" s="182">
        <v>176744.44</v>
      </c>
      <c r="E63" s="182">
        <v>176744.44</v>
      </c>
      <c r="F63" s="182">
        <v>176744.44</v>
      </c>
      <c r="G63" s="206">
        <v>176744.44</v>
      </c>
      <c r="H63" s="206">
        <v>176744.44</v>
      </c>
      <c r="I63" s="206">
        <v>176744.44</v>
      </c>
    </row>
    <row r="64" spans="1:9" ht="12.75" x14ac:dyDescent="0.2">
      <c r="A64" s="164" t="s">
        <v>40</v>
      </c>
      <c r="B64" s="186">
        <f>B62+B63</f>
        <v>699947.07</v>
      </c>
      <c r="C64" s="186">
        <f>C62+C63</f>
        <v>1038371.98</v>
      </c>
      <c r="D64" s="186">
        <f t="shared" ref="D64:I64" si="13">D62+D63</f>
        <v>1129756.77</v>
      </c>
      <c r="E64" s="186">
        <f t="shared" si="13"/>
        <v>1129756.77</v>
      </c>
      <c r="F64" s="186">
        <f t="shared" si="13"/>
        <v>1129756.77</v>
      </c>
      <c r="G64" s="197">
        <f t="shared" si="13"/>
        <v>1129756.77</v>
      </c>
      <c r="H64" s="197">
        <f t="shared" si="13"/>
        <v>1129756.77</v>
      </c>
      <c r="I64" s="197">
        <f t="shared" si="13"/>
        <v>1129756.77</v>
      </c>
    </row>
    <row r="65" spans="1:9" ht="12.75" x14ac:dyDescent="0.2">
      <c r="A65" s="195"/>
      <c r="B65" s="196"/>
      <c r="C65" s="196"/>
      <c r="D65" s="196"/>
      <c r="E65" s="196"/>
      <c r="F65" s="196"/>
      <c r="G65" s="189"/>
      <c r="H65" s="189"/>
      <c r="I65" s="189"/>
    </row>
    <row r="66" spans="1:9" ht="12.75" x14ac:dyDescent="0.2">
      <c r="A66" s="172"/>
      <c r="B66" s="200"/>
      <c r="C66" s="200"/>
      <c r="D66" s="200"/>
      <c r="E66" s="200"/>
      <c r="F66" s="201"/>
      <c r="G66" s="207"/>
    </row>
    <row r="67" spans="1:9" ht="12.75" x14ac:dyDescent="0.2">
      <c r="A67" s="164" t="s">
        <v>9</v>
      </c>
      <c r="B67" s="165">
        <v>46022</v>
      </c>
      <c r="C67" s="165">
        <v>45930</v>
      </c>
      <c r="D67" s="165">
        <v>45838</v>
      </c>
      <c r="E67" s="165">
        <v>45747</v>
      </c>
      <c r="F67" s="165">
        <v>45657</v>
      </c>
      <c r="G67" s="228">
        <v>45382</v>
      </c>
      <c r="H67" s="228">
        <v>45473</v>
      </c>
      <c r="I67" s="228">
        <v>45565</v>
      </c>
    </row>
    <row r="68" spans="1:9" ht="12.75" x14ac:dyDescent="0.2">
      <c r="A68" s="166" t="s">
        <v>59</v>
      </c>
      <c r="B68" s="167">
        <v>54655.68</v>
      </c>
      <c r="C68" s="167">
        <v>54655.68</v>
      </c>
      <c r="D68" s="167">
        <v>54655.68</v>
      </c>
      <c r="E68" s="167">
        <v>54655.68</v>
      </c>
      <c r="F68" s="182">
        <v>54655.68</v>
      </c>
      <c r="G68" s="206">
        <v>54655.68</v>
      </c>
      <c r="H68" s="206">
        <v>54655.68</v>
      </c>
      <c r="I68" s="206">
        <v>54655.68</v>
      </c>
    </row>
    <row r="69" spans="1:9" ht="12.75" x14ac:dyDescent="0.2">
      <c r="A69" s="166" t="s">
        <v>58</v>
      </c>
      <c r="B69" s="167">
        <v>2065986.29</v>
      </c>
      <c r="C69" s="167">
        <v>2109198.96</v>
      </c>
      <c r="D69" s="167">
        <v>2109198.96</v>
      </c>
      <c r="E69" s="167">
        <v>2109198.96</v>
      </c>
      <c r="F69" s="182">
        <v>2159325.65</v>
      </c>
      <c r="G69" s="206">
        <v>2161054.16</v>
      </c>
      <c r="H69" s="206">
        <v>2161054.16</v>
      </c>
      <c r="I69" s="206">
        <v>2159325.65</v>
      </c>
    </row>
    <row r="70" spans="1:9" ht="12.75" x14ac:dyDescent="0.2">
      <c r="A70" s="164" t="s">
        <v>40</v>
      </c>
      <c r="B70" s="186">
        <f>SUM(B68:B69)</f>
        <v>2120641.9700000002</v>
      </c>
      <c r="C70" s="186">
        <f>SUM(C68:C69)</f>
        <v>2163854.64</v>
      </c>
      <c r="D70" s="186">
        <f t="shared" ref="D70:I70" si="14">SUM(D68:D69)</f>
        <v>2163854.64</v>
      </c>
      <c r="E70" s="186">
        <f t="shared" si="14"/>
        <v>2163854.64</v>
      </c>
      <c r="F70" s="186">
        <f t="shared" si="14"/>
        <v>2213981.33</v>
      </c>
      <c r="G70" s="197">
        <f t="shared" si="14"/>
        <v>2215709.8400000003</v>
      </c>
      <c r="H70" s="197">
        <f t="shared" si="14"/>
        <v>2215709.8400000003</v>
      </c>
      <c r="I70" s="197">
        <f t="shared" si="14"/>
        <v>2213981.33</v>
      </c>
    </row>
    <row r="71" spans="1:9" ht="12.75" x14ac:dyDescent="0.2">
      <c r="A71" s="166"/>
      <c r="B71" s="229"/>
      <c r="C71" s="229"/>
      <c r="D71" s="229"/>
      <c r="E71" s="229"/>
      <c r="F71" s="182"/>
      <c r="G71" s="207"/>
    </row>
    <row r="72" spans="1:9" ht="12.75" x14ac:dyDescent="0.2">
      <c r="A72" s="164" t="s">
        <v>4</v>
      </c>
      <c r="B72" s="165">
        <v>46022</v>
      </c>
      <c r="C72" s="165">
        <v>45930</v>
      </c>
      <c r="D72" s="165">
        <v>45838</v>
      </c>
      <c r="E72" s="165">
        <v>45747</v>
      </c>
      <c r="F72" s="165">
        <v>45657</v>
      </c>
      <c r="G72" s="165">
        <v>45382</v>
      </c>
      <c r="H72" s="165">
        <v>45473</v>
      </c>
      <c r="I72" s="176">
        <v>45565</v>
      </c>
    </row>
    <row r="73" spans="1:9" ht="12.75" x14ac:dyDescent="0.2">
      <c r="A73" s="166" t="s">
        <v>10</v>
      </c>
      <c r="B73" s="182">
        <v>373527.44</v>
      </c>
      <c r="C73" s="182">
        <v>362820.76</v>
      </c>
      <c r="D73" s="182">
        <v>770734.7</v>
      </c>
      <c r="E73" s="182">
        <v>747771.07</v>
      </c>
      <c r="F73" s="182">
        <v>332902.37</v>
      </c>
      <c r="G73" s="183">
        <v>1329751.31</v>
      </c>
      <c r="H73" s="183">
        <v>1362282.27</v>
      </c>
      <c r="I73" s="220">
        <v>647774.5</v>
      </c>
    </row>
    <row r="74" spans="1:9" ht="12.75" x14ac:dyDescent="0.2">
      <c r="A74" s="164" t="s">
        <v>40</v>
      </c>
      <c r="B74" s="186">
        <f>B73</f>
        <v>373527.44</v>
      </c>
      <c r="C74" s="186">
        <f>C73</f>
        <v>362820.76</v>
      </c>
      <c r="D74" s="186">
        <f t="shared" ref="D74:I74" si="15">D73</f>
        <v>770734.7</v>
      </c>
      <c r="E74" s="186">
        <f t="shared" si="15"/>
        <v>747771.07</v>
      </c>
      <c r="F74" s="186">
        <f t="shared" si="15"/>
        <v>332902.37</v>
      </c>
      <c r="G74" s="187">
        <f t="shared" si="15"/>
        <v>1329751.31</v>
      </c>
      <c r="H74" s="187">
        <f t="shared" si="15"/>
        <v>1362282.27</v>
      </c>
      <c r="I74" s="188">
        <f t="shared" si="15"/>
        <v>647774.5</v>
      </c>
    </row>
    <row r="75" spans="1:9" ht="12.75" x14ac:dyDescent="0.2">
      <c r="A75" s="172"/>
      <c r="B75" s="200"/>
      <c r="C75" s="200"/>
      <c r="D75" s="200"/>
      <c r="E75" s="200"/>
      <c r="F75" s="201"/>
      <c r="G75" s="207"/>
    </row>
    <row r="76" spans="1:9" ht="12.75" x14ac:dyDescent="0.2">
      <c r="A76" s="164" t="s">
        <v>289</v>
      </c>
      <c r="B76" s="165">
        <v>46022</v>
      </c>
      <c r="C76" s="165">
        <v>45930</v>
      </c>
      <c r="D76" s="165">
        <v>45838</v>
      </c>
      <c r="E76" s="165">
        <v>45747</v>
      </c>
      <c r="F76" s="165">
        <v>45657</v>
      </c>
      <c r="G76" s="193">
        <v>45382</v>
      </c>
      <c r="H76" s="193">
        <v>45473</v>
      </c>
      <c r="I76" s="193">
        <v>45565</v>
      </c>
    </row>
    <row r="77" spans="1:9" ht="12.75" x14ac:dyDescent="0.2">
      <c r="A77" s="166" t="s">
        <v>286</v>
      </c>
      <c r="B77" s="182">
        <v>665989230.16999996</v>
      </c>
      <c r="C77" s="182">
        <v>630514180.12</v>
      </c>
      <c r="D77" s="182">
        <v>582523795.28999996</v>
      </c>
      <c r="E77" s="182">
        <v>531189985.75999999</v>
      </c>
      <c r="F77" s="182">
        <v>493723326.24000001</v>
      </c>
      <c r="G77" s="204">
        <v>380247442.44999999</v>
      </c>
      <c r="H77" s="204">
        <v>424042119.31999999</v>
      </c>
      <c r="I77" s="204">
        <v>517849644.12</v>
      </c>
    </row>
    <row r="78" spans="1:9" ht="12.75" x14ac:dyDescent="0.2">
      <c r="A78" s="166" t="s">
        <v>290</v>
      </c>
      <c r="B78" s="182">
        <v>0</v>
      </c>
      <c r="C78" s="182">
        <v>3288451.36</v>
      </c>
      <c r="D78" s="182">
        <v>3288451.36</v>
      </c>
      <c r="E78" s="182">
        <v>3288451.36</v>
      </c>
      <c r="F78" s="182">
        <v>3288451.36</v>
      </c>
      <c r="G78" s="204">
        <v>3288451.36</v>
      </c>
      <c r="H78" s="204">
        <v>3288451.36</v>
      </c>
      <c r="I78" s="204">
        <v>3288451.36</v>
      </c>
    </row>
    <row r="79" spans="1:9" ht="12.75" x14ac:dyDescent="0.2">
      <c r="A79" s="166" t="s">
        <v>287</v>
      </c>
      <c r="B79" s="182">
        <v>6981044.4800000004</v>
      </c>
      <c r="C79" s="182">
        <v>12295258.060000001</v>
      </c>
      <c r="D79" s="182">
        <v>10021224.65</v>
      </c>
      <c r="E79" s="182">
        <v>8727215.3599999994</v>
      </c>
      <c r="F79" s="182">
        <v>8621297.25</v>
      </c>
      <c r="G79" s="204">
        <v>0</v>
      </c>
      <c r="H79" s="204">
        <v>7640275.6200000001</v>
      </c>
      <c r="I79" s="204">
        <v>7888649.29</v>
      </c>
    </row>
    <row r="80" spans="1:9" ht="12.75" x14ac:dyDescent="0.2">
      <c r="A80" s="166" t="s">
        <v>288</v>
      </c>
      <c r="B80" s="182">
        <v>22935081.68</v>
      </c>
      <c r="C80" s="182">
        <v>12003380.560000001</v>
      </c>
      <c r="D80" s="182">
        <v>2105996.58</v>
      </c>
      <c r="E80" s="182"/>
      <c r="F80" s="182">
        <v>0</v>
      </c>
      <c r="G80" s="204"/>
      <c r="H80" s="204">
        <v>0</v>
      </c>
      <c r="I80" s="204">
        <v>0</v>
      </c>
    </row>
    <row r="81" spans="1:9" ht="12.75" x14ac:dyDescent="0.2">
      <c r="A81" s="230" t="s">
        <v>40</v>
      </c>
      <c r="B81" s="231">
        <f>SUM(B77:B80)</f>
        <v>695905356.32999992</v>
      </c>
      <c r="C81" s="186">
        <f t="shared" ref="C81:H81" si="16">SUM(C77:C80)</f>
        <v>658101270.0999999</v>
      </c>
      <c r="D81" s="186">
        <f t="shared" si="16"/>
        <v>597939467.88</v>
      </c>
      <c r="E81" s="186">
        <f t="shared" si="16"/>
        <v>543205652.48000002</v>
      </c>
      <c r="F81" s="186">
        <f t="shared" si="16"/>
        <v>505633074.85000002</v>
      </c>
      <c r="G81" s="194">
        <f t="shared" si="16"/>
        <v>383535893.81</v>
      </c>
      <c r="H81" s="194">
        <f t="shared" si="16"/>
        <v>434970846.30000001</v>
      </c>
      <c r="I81" s="194">
        <f>SUM(I77:I79)</f>
        <v>529026744.77000004</v>
      </c>
    </row>
    <row r="82" spans="1:9" ht="12.75" x14ac:dyDescent="0.2">
      <c r="A82" s="195"/>
      <c r="B82" s="196"/>
      <c r="C82" s="196"/>
      <c r="D82" s="196"/>
      <c r="E82" s="196"/>
      <c r="F82" s="196"/>
      <c r="G82" s="197"/>
      <c r="H82" s="197"/>
      <c r="I82" s="197"/>
    </row>
    <row r="83" spans="1:9" ht="12.75" x14ac:dyDescent="0.2">
      <c r="A83" s="164" t="s">
        <v>266</v>
      </c>
      <c r="B83" s="165">
        <v>46022</v>
      </c>
      <c r="C83" s="165">
        <v>45930</v>
      </c>
      <c r="D83" s="165">
        <v>45838</v>
      </c>
      <c r="E83" s="165">
        <v>45747</v>
      </c>
      <c r="F83" s="165">
        <v>45657</v>
      </c>
      <c r="G83" s="197"/>
      <c r="H83" s="197"/>
      <c r="I83" s="197"/>
    </row>
    <row r="84" spans="1:9" ht="12.75" x14ac:dyDescent="0.2">
      <c r="A84" s="166" t="s">
        <v>291</v>
      </c>
      <c r="B84" s="182">
        <v>2292361.5299999998</v>
      </c>
      <c r="C84" s="182">
        <v>3288451.36</v>
      </c>
      <c r="D84" s="182">
        <v>3288451.36</v>
      </c>
      <c r="E84" s="182">
        <v>3288451.36</v>
      </c>
      <c r="F84" s="182">
        <v>0</v>
      </c>
      <c r="G84" s="197"/>
      <c r="H84" s="197"/>
      <c r="I84" s="197"/>
    </row>
    <row r="85" spans="1:9" ht="12.75" x14ac:dyDescent="0.2">
      <c r="A85" s="164" t="s">
        <v>40</v>
      </c>
      <c r="B85" s="186">
        <f>SUM(B84:B84)</f>
        <v>2292361.5299999998</v>
      </c>
      <c r="C85" s="186">
        <f>SUM(C84:C84)</f>
        <v>3288451.36</v>
      </c>
      <c r="D85" s="186">
        <f>SUM(D84:D84)</f>
        <v>3288451.36</v>
      </c>
      <c r="E85" s="186">
        <f>SUM(E84:E84)</f>
        <v>3288451.36</v>
      </c>
      <c r="F85" s="186">
        <f>SUM(F84:F84)</f>
        <v>0</v>
      </c>
      <c r="G85" s="197"/>
      <c r="H85" s="197"/>
      <c r="I85" s="197"/>
    </row>
    <row r="86" spans="1:9" ht="12.75" x14ac:dyDescent="0.2">
      <c r="A86" s="195"/>
      <c r="B86" s="196"/>
      <c r="C86" s="196"/>
      <c r="D86" s="196"/>
      <c r="E86" s="196"/>
      <c r="F86" s="196"/>
      <c r="G86" s="197"/>
      <c r="H86" s="197"/>
      <c r="I86" s="197"/>
    </row>
    <row r="87" spans="1:9" ht="12.75" x14ac:dyDescent="0.2">
      <c r="A87" s="281"/>
      <c r="B87" s="186">
        <f>B81+B85</f>
        <v>698197717.8599999</v>
      </c>
      <c r="C87" s="196"/>
      <c r="D87" s="196"/>
      <c r="E87" s="196"/>
      <c r="F87" s="196"/>
      <c r="G87" s="197"/>
      <c r="H87" s="197"/>
      <c r="I87" s="197"/>
    </row>
    <row r="88" spans="1:9" ht="12.75" x14ac:dyDescent="0.2">
      <c r="A88" s="195"/>
      <c r="B88" s="196"/>
      <c r="C88" s="196"/>
      <c r="D88" s="196"/>
      <c r="E88" s="196"/>
      <c r="F88" s="196"/>
      <c r="G88" s="189"/>
      <c r="H88" s="189"/>
      <c r="I88" s="189"/>
    </row>
    <row r="89" spans="1:9" ht="12.75" x14ac:dyDescent="0.2">
      <c r="A89" s="164" t="s">
        <v>102</v>
      </c>
      <c r="B89" s="186">
        <f>505633074.85</f>
        <v>505633074.85000002</v>
      </c>
      <c r="C89" s="232">
        <f>505633074.85</f>
        <v>505633074.85000002</v>
      </c>
      <c r="D89" s="196"/>
      <c r="E89" s="196"/>
      <c r="F89" s="196"/>
      <c r="G89" s="189"/>
      <c r="H89" s="189"/>
      <c r="I89" s="189"/>
    </row>
    <row r="90" spans="1:9" ht="12.75" x14ac:dyDescent="0.2">
      <c r="A90" s="166" t="s">
        <v>184</v>
      </c>
      <c r="B90" s="182">
        <f>525569630.56+92658.33</f>
        <v>525662288.88999999</v>
      </c>
      <c r="C90" s="182">
        <f>339898561.26-36.86-803.9-734.34-772.27</f>
        <v>339896213.89000005</v>
      </c>
      <c r="D90" s="233">
        <v>186433786.72</v>
      </c>
      <c r="E90" s="196"/>
      <c r="F90" s="196"/>
      <c r="G90" s="189"/>
      <c r="H90" s="189"/>
      <c r="I90" s="189"/>
    </row>
    <row r="91" spans="1:9" ht="12.75" x14ac:dyDescent="0.2">
      <c r="A91" s="166" t="s">
        <v>185</v>
      </c>
      <c r="B91" s="182">
        <v>332101556.05000001</v>
      </c>
      <c r="C91" s="182">
        <f>187430366.01-36.86-803.9-734.34-772.27</f>
        <v>187428018.63999996</v>
      </c>
      <c r="D91" s="233">
        <v>94127393.689999998</v>
      </c>
      <c r="E91" s="196"/>
      <c r="F91" s="196"/>
      <c r="G91" s="189"/>
      <c r="H91" s="189"/>
      <c r="I91" s="189"/>
    </row>
    <row r="92" spans="1:9" ht="12.75" x14ac:dyDescent="0.2">
      <c r="A92" s="166" t="s">
        <v>268</v>
      </c>
      <c r="B92" s="182">
        <v>3288451.36</v>
      </c>
      <c r="C92" s="182"/>
      <c r="D92" s="233"/>
      <c r="E92" s="196"/>
      <c r="F92" s="196"/>
      <c r="G92" s="189"/>
      <c r="H92" s="189"/>
      <c r="I92" s="189"/>
    </row>
    <row r="93" spans="1:9" ht="12.75" x14ac:dyDescent="0.2">
      <c r="A93" s="164" t="s">
        <v>40</v>
      </c>
      <c r="B93" s="186">
        <f>B89+B90-B91-B92</f>
        <v>695905356.33000004</v>
      </c>
      <c r="C93" s="186">
        <f>C89+C90-C91</f>
        <v>658101270.10000002</v>
      </c>
      <c r="D93" s="196"/>
      <c r="E93" s="196"/>
      <c r="F93" s="196"/>
      <c r="G93" s="189"/>
      <c r="H93" s="189"/>
      <c r="I93" s="189"/>
    </row>
    <row r="94" spans="1:9" ht="12.75" x14ac:dyDescent="0.2">
      <c r="A94" s="195"/>
      <c r="B94" s="196"/>
      <c r="C94" s="196"/>
      <c r="D94" s="196"/>
      <c r="E94" s="196"/>
      <c r="F94" s="196"/>
      <c r="G94" s="189"/>
      <c r="H94" s="189"/>
      <c r="I94" s="189"/>
    </row>
    <row r="95" spans="1:9" ht="12.75" x14ac:dyDescent="0.2">
      <c r="A95" s="234" t="s">
        <v>129</v>
      </c>
      <c r="B95" s="165">
        <v>46022</v>
      </c>
      <c r="C95" s="165">
        <v>45930</v>
      </c>
      <c r="D95" s="165">
        <v>45838</v>
      </c>
      <c r="E95" s="165">
        <v>45747</v>
      </c>
      <c r="F95" s="165">
        <v>45657</v>
      </c>
      <c r="G95" s="165">
        <v>45382</v>
      </c>
      <c r="H95" s="165">
        <v>45473</v>
      </c>
      <c r="I95" s="176">
        <v>45565</v>
      </c>
    </row>
    <row r="96" spans="1:9" ht="12.75" x14ac:dyDescent="0.2">
      <c r="A96" s="166" t="s">
        <v>130</v>
      </c>
      <c r="B96" s="182">
        <v>6784688.8099999996</v>
      </c>
      <c r="C96" s="182" t="e">
        <f>#REF!</f>
        <v>#REF!</v>
      </c>
      <c r="D96" s="186"/>
      <c r="E96" s="186"/>
      <c r="F96" s="182">
        <v>5886971.7199999997</v>
      </c>
      <c r="G96" s="187"/>
      <c r="H96" s="187"/>
      <c r="I96" s="220">
        <v>5886971.7199999997</v>
      </c>
    </row>
    <row r="97" spans="1:9" ht="12.75" x14ac:dyDescent="0.2">
      <c r="A97" s="166" t="s">
        <v>131</v>
      </c>
      <c r="B97" s="182">
        <v>-4384602.4800000004</v>
      </c>
      <c r="C97" s="182" t="e">
        <f>#REF!</f>
        <v>#REF!</v>
      </c>
      <c r="D97" s="186"/>
      <c r="E97" s="186"/>
      <c r="F97" s="182">
        <v>-3661179.6</v>
      </c>
      <c r="G97" s="187"/>
      <c r="H97" s="187"/>
      <c r="I97" s="220">
        <v>-3472186.54</v>
      </c>
    </row>
    <row r="98" spans="1:9" ht="12.75" x14ac:dyDescent="0.2">
      <c r="A98" s="168"/>
      <c r="B98" s="186">
        <f>B96+B97</f>
        <v>2400086.3299999991</v>
      </c>
      <c r="C98" s="186" t="e">
        <f>C96+C97</f>
        <v>#REF!</v>
      </c>
      <c r="D98" s="186">
        <f t="shared" ref="D98:I98" si="17">D96+D97</f>
        <v>0</v>
      </c>
      <c r="E98" s="186">
        <f t="shared" si="17"/>
        <v>0</v>
      </c>
      <c r="F98" s="186">
        <f t="shared" si="17"/>
        <v>2225792.1199999996</v>
      </c>
      <c r="G98" s="187">
        <f t="shared" si="17"/>
        <v>0</v>
      </c>
      <c r="H98" s="187">
        <f t="shared" si="17"/>
        <v>0</v>
      </c>
      <c r="I98" s="188">
        <f t="shared" si="17"/>
        <v>2414785.1799999997</v>
      </c>
    </row>
    <row r="99" spans="1:9" ht="12.75" x14ac:dyDescent="0.2">
      <c r="A99" s="168"/>
      <c r="B99" s="196"/>
      <c r="C99" s="196"/>
      <c r="D99" s="196"/>
      <c r="E99" s="196"/>
      <c r="F99" s="196"/>
      <c r="G99" s="189"/>
      <c r="H99" s="189"/>
      <c r="I99" s="189"/>
    </row>
    <row r="100" spans="1:9" ht="12.75" x14ac:dyDescent="0.2">
      <c r="A100" s="175" t="s">
        <v>134</v>
      </c>
      <c r="B100" s="165">
        <v>46022</v>
      </c>
      <c r="C100" s="165">
        <v>45930</v>
      </c>
      <c r="D100" s="165">
        <v>45838</v>
      </c>
      <c r="E100" s="165">
        <v>45747</v>
      </c>
      <c r="F100" s="165">
        <v>45657</v>
      </c>
      <c r="G100" s="165">
        <v>45382</v>
      </c>
      <c r="H100" s="165">
        <v>45473</v>
      </c>
      <c r="I100" s="176">
        <v>45565</v>
      </c>
    </row>
    <row r="101" spans="1:9" ht="12.75" x14ac:dyDescent="0.2">
      <c r="A101" s="235" t="s">
        <v>11</v>
      </c>
      <c r="B101" s="182">
        <v>7078508.8399999999</v>
      </c>
      <c r="C101" s="182" t="e">
        <f>#REF!</f>
        <v>#REF!</v>
      </c>
      <c r="D101" s="182"/>
      <c r="E101" s="182"/>
      <c r="F101" s="182">
        <v>4375009.54</v>
      </c>
      <c r="G101" s="187"/>
      <c r="H101" s="187"/>
      <c r="I101" s="220">
        <v>3236442.47</v>
      </c>
    </row>
    <row r="102" spans="1:9" ht="12.75" x14ac:dyDescent="0.2">
      <c r="A102" s="235" t="s">
        <v>139</v>
      </c>
      <c r="B102" s="182">
        <v>-2452144.12</v>
      </c>
      <c r="C102" s="182" t="e">
        <f>#REF!</f>
        <v>#REF!</v>
      </c>
      <c r="D102" s="182"/>
      <c r="E102" s="182"/>
      <c r="F102" s="182">
        <v>-1472968.66</v>
      </c>
      <c r="G102" s="187"/>
      <c r="H102" s="187"/>
      <c r="I102" s="220">
        <v>-1304982.58</v>
      </c>
    </row>
    <row r="103" spans="1:9" ht="12.75" x14ac:dyDescent="0.2">
      <c r="A103" s="195"/>
      <c r="B103" s="186">
        <f>B101+B102</f>
        <v>4626364.72</v>
      </c>
      <c r="C103" s="186" t="e">
        <f>C101+C102</f>
        <v>#REF!</v>
      </c>
      <c r="D103" s="186">
        <f t="shared" ref="D103:I103" si="18">D101+D102</f>
        <v>0</v>
      </c>
      <c r="E103" s="186">
        <f t="shared" si="18"/>
        <v>0</v>
      </c>
      <c r="F103" s="186">
        <f t="shared" si="18"/>
        <v>2902040.88</v>
      </c>
      <c r="G103" s="187">
        <f t="shared" si="18"/>
        <v>0</v>
      </c>
      <c r="H103" s="187">
        <f t="shared" si="18"/>
        <v>0</v>
      </c>
      <c r="I103" s="188">
        <f t="shared" si="18"/>
        <v>1931459.8900000001</v>
      </c>
    </row>
    <row r="104" spans="1:9" ht="12.75" x14ac:dyDescent="0.2">
      <c r="A104" s="195"/>
      <c r="B104" s="196"/>
      <c r="C104" s="196"/>
      <c r="D104" s="196"/>
      <c r="E104" s="196"/>
      <c r="F104" s="196"/>
      <c r="G104" s="189"/>
      <c r="H104" s="189"/>
      <c r="I104" s="189"/>
    </row>
    <row r="105" spans="1:9" ht="12.75" x14ac:dyDescent="0.2">
      <c r="A105" s="195"/>
      <c r="B105" s="196"/>
      <c r="C105" s="196"/>
      <c r="D105" s="196"/>
      <c r="E105" s="196"/>
      <c r="F105" s="196"/>
      <c r="G105" s="189"/>
      <c r="H105" s="189"/>
      <c r="I105" s="189"/>
    </row>
    <row r="106" spans="1:9" ht="12.75" x14ac:dyDescent="0.2">
      <c r="A106" s="236" t="s">
        <v>116</v>
      </c>
      <c r="B106" s="237">
        <f>B54+B59+B64+B70+B74+B81+B98+B103+B85</f>
        <v>708469612.82999992</v>
      </c>
      <c r="C106" s="237" t="e">
        <f t="shared" ref="C106:I106" si="19">C54+C59+C64+C70+C74+C81+C98+C103</f>
        <v>#REF!</v>
      </c>
      <c r="D106" s="237">
        <f t="shared" si="19"/>
        <v>602095805.71000004</v>
      </c>
      <c r="E106" s="237">
        <f t="shared" si="19"/>
        <v>547339026.68000007</v>
      </c>
      <c r="F106" s="237">
        <f t="shared" si="19"/>
        <v>514529540.04000002</v>
      </c>
      <c r="G106" s="238">
        <f t="shared" si="19"/>
        <v>388335720.61000001</v>
      </c>
      <c r="H106" s="238">
        <f t="shared" si="19"/>
        <v>439803204.06</v>
      </c>
      <c r="I106" s="238">
        <f t="shared" si="19"/>
        <v>537489111.32000005</v>
      </c>
    </row>
    <row r="107" spans="1:9" ht="12.75" x14ac:dyDescent="0.2">
      <c r="A107" s="195"/>
      <c r="B107" s="239"/>
      <c r="C107" s="239"/>
      <c r="D107" s="239"/>
      <c r="E107" s="239"/>
      <c r="F107" s="239"/>
      <c r="G107" s="215"/>
      <c r="H107" s="215"/>
      <c r="I107" s="215"/>
    </row>
    <row r="108" spans="1:9" ht="12.75" x14ac:dyDescent="0.2">
      <c r="A108" s="236" t="s">
        <v>188</v>
      </c>
      <c r="B108" s="237">
        <f>B50+B106</f>
        <v>993876523.55999994</v>
      </c>
      <c r="C108" s="237" t="e">
        <f t="shared" ref="C108:I108" si="20">C50+C106</f>
        <v>#REF!</v>
      </c>
      <c r="D108" s="237">
        <f t="shared" si="20"/>
        <v>722984710.47000003</v>
      </c>
      <c r="E108" s="237">
        <f t="shared" si="20"/>
        <v>651098325.13000011</v>
      </c>
      <c r="F108" s="237">
        <f t="shared" si="20"/>
        <v>696841918.71000004</v>
      </c>
      <c r="G108" s="238">
        <f t="shared" si="20"/>
        <v>675490021.91000009</v>
      </c>
      <c r="H108" s="238">
        <f t="shared" si="20"/>
        <v>693111339.72000003</v>
      </c>
      <c r="I108" s="238">
        <f t="shared" si="20"/>
        <v>707581551.43000007</v>
      </c>
    </row>
    <row r="109" spans="1:9" s="168" customFormat="1" ht="12.75" x14ac:dyDescent="0.2">
      <c r="A109" s="195"/>
      <c r="B109" s="239"/>
      <c r="C109" s="239"/>
      <c r="D109" s="239"/>
      <c r="E109" s="239"/>
      <c r="F109" s="196"/>
      <c r="G109" s="189"/>
    </row>
    <row r="110" spans="1:9" ht="12.75" x14ac:dyDescent="0.2">
      <c r="A110" s="240" t="s">
        <v>60</v>
      </c>
      <c r="B110" s="165">
        <v>46022</v>
      </c>
      <c r="C110" s="165">
        <v>45930</v>
      </c>
      <c r="D110" s="165">
        <v>45838</v>
      </c>
      <c r="E110" s="165">
        <v>45747</v>
      </c>
      <c r="F110" s="165">
        <v>45657</v>
      </c>
      <c r="G110" s="165">
        <v>45382</v>
      </c>
      <c r="H110" s="165">
        <v>45473</v>
      </c>
      <c r="I110" s="176">
        <v>45565</v>
      </c>
    </row>
    <row r="111" spans="1:9" ht="12.75" x14ac:dyDescent="0.2">
      <c r="A111" s="240" t="s">
        <v>61</v>
      </c>
      <c r="B111" s="241">
        <f>SUM(B112:B118)</f>
        <v>207618.72999999998</v>
      </c>
      <c r="C111" s="241">
        <f>SUM(C112:C118)</f>
        <v>246590.51</v>
      </c>
      <c r="D111" s="241">
        <f t="shared" ref="D111:I111" si="21">SUM(D112:D118)</f>
        <v>228240.01</v>
      </c>
      <c r="E111" s="241">
        <f t="shared" si="21"/>
        <v>162993.03</v>
      </c>
      <c r="F111" s="241">
        <f t="shared" si="21"/>
        <v>124150.92</v>
      </c>
      <c r="G111" s="242">
        <f t="shared" si="21"/>
        <v>188984.28999999998</v>
      </c>
      <c r="H111" s="242">
        <f t="shared" si="21"/>
        <v>311657.73</v>
      </c>
      <c r="I111" s="243">
        <f t="shared" si="21"/>
        <v>189203.98</v>
      </c>
    </row>
    <row r="112" spans="1:9" ht="12.75" hidden="1" x14ac:dyDescent="0.2">
      <c r="A112" s="244" t="s">
        <v>76</v>
      </c>
      <c r="B112" s="245">
        <v>0</v>
      </c>
      <c r="C112" s="245">
        <v>22516.6</v>
      </c>
      <c r="D112" s="245">
        <v>22792.94</v>
      </c>
      <c r="E112" s="245">
        <v>4360.7</v>
      </c>
      <c r="F112" s="245">
        <v>0</v>
      </c>
      <c r="G112" s="246">
        <v>0</v>
      </c>
      <c r="H112" s="246">
        <v>133631.46</v>
      </c>
      <c r="I112" s="247">
        <v>8464.2800000000007</v>
      </c>
    </row>
    <row r="113" spans="1:9" ht="12.75" hidden="1" x14ac:dyDescent="0.2">
      <c r="A113" s="244" t="s">
        <v>78</v>
      </c>
      <c r="B113" s="245">
        <v>0</v>
      </c>
      <c r="C113" s="245">
        <v>0</v>
      </c>
      <c r="D113" s="245">
        <v>25080.59</v>
      </c>
      <c r="E113" s="245">
        <v>0</v>
      </c>
      <c r="F113" s="245">
        <v>0</v>
      </c>
      <c r="G113" s="246">
        <v>25707.03</v>
      </c>
      <c r="H113" s="246">
        <v>2614.37</v>
      </c>
      <c r="I113" s="247">
        <v>963.92</v>
      </c>
    </row>
    <row r="114" spans="1:9" ht="12.75" x14ac:dyDescent="0.2">
      <c r="A114" s="244" t="s">
        <v>189</v>
      </c>
      <c r="B114" s="245">
        <v>6361.11</v>
      </c>
      <c r="C114" s="245">
        <v>9630.01</v>
      </c>
      <c r="D114" s="245"/>
      <c r="E114" s="245"/>
      <c r="F114" s="245">
        <v>0</v>
      </c>
      <c r="G114" s="246"/>
      <c r="H114" s="246"/>
      <c r="I114" s="247">
        <v>0</v>
      </c>
    </row>
    <row r="115" spans="1:9" ht="12.75" x14ac:dyDescent="0.2">
      <c r="A115" s="244" t="s">
        <v>12</v>
      </c>
      <c r="B115" s="245">
        <v>61785.63</v>
      </c>
      <c r="C115" s="245">
        <v>46599.07</v>
      </c>
      <c r="D115" s="245">
        <v>43701.47</v>
      </c>
      <c r="E115" s="245">
        <v>46465.4</v>
      </c>
      <c r="F115" s="245">
        <v>0</v>
      </c>
      <c r="G115" s="246">
        <v>41478.21</v>
      </c>
      <c r="H115" s="246">
        <v>41587.599999999999</v>
      </c>
      <c r="I115" s="247">
        <v>41296.43</v>
      </c>
    </row>
    <row r="116" spans="1:9" ht="12.75" hidden="1" x14ac:dyDescent="0.2">
      <c r="A116" s="244" t="s">
        <v>86</v>
      </c>
      <c r="B116" s="245">
        <v>0</v>
      </c>
      <c r="C116" s="245">
        <v>17595.55</v>
      </c>
      <c r="D116" s="245">
        <v>9913.7199999999993</v>
      </c>
      <c r="E116" s="245"/>
      <c r="F116" s="245">
        <v>0</v>
      </c>
      <c r="G116" s="246"/>
      <c r="H116" s="246">
        <v>0</v>
      </c>
      <c r="I116" s="247">
        <v>0</v>
      </c>
    </row>
    <row r="117" spans="1:9" ht="12.75" hidden="1" x14ac:dyDescent="0.2">
      <c r="A117" s="244" t="s">
        <v>84</v>
      </c>
      <c r="B117" s="245">
        <v>0</v>
      </c>
      <c r="C117" s="245">
        <v>0</v>
      </c>
      <c r="D117" s="245">
        <v>20</v>
      </c>
      <c r="E117" s="245"/>
      <c r="F117" s="245">
        <v>0</v>
      </c>
      <c r="G117" s="246"/>
      <c r="H117" s="246">
        <v>0</v>
      </c>
      <c r="I117" s="247">
        <v>0</v>
      </c>
    </row>
    <row r="118" spans="1:9" ht="12.75" x14ac:dyDescent="0.2">
      <c r="A118" s="244" t="s">
        <v>62</v>
      </c>
      <c r="B118" s="245">
        <f>114015.25+23241.78+2214.96</f>
        <v>139471.99</v>
      </c>
      <c r="C118" s="245">
        <f>126003.37+21466.66+2779.25</f>
        <v>150249.28</v>
      </c>
      <c r="D118" s="245">
        <f>103344.9+21393.53+1992.86</f>
        <v>126731.29</v>
      </c>
      <c r="E118" s="245">
        <f>103344.9+8822.03</f>
        <v>112166.93</v>
      </c>
      <c r="F118" s="245">
        <v>124150.92</v>
      </c>
      <c r="G118" s="246">
        <f>98761.53+23037.52</f>
        <v>121799.05</v>
      </c>
      <c r="H118" s="246">
        <f>98761.53+35062.77</f>
        <v>133824.29999999999</v>
      </c>
      <c r="I118" s="247">
        <f>116550.59+21928.76</f>
        <v>138479.35</v>
      </c>
    </row>
    <row r="119" spans="1:9" ht="12.75" x14ac:dyDescent="0.2">
      <c r="A119" s="249"/>
      <c r="B119" s="250"/>
      <c r="C119" s="250"/>
      <c r="D119" s="250"/>
      <c r="E119" s="250"/>
      <c r="F119" s="250"/>
      <c r="G119" s="248"/>
      <c r="H119" s="248"/>
      <c r="I119" s="248"/>
    </row>
    <row r="120" spans="1:9" ht="12.75" x14ac:dyDescent="0.2">
      <c r="A120" s="251"/>
      <c r="B120" s="252"/>
      <c r="C120" s="252"/>
      <c r="D120" s="252"/>
      <c r="E120" s="252"/>
      <c r="F120" s="253"/>
      <c r="G120" s="254"/>
      <c r="H120" s="254"/>
      <c r="I120" s="254"/>
    </row>
    <row r="121" spans="1:9" ht="12.75" x14ac:dyDescent="0.2">
      <c r="A121" s="240" t="s">
        <v>60</v>
      </c>
      <c r="B121" s="165">
        <v>46022</v>
      </c>
      <c r="C121" s="165">
        <v>45930</v>
      </c>
      <c r="D121" s="165">
        <v>45838</v>
      </c>
      <c r="E121" s="165">
        <v>45747</v>
      </c>
      <c r="F121" s="165">
        <v>45657</v>
      </c>
      <c r="G121" s="165">
        <v>45382</v>
      </c>
      <c r="H121" s="165">
        <v>45473</v>
      </c>
      <c r="I121" s="176">
        <v>45565</v>
      </c>
    </row>
    <row r="122" spans="1:9" ht="12.75" x14ac:dyDescent="0.2">
      <c r="A122" s="240" t="s">
        <v>13</v>
      </c>
      <c r="B122" s="241">
        <f>SUM(B123:B125)</f>
        <v>2423417.7600000002</v>
      </c>
      <c r="C122" s="241">
        <f>SUM(C123:C125)</f>
        <v>2993525.39</v>
      </c>
      <c r="D122" s="241">
        <f t="shared" ref="D122:I122" si="22">SUM(D123:D125)</f>
        <v>2344082.0999999996</v>
      </c>
      <c r="E122" s="241">
        <f t="shared" si="22"/>
        <v>2195471.0300000003</v>
      </c>
      <c r="F122" s="241">
        <f t="shared" si="22"/>
        <v>532490.97</v>
      </c>
      <c r="G122" s="242">
        <f t="shared" si="22"/>
        <v>1738071.2</v>
      </c>
      <c r="H122" s="242">
        <f t="shared" si="22"/>
        <v>1908943.05</v>
      </c>
      <c r="I122" s="243">
        <f t="shared" si="22"/>
        <v>2957568.6</v>
      </c>
    </row>
    <row r="123" spans="1:9" ht="12.75" x14ac:dyDescent="0.2">
      <c r="A123" s="244" t="s">
        <v>63</v>
      </c>
      <c r="B123" s="245">
        <v>1121076.3400000001</v>
      </c>
      <c r="C123" s="245">
        <v>1111950.74</v>
      </c>
      <c r="D123" s="245">
        <v>1092090.5</v>
      </c>
      <c r="E123" s="245">
        <v>1024841.68</v>
      </c>
      <c r="F123" s="245">
        <v>7341.83</v>
      </c>
      <c r="G123" s="246">
        <v>1013987.4</v>
      </c>
      <c r="H123" s="246">
        <v>1036023.15</v>
      </c>
      <c r="I123" s="247">
        <v>1058765.5900000001</v>
      </c>
    </row>
    <row r="124" spans="1:9" ht="12.75" x14ac:dyDescent="0.2">
      <c r="A124" s="244" t="s">
        <v>14</v>
      </c>
      <c r="B124" s="245">
        <v>1035773.36</v>
      </c>
      <c r="C124" s="245">
        <v>1610771.67</v>
      </c>
      <c r="D124" s="245">
        <v>981066.38</v>
      </c>
      <c r="E124" s="245">
        <v>923529.5</v>
      </c>
      <c r="F124" s="245">
        <v>525149.14</v>
      </c>
      <c r="G124" s="246">
        <v>486020.64</v>
      </c>
      <c r="H124" s="246">
        <v>617321.22</v>
      </c>
      <c r="I124" s="247">
        <v>1644468.37</v>
      </c>
    </row>
    <row r="125" spans="1:9" ht="12.75" x14ac:dyDescent="0.2">
      <c r="A125" s="244" t="s">
        <v>77</v>
      </c>
      <c r="B125" s="245">
        <v>266568.06</v>
      </c>
      <c r="C125" s="245">
        <v>270802.98</v>
      </c>
      <c r="D125" s="245">
        <v>270925.21999999997</v>
      </c>
      <c r="E125" s="245">
        <v>247099.85</v>
      </c>
      <c r="F125" s="245">
        <v>0</v>
      </c>
      <c r="G125" s="246">
        <v>238063.16</v>
      </c>
      <c r="H125" s="246">
        <v>255598.68</v>
      </c>
      <c r="I125" s="247">
        <v>254334.64</v>
      </c>
    </row>
    <row r="126" spans="1:9" ht="12.75" x14ac:dyDescent="0.2">
      <c r="A126" s="249"/>
      <c r="B126" s="250"/>
      <c r="C126" s="250"/>
      <c r="D126" s="250"/>
      <c r="E126" s="250"/>
      <c r="F126" s="250"/>
      <c r="G126" s="248"/>
      <c r="H126" s="248"/>
      <c r="I126" s="248"/>
    </row>
    <row r="127" spans="1:9" ht="12.75" x14ac:dyDescent="0.2">
      <c r="A127" s="251"/>
      <c r="B127" s="252"/>
      <c r="C127" s="252"/>
      <c r="D127" s="252"/>
      <c r="E127" s="252"/>
      <c r="F127" s="253"/>
      <c r="G127" s="254"/>
      <c r="H127" s="254"/>
      <c r="I127" s="254"/>
    </row>
    <row r="128" spans="1:9" ht="12.75" x14ac:dyDescent="0.2">
      <c r="A128" s="240" t="s">
        <v>60</v>
      </c>
      <c r="B128" s="165">
        <v>46022</v>
      </c>
      <c r="C128" s="165">
        <v>45930</v>
      </c>
      <c r="D128" s="165">
        <v>45838</v>
      </c>
      <c r="E128" s="165">
        <v>45747</v>
      </c>
      <c r="F128" s="165">
        <v>45657</v>
      </c>
      <c r="G128" s="255">
        <v>45382</v>
      </c>
      <c r="H128" s="255">
        <v>45473</v>
      </c>
      <c r="I128" s="255">
        <v>45565</v>
      </c>
    </row>
    <row r="129" spans="1:9" ht="12.75" x14ac:dyDescent="0.2">
      <c r="A129" s="240" t="s">
        <v>15</v>
      </c>
      <c r="B129" s="241">
        <f>SUM(B130:B138)</f>
        <v>1613060.3</v>
      </c>
      <c r="C129" s="241">
        <f t="shared" ref="C129:H129" si="23">SUM(C130:C138)</f>
        <v>1138799.52</v>
      </c>
      <c r="D129" s="241">
        <f t="shared" si="23"/>
        <v>881344.62</v>
      </c>
      <c r="E129" s="241">
        <f t="shared" si="23"/>
        <v>620120.87</v>
      </c>
      <c r="F129" s="241">
        <f t="shared" si="23"/>
        <v>142469.06</v>
      </c>
      <c r="G129" s="256">
        <f t="shared" si="23"/>
        <v>554972.89</v>
      </c>
      <c r="H129" s="256">
        <f t="shared" si="23"/>
        <v>607681.47999999986</v>
      </c>
      <c r="I129" s="256">
        <f>SUM(I130:I137)</f>
        <v>788914.6399999999</v>
      </c>
    </row>
    <row r="130" spans="1:9" ht="12.75" x14ac:dyDescent="0.2">
      <c r="A130" s="244" t="s">
        <v>16</v>
      </c>
      <c r="B130" s="245">
        <v>1102084.81</v>
      </c>
      <c r="C130" s="245">
        <v>559175.14</v>
      </c>
      <c r="D130" s="245">
        <v>609329.52</v>
      </c>
      <c r="E130" s="245">
        <v>487306.77</v>
      </c>
      <c r="F130" s="245">
        <v>5289.22</v>
      </c>
      <c r="G130" s="257">
        <v>460541.31</v>
      </c>
      <c r="H130" s="257">
        <v>467302.78</v>
      </c>
      <c r="I130" s="257">
        <v>515973.48</v>
      </c>
    </row>
    <row r="131" spans="1:9" ht="12.75" x14ac:dyDescent="0.2">
      <c r="A131" s="244" t="s">
        <v>17</v>
      </c>
      <c r="B131" s="245">
        <v>98092.07</v>
      </c>
      <c r="C131" s="245">
        <v>97856.8</v>
      </c>
      <c r="D131" s="245">
        <v>41382.81</v>
      </c>
      <c r="E131" s="245">
        <v>14386.88</v>
      </c>
      <c r="F131" s="245">
        <v>19046.73</v>
      </c>
      <c r="G131" s="257">
        <v>6704.23</v>
      </c>
      <c r="H131" s="257">
        <v>17896.080000000002</v>
      </c>
      <c r="I131" s="257">
        <v>40358.449999999997</v>
      </c>
    </row>
    <row r="132" spans="1:9" ht="12.75" x14ac:dyDescent="0.2">
      <c r="A132" s="244" t="s">
        <v>18</v>
      </c>
      <c r="B132" s="245">
        <v>95.5</v>
      </c>
      <c r="C132" s="245">
        <v>92</v>
      </c>
      <c r="D132" s="245">
        <v>95.5</v>
      </c>
      <c r="E132" s="245">
        <v>76</v>
      </c>
      <c r="F132" s="245">
        <v>95</v>
      </c>
      <c r="G132" s="257">
        <v>73</v>
      </c>
      <c r="H132" s="257">
        <v>93</v>
      </c>
      <c r="I132" s="257">
        <v>88.5</v>
      </c>
    </row>
    <row r="133" spans="1:9" ht="12.75" x14ac:dyDescent="0.2">
      <c r="A133" s="244" t="s">
        <v>19</v>
      </c>
      <c r="B133" s="245">
        <v>1379.56</v>
      </c>
      <c r="C133" s="245">
        <v>7541.07</v>
      </c>
      <c r="D133" s="245">
        <v>14085.97</v>
      </c>
      <c r="E133" s="245">
        <v>14816.61</v>
      </c>
      <c r="F133" s="245">
        <v>875.75</v>
      </c>
      <c r="G133" s="257">
        <v>19510.27</v>
      </c>
      <c r="H133" s="257">
        <v>14801.5</v>
      </c>
      <c r="I133" s="257">
        <v>17857.48</v>
      </c>
    </row>
    <row r="134" spans="1:9" ht="12.75" x14ac:dyDescent="0.2">
      <c r="A134" s="244" t="s">
        <v>64</v>
      </c>
      <c r="B134" s="245">
        <v>355160.19</v>
      </c>
      <c r="C134" s="245">
        <v>333126.42</v>
      </c>
      <c r="D134" s="245">
        <v>147852.51999999999</v>
      </c>
      <c r="E134" s="245">
        <v>58019.519999999997</v>
      </c>
      <c r="F134" s="245">
        <v>70291.05</v>
      </c>
      <c r="G134" s="257">
        <v>22774.71</v>
      </c>
      <c r="H134" s="257">
        <v>70839.649999999994</v>
      </c>
      <c r="I134" s="257">
        <v>170604.1</v>
      </c>
    </row>
    <row r="135" spans="1:9" ht="12.75" x14ac:dyDescent="0.2">
      <c r="A135" s="244" t="s">
        <v>65</v>
      </c>
      <c r="B135" s="245">
        <v>6851.6</v>
      </c>
      <c r="C135" s="245">
        <v>9527.36</v>
      </c>
      <c r="D135" s="245">
        <v>8241.32</v>
      </c>
      <c r="E135" s="245">
        <v>4911.42</v>
      </c>
      <c r="F135" s="245">
        <v>5748.67</v>
      </c>
      <c r="G135" s="257">
        <v>5029.49</v>
      </c>
      <c r="H135" s="257">
        <v>4834.08</v>
      </c>
      <c r="I135" s="257">
        <v>4633.1400000000003</v>
      </c>
    </row>
    <row r="136" spans="1:9" ht="12.75" x14ac:dyDescent="0.2">
      <c r="A136" s="244" t="s">
        <v>66</v>
      </c>
      <c r="B136" s="245">
        <v>37317.910000000003</v>
      </c>
      <c r="C136" s="245">
        <v>53220.22</v>
      </c>
      <c r="D136" s="245">
        <v>44976.11</v>
      </c>
      <c r="E136" s="245">
        <v>23740.57</v>
      </c>
      <c r="F136" s="245">
        <v>29544.36</v>
      </c>
      <c r="G136" s="257">
        <v>24066.09</v>
      </c>
      <c r="H136" s="257">
        <v>23136.19</v>
      </c>
      <c r="I136" s="257">
        <v>22154.44</v>
      </c>
    </row>
    <row r="137" spans="1:9" ht="12.75" x14ac:dyDescent="0.2">
      <c r="A137" s="244" t="s">
        <v>67</v>
      </c>
      <c r="B137" s="245">
        <f>1987.74+9173.57+917.35</f>
        <v>12078.66</v>
      </c>
      <c r="C137" s="245">
        <f>1912.03+8824.73+882.47</f>
        <v>11619.23</v>
      </c>
      <c r="D137" s="245">
        <f>2125.04+9807.88+980.79</f>
        <v>12913.71</v>
      </c>
      <c r="E137" s="245">
        <f>2774.93+12807.43+1280.74</f>
        <v>16863.100000000002</v>
      </c>
      <c r="F137" s="245">
        <f>1905.28+8793.64+879.36</f>
        <v>11578.28</v>
      </c>
      <c r="G137" s="257">
        <f>2677.96+12359.85+1235.98</f>
        <v>16273.79</v>
      </c>
      <c r="H137" s="257">
        <f>6666.99+1444.51+666.7</f>
        <v>8778.2000000000007</v>
      </c>
      <c r="I137" s="257">
        <f>2837.79+13097.51+1309.75</f>
        <v>17245.05</v>
      </c>
    </row>
    <row r="138" spans="1:9" ht="12.75" hidden="1" x14ac:dyDescent="0.2">
      <c r="A138" s="244" t="s">
        <v>85</v>
      </c>
      <c r="B138" s="245">
        <v>0</v>
      </c>
      <c r="C138" s="245">
        <v>66641.279999999999</v>
      </c>
      <c r="D138" s="245">
        <v>2467.16</v>
      </c>
      <c r="E138" s="245"/>
      <c r="F138" s="245">
        <v>0</v>
      </c>
      <c r="G138" s="257"/>
      <c r="H138" s="257">
        <v>0</v>
      </c>
      <c r="I138" s="257">
        <v>0</v>
      </c>
    </row>
    <row r="139" spans="1:9" ht="12.75" hidden="1" x14ac:dyDescent="0.2">
      <c r="A139" s="258"/>
      <c r="B139" s="259"/>
      <c r="C139" s="259"/>
      <c r="D139" s="259"/>
      <c r="E139" s="259"/>
      <c r="F139" s="259"/>
      <c r="G139" s="260"/>
      <c r="H139" s="260"/>
      <c r="I139" s="260"/>
    </row>
    <row r="140" spans="1:9" ht="12.75" x14ac:dyDescent="0.2">
      <c r="A140" s="261"/>
      <c r="B140" s="241">
        <f t="shared" ref="B140:I140" si="24">B122+B129+B111</f>
        <v>4244096.790000001</v>
      </c>
      <c r="C140" s="241">
        <f t="shared" si="24"/>
        <v>4378915.42</v>
      </c>
      <c r="D140" s="241">
        <f t="shared" si="24"/>
        <v>3453666.7299999995</v>
      </c>
      <c r="E140" s="241">
        <f t="shared" si="24"/>
        <v>2978584.93</v>
      </c>
      <c r="F140" s="241">
        <f t="shared" si="24"/>
        <v>799110.95000000007</v>
      </c>
      <c r="G140" s="262">
        <f t="shared" si="24"/>
        <v>2482028.38</v>
      </c>
      <c r="H140" s="262">
        <f t="shared" si="24"/>
        <v>2828282.26</v>
      </c>
      <c r="I140" s="262">
        <f t="shared" si="24"/>
        <v>3935687.22</v>
      </c>
    </row>
    <row r="141" spans="1:9" ht="14.25" customHeight="1" x14ac:dyDescent="0.2">
      <c r="A141" s="216"/>
      <c r="B141" s="217"/>
      <c r="C141" s="217"/>
      <c r="D141" s="217"/>
      <c r="E141" s="217"/>
      <c r="F141" s="218"/>
      <c r="G141" s="219"/>
      <c r="H141" s="219"/>
      <c r="I141" s="219"/>
    </row>
    <row r="142" spans="1:9" ht="12.75" x14ac:dyDescent="0.2">
      <c r="A142" s="172"/>
      <c r="B142" s="200"/>
      <c r="C142" s="200"/>
      <c r="D142" s="200"/>
      <c r="E142" s="200"/>
      <c r="F142" s="201"/>
      <c r="G142" s="207"/>
      <c r="H142" s="207"/>
      <c r="I142" s="207"/>
    </row>
    <row r="143" spans="1:9" ht="12.75" x14ac:dyDescent="0.2">
      <c r="A143" s="164" t="s">
        <v>20</v>
      </c>
      <c r="B143" s="165">
        <v>46022</v>
      </c>
      <c r="C143" s="165">
        <v>45930</v>
      </c>
      <c r="D143" s="165">
        <v>45838</v>
      </c>
      <c r="E143" s="165">
        <v>45747</v>
      </c>
      <c r="F143" s="165">
        <v>45657</v>
      </c>
      <c r="G143" s="263">
        <v>45382</v>
      </c>
      <c r="H143" s="263">
        <v>45473</v>
      </c>
      <c r="I143" s="263">
        <v>45565</v>
      </c>
    </row>
    <row r="144" spans="1:9" ht="12.75" x14ac:dyDescent="0.2">
      <c r="A144" s="166" t="s">
        <v>21</v>
      </c>
      <c r="B144" s="182">
        <v>423503.67</v>
      </c>
      <c r="C144" s="182">
        <v>25432516.390000001</v>
      </c>
      <c r="D144" s="182">
        <f>8473272.54+3313.47</f>
        <v>8476586.0099999998</v>
      </c>
      <c r="E144" s="182">
        <v>9542953.1400000006</v>
      </c>
      <c r="F144" s="182">
        <v>410724.49</v>
      </c>
      <c r="G144" s="206">
        <v>8536004.7100000009</v>
      </c>
      <c r="H144" s="206">
        <v>8038993.2599999998</v>
      </c>
      <c r="I144" s="206">
        <v>22260744.66</v>
      </c>
    </row>
    <row r="145" spans="1:9" ht="12.75" x14ac:dyDescent="0.2">
      <c r="A145" s="166" t="s">
        <v>22</v>
      </c>
      <c r="B145" s="182">
        <v>2562783.08</v>
      </c>
      <c r="C145" s="182">
        <v>1171897.43</v>
      </c>
      <c r="D145" s="182">
        <v>1160039.3</v>
      </c>
      <c r="E145" s="182">
        <v>779821.55</v>
      </c>
      <c r="F145" s="182">
        <v>677962.68</v>
      </c>
      <c r="G145" s="206">
        <v>667843.86</v>
      </c>
      <c r="H145" s="206">
        <v>1042245.63</v>
      </c>
      <c r="I145" s="206">
        <v>689498.12</v>
      </c>
    </row>
    <row r="146" spans="1:9" ht="12.75" x14ac:dyDescent="0.2">
      <c r="A146" s="166" t="s">
        <v>23</v>
      </c>
      <c r="B146" s="182">
        <v>74990</v>
      </c>
      <c r="C146" s="182">
        <v>47483.75</v>
      </c>
      <c r="D146" s="182">
        <v>38635</v>
      </c>
      <c r="E146" s="182">
        <v>32131.25</v>
      </c>
      <c r="F146" s="182">
        <v>47055</v>
      </c>
      <c r="G146" s="206">
        <v>37330</v>
      </c>
      <c r="H146" s="206">
        <v>31315</v>
      </c>
      <c r="I146" s="206">
        <v>38597.5</v>
      </c>
    </row>
    <row r="147" spans="1:9" ht="12.75" x14ac:dyDescent="0.2">
      <c r="A147" s="164" t="s">
        <v>40</v>
      </c>
      <c r="B147" s="186">
        <f>B144+B145+B146</f>
        <v>3061276.75</v>
      </c>
      <c r="C147" s="186">
        <f>C144+C145+C146</f>
        <v>26651897.57</v>
      </c>
      <c r="D147" s="186">
        <f t="shared" ref="D147:I147" si="25">D144+D145+D146</f>
        <v>9675260.3100000005</v>
      </c>
      <c r="E147" s="186">
        <f t="shared" si="25"/>
        <v>10354905.940000001</v>
      </c>
      <c r="F147" s="186">
        <f t="shared" si="25"/>
        <v>1135742.17</v>
      </c>
      <c r="G147" s="264">
        <f t="shared" si="25"/>
        <v>9241178.5700000003</v>
      </c>
      <c r="H147" s="264">
        <f t="shared" si="25"/>
        <v>9112553.8900000006</v>
      </c>
      <c r="I147" s="264">
        <f t="shared" si="25"/>
        <v>22988840.280000001</v>
      </c>
    </row>
    <row r="148" spans="1:9" ht="12.75" x14ac:dyDescent="0.2">
      <c r="A148" s="170"/>
      <c r="B148" s="171"/>
      <c r="C148" s="171"/>
      <c r="D148" s="171"/>
      <c r="E148" s="171"/>
      <c r="F148" s="265"/>
      <c r="G148" s="207"/>
    </row>
    <row r="149" spans="1:9" ht="12.75" x14ac:dyDescent="0.2">
      <c r="A149" s="170"/>
      <c r="B149" s="171"/>
      <c r="C149" s="171"/>
      <c r="D149" s="171"/>
      <c r="E149" s="171"/>
      <c r="F149" s="265"/>
      <c r="G149" s="207"/>
    </row>
    <row r="150" spans="1:9" ht="12.75" x14ac:dyDescent="0.2">
      <c r="A150" s="164" t="s">
        <v>24</v>
      </c>
      <c r="B150" s="165">
        <v>46022</v>
      </c>
      <c r="C150" s="165">
        <v>45930</v>
      </c>
      <c r="D150" s="165">
        <v>45838</v>
      </c>
      <c r="E150" s="165">
        <v>45747</v>
      </c>
      <c r="F150" s="165">
        <v>45657</v>
      </c>
      <c r="G150" s="263">
        <v>45382</v>
      </c>
      <c r="H150" s="263">
        <v>45473</v>
      </c>
      <c r="I150" s="263">
        <v>45565</v>
      </c>
    </row>
    <row r="151" spans="1:9" ht="12.75" hidden="1" x14ac:dyDescent="0.2">
      <c r="A151" s="166" t="s">
        <v>79</v>
      </c>
      <c r="B151" s="167">
        <v>0</v>
      </c>
      <c r="C151" s="167">
        <v>3137729.01</v>
      </c>
      <c r="D151" s="167">
        <v>2078396.17</v>
      </c>
      <c r="E151" s="167">
        <v>993535.7</v>
      </c>
      <c r="F151" s="182">
        <v>0</v>
      </c>
      <c r="G151" s="207">
        <v>999828.05</v>
      </c>
      <c r="H151" s="207">
        <v>2013247.85</v>
      </c>
      <c r="I151" s="207">
        <v>2996548.68</v>
      </c>
    </row>
    <row r="152" spans="1:9" ht="12.75" x14ac:dyDescent="0.2">
      <c r="A152" s="166" t="s">
        <v>68</v>
      </c>
      <c r="B152" s="167">
        <v>6920347.4900000002</v>
      </c>
      <c r="C152" s="167">
        <v>6280287.71</v>
      </c>
      <c r="D152" s="167">
        <v>6602903.7000000002</v>
      </c>
      <c r="E152" s="167">
        <v>5877558.8300000001</v>
      </c>
      <c r="F152" s="182">
        <v>6273793.4100000001</v>
      </c>
      <c r="G152" s="207">
        <v>5310716.5999999996</v>
      </c>
      <c r="H152" s="207">
        <v>6008252.0800000001</v>
      </c>
      <c r="I152" s="207">
        <v>5874848.3200000003</v>
      </c>
    </row>
    <row r="153" spans="1:9" ht="12.75" x14ac:dyDescent="0.2">
      <c r="A153" s="164" t="s">
        <v>40</v>
      </c>
      <c r="B153" s="186">
        <f>B151+B152</f>
        <v>6920347.4900000002</v>
      </c>
      <c r="C153" s="186">
        <f>C151+C152</f>
        <v>9418016.7199999988</v>
      </c>
      <c r="D153" s="186">
        <f t="shared" ref="D153:I153" si="26">D151+D152</f>
        <v>8681299.870000001</v>
      </c>
      <c r="E153" s="186">
        <f t="shared" si="26"/>
        <v>6871094.5300000003</v>
      </c>
      <c r="F153" s="186">
        <f t="shared" si="26"/>
        <v>6273793.4100000001</v>
      </c>
      <c r="G153" s="264">
        <f t="shared" si="26"/>
        <v>6310544.6499999994</v>
      </c>
      <c r="H153" s="264">
        <f t="shared" si="26"/>
        <v>8021499.9299999997</v>
      </c>
      <c r="I153" s="264">
        <f t="shared" si="26"/>
        <v>8871397</v>
      </c>
    </row>
    <row r="154" spans="1:9" ht="12.75" x14ac:dyDescent="0.2">
      <c r="A154" s="170"/>
      <c r="B154" s="171"/>
      <c r="C154" s="171"/>
      <c r="D154" s="171"/>
      <c r="E154" s="171"/>
      <c r="F154" s="265"/>
      <c r="G154" s="207"/>
    </row>
    <row r="155" spans="1:9" ht="12.75" x14ac:dyDescent="0.2">
      <c r="A155" s="164" t="s">
        <v>72</v>
      </c>
      <c r="B155" s="165">
        <v>46022</v>
      </c>
      <c r="C155" s="165">
        <v>45930</v>
      </c>
      <c r="D155" s="165">
        <v>45838</v>
      </c>
      <c r="E155" s="165">
        <v>45747</v>
      </c>
      <c r="F155" s="165">
        <v>45657</v>
      </c>
      <c r="G155" s="263">
        <v>45382</v>
      </c>
      <c r="H155" s="263">
        <v>45473</v>
      </c>
      <c r="I155" s="263">
        <v>45565</v>
      </c>
    </row>
    <row r="156" spans="1:9" ht="12.75" x14ac:dyDescent="0.2">
      <c r="A156" s="166" t="s">
        <v>87</v>
      </c>
      <c r="B156" s="182">
        <v>211470374.53999999</v>
      </c>
      <c r="C156" s="182">
        <v>21058782.579999998</v>
      </c>
      <c r="D156" s="182">
        <v>38069682.25</v>
      </c>
      <c r="E156" s="182">
        <v>70752230.519999996</v>
      </c>
      <c r="F156" s="182">
        <v>153391841.62</v>
      </c>
      <c r="G156" s="207">
        <v>263781279.91999999</v>
      </c>
      <c r="H156" s="207">
        <v>224623640.59999999</v>
      </c>
      <c r="I156" s="207">
        <v>133725873.22</v>
      </c>
    </row>
    <row r="157" spans="1:9" ht="12.75" x14ac:dyDescent="0.2">
      <c r="A157" s="166" t="s">
        <v>88</v>
      </c>
      <c r="B157" s="182">
        <v>7511006.1699999999</v>
      </c>
      <c r="C157" s="182">
        <v>4512576.97</v>
      </c>
      <c r="D157" s="182">
        <v>5708393.7599999998</v>
      </c>
      <c r="E157" s="182">
        <v>6232196.8799999999</v>
      </c>
      <c r="F157" s="182">
        <v>6522055.0499999998</v>
      </c>
      <c r="G157" s="207">
        <v>0</v>
      </c>
      <c r="H157" s="207">
        <v>0</v>
      </c>
      <c r="I157" s="207">
        <v>4851102.3</v>
      </c>
    </row>
    <row r="158" spans="1:9" ht="12.75" x14ac:dyDescent="0.2">
      <c r="A158" s="166" t="s">
        <v>89</v>
      </c>
      <c r="B158" s="182">
        <v>32724265.609999999</v>
      </c>
      <c r="C158" s="182">
        <v>42894591.07</v>
      </c>
      <c r="D158" s="182">
        <v>51492217.43</v>
      </c>
      <c r="E158" s="182">
        <v>0</v>
      </c>
      <c r="F158" s="182">
        <v>0</v>
      </c>
      <c r="G158" s="207">
        <v>0</v>
      </c>
      <c r="H158" s="207">
        <v>0</v>
      </c>
      <c r="I158" s="207">
        <v>0</v>
      </c>
    </row>
    <row r="159" spans="1:9" ht="12.75" x14ac:dyDescent="0.2">
      <c r="A159" s="164" t="s">
        <v>40</v>
      </c>
      <c r="B159" s="186">
        <f>B156+B157+B158</f>
        <v>251705646.31999999</v>
      </c>
      <c r="C159" s="186">
        <f t="shared" ref="C159:H159" si="27">C156+C157+C158</f>
        <v>68465950.620000005</v>
      </c>
      <c r="D159" s="186">
        <f t="shared" si="27"/>
        <v>95270293.439999998</v>
      </c>
      <c r="E159" s="186">
        <f t="shared" si="27"/>
        <v>76984427.399999991</v>
      </c>
      <c r="F159" s="186">
        <f t="shared" si="27"/>
        <v>159913896.67000002</v>
      </c>
      <c r="G159" s="264">
        <f t="shared" si="27"/>
        <v>263781279.91999999</v>
      </c>
      <c r="H159" s="264">
        <f t="shared" si="27"/>
        <v>224623640.59999999</v>
      </c>
      <c r="I159" s="264">
        <f>I156+I157</f>
        <v>138576975.52000001</v>
      </c>
    </row>
    <row r="160" spans="1:9" ht="12.75" x14ac:dyDescent="0.2">
      <c r="A160" s="170"/>
      <c r="B160" s="171"/>
      <c r="C160" s="171"/>
      <c r="D160" s="171"/>
      <c r="E160" s="171"/>
      <c r="F160" s="265"/>
      <c r="G160" s="207"/>
    </row>
    <row r="161" spans="1:9" ht="12.75" x14ac:dyDescent="0.2">
      <c r="A161" s="164" t="s">
        <v>25</v>
      </c>
      <c r="B161" s="165">
        <v>46022</v>
      </c>
      <c r="C161" s="165">
        <v>45930</v>
      </c>
      <c r="D161" s="165">
        <v>45838</v>
      </c>
      <c r="E161" s="165">
        <v>45747</v>
      </c>
      <c r="F161" s="165">
        <v>45657</v>
      </c>
      <c r="G161" s="263">
        <v>45382</v>
      </c>
      <c r="H161" s="263">
        <v>45473</v>
      </c>
      <c r="I161" s="263">
        <v>45565</v>
      </c>
    </row>
    <row r="162" spans="1:9" ht="12.75" x14ac:dyDescent="0.2">
      <c r="A162" s="166" t="s">
        <v>80</v>
      </c>
      <c r="B162" s="182">
        <v>0</v>
      </c>
      <c r="C162" s="182">
        <v>0</v>
      </c>
      <c r="D162" s="182">
        <v>0</v>
      </c>
      <c r="E162" s="182">
        <v>0</v>
      </c>
      <c r="F162" s="182">
        <v>0</v>
      </c>
      <c r="G162" s="207">
        <v>1553.21</v>
      </c>
      <c r="H162" s="207">
        <v>0</v>
      </c>
      <c r="I162" s="207">
        <v>0</v>
      </c>
    </row>
    <row r="163" spans="1:9" ht="12.75" x14ac:dyDescent="0.2">
      <c r="A163" s="164"/>
      <c r="B163" s="186">
        <f>B162</f>
        <v>0</v>
      </c>
      <c r="C163" s="186">
        <f>C162</f>
        <v>0</v>
      </c>
      <c r="D163" s="186">
        <f t="shared" ref="D163:I163" si="28">D162</f>
        <v>0</v>
      </c>
      <c r="E163" s="186">
        <f t="shared" si="28"/>
        <v>0</v>
      </c>
      <c r="F163" s="186">
        <f t="shared" si="28"/>
        <v>0</v>
      </c>
      <c r="G163" s="264">
        <f t="shared" si="28"/>
        <v>1553.21</v>
      </c>
      <c r="H163" s="264">
        <f t="shared" si="28"/>
        <v>0</v>
      </c>
      <c r="I163" s="264">
        <f t="shared" si="28"/>
        <v>0</v>
      </c>
    </row>
    <row r="164" spans="1:9" ht="12.75" x14ac:dyDescent="0.2">
      <c r="A164" s="170"/>
      <c r="B164" s="171"/>
      <c r="C164" s="171"/>
      <c r="D164" s="171"/>
      <c r="E164" s="171"/>
      <c r="F164" s="265"/>
      <c r="G164" s="207"/>
    </row>
    <row r="165" spans="1:9" ht="12.75" x14ac:dyDescent="0.2">
      <c r="A165" s="164" t="s">
        <v>26</v>
      </c>
      <c r="B165" s="165">
        <v>46022</v>
      </c>
      <c r="C165" s="165">
        <v>45930</v>
      </c>
      <c r="D165" s="165">
        <v>45838</v>
      </c>
      <c r="E165" s="165">
        <v>45747</v>
      </c>
      <c r="F165" s="165">
        <v>45657</v>
      </c>
      <c r="G165" s="263">
        <v>45382</v>
      </c>
      <c r="H165" s="263">
        <v>45473</v>
      </c>
      <c r="I165" s="263">
        <v>45565</v>
      </c>
    </row>
    <row r="166" spans="1:9" ht="12.75" x14ac:dyDescent="0.2">
      <c r="A166" s="166" t="s">
        <v>27</v>
      </c>
      <c r="B166" s="167">
        <v>4318869.3</v>
      </c>
      <c r="C166" s="167">
        <v>11828889.77</v>
      </c>
      <c r="D166" s="167">
        <v>4083461.82</v>
      </c>
      <c r="E166" s="167">
        <v>4021572.17</v>
      </c>
      <c r="F166" s="182">
        <v>3958447.59</v>
      </c>
      <c r="G166" s="206">
        <v>4648913.01</v>
      </c>
      <c r="H166" s="206">
        <v>4605636.17</v>
      </c>
      <c r="I166" s="206">
        <v>3915283.09</v>
      </c>
    </row>
    <row r="167" spans="1:9" ht="18" customHeight="1" x14ac:dyDescent="0.2">
      <c r="A167" s="266" t="s">
        <v>69</v>
      </c>
      <c r="B167" s="267">
        <v>368598.86</v>
      </c>
      <c r="C167" s="267">
        <v>494470.84</v>
      </c>
      <c r="D167" s="267">
        <v>354039.05</v>
      </c>
      <c r="E167" s="267">
        <v>347141.57</v>
      </c>
      <c r="F167" s="182">
        <v>468663.11</v>
      </c>
      <c r="G167" s="206">
        <v>263471.96000000002</v>
      </c>
      <c r="H167" s="206">
        <v>328925.69</v>
      </c>
      <c r="I167" s="206">
        <v>528131.26</v>
      </c>
    </row>
    <row r="168" spans="1:9" ht="12.75" x14ac:dyDescent="0.2">
      <c r="A168" s="164" t="s">
        <v>40</v>
      </c>
      <c r="B168" s="186">
        <f>B166+B167</f>
        <v>4687468.16</v>
      </c>
      <c r="C168" s="186">
        <f>C166+C167</f>
        <v>12323360.609999999</v>
      </c>
      <c r="D168" s="186">
        <f t="shared" ref="D168:I168" si="29">D166+D167</f>
        <v>4437500.87</v>
      </c>
      <c r="E168" s="186">
        <f t="shared" si="29"/>
        <v>4368713.74</v>
      </c>
      <c r="F168" s="186">
        <f t="shared" si="29"/>
        <v>4427110.7</v>
      </c>
      <c r="G168" s="264">
        <f t="shared" si="29"/>
        <v>4912384.97</v>
      </c>
      <c r="H168" s="264">
        <f t="shared" si="29"/>
        <v>4934561.8600000003</v>
      </c>
      <c r="I168" s="264">
        <f t="shared" si="29"/>
        <v>4443414.3499999996</v>
      </c>
    </row>
    <row r="169" spans="1:9" ht="12.75" x14ac:dyDescent="0.2">
      <c r="A169" s="170"/>
      <c r="B169" s="171"/>
      <c r="C169" s="171"/>
      <c r="D169" s="171"/>
      <c r="E169" s="171"/>
      <c r="F169" s="265"/>
      <c r="G169" s="207"/>
    </row>
    <row r="170" spans="1:9" ht="12.75" x14ac:dyDescent="0.2">
      <c r="A170" s="236" t="s">
        <v>111</v>
      </c>
      <c r="B170" s="237">
        <f>B140+B147+B153+B159+B163+B168</f>
        <v>270618835.50999999</v>
      </c>
      <c r="C170" s="237">
        <f>C140+C147+C153+C159+C163+C168</f>
        <v>121238140.94000001</v>
      </c>
      <c r="D170" s="237">
        <f t="shared" ref="D170:I170" si="30">D140+D147+D153+D159+D163+D168</f>
        <v>121518021.22</v>
      </c>
      <c r="E170" s="237">
        <f t="shared" si="30"/>
        <v>101557726.53999999</v>
      </c>
      <c r="F170" s="237">
        <f t="shared" si="30"/>
        <v>172549653.90000001</v>
      </c>
      <c r="G170" s="238">
        <f t="shared" si="30"/>
        <v>286728969.69999999</v>
      </c>
      <c r="H170" s="238">
        <f t="shared" si="30"/>
        <v>249520538.54000002</v>
      </c>
      <c r="I170" s="238">
        <f t="shared" si="30"/>
        <v>178816314.37</v>
      </c>
    </row>
    <row r="171" spans="1:9" ht="12.75" x14ac:dyDescent="0.2">
      <c r="A171" s="170"/>
      <c r="B171" s="171"/>
      <c r="C171" s="171"/>
      <c r="D171" s="171"/>
      <c r="E171" s="171"/>
      <c r="F171" s="265"/>
      <c r="G171" s="207"/>
    </row>
    <row r="172" spans="1:9" ht="12.75" x14ac:dyDescent="0.2">
      <c r="A172" s="195"/>
      <c r="B172" s="239"/>
      <c r="C172" s="239"/>
      <c r="D172" s="239"/>
      <c r="E172" s="239"/>
      <c r="F172" s="196"/>
      <c r="G172" s="219"/>
    </row>
    <row r="173" spans="1:9" ht="12.75" x14ac:dyDescent="0.2">
      <c r="A173" s="164" t="s">
        <v>28</v>
      </c>
      <c r="B173" s="165">
        <v>46022</v>
      </c>
      <c r="C173" s="165">
        <v>45930</v>
      </c>
      <c r="D173" s="165">
        <v>45838</v>
      </c>
      <c r="E173" s="165">
        <v>45747</v>
      </c>
      <c r="F173" s="165">
        <v>45657</v>
      </c>
      <c r="G173" s="263">
        <v>45382</v>
      </c>
      <c r="H173" s="263">
        <v>45473</v>
      </c>
      <c r="I173" s="263">
        <v>45565</v>
      </c>
    </row>
    <row r="174" spans="1:9" ht="12.75" x14ac:dyDescent="0.2">
      <c r="A174" s="166" t="s">
        <v>29</v>
      </c>
      <c r="B174" s="182">
        <v>807000</v>
      </c>
      <c r="C174" s="182">
        <v>2084201.26</v>
      </c>
      <c r="D174" s="182">
        <v>2088000</v>
      </c>
      <c r="E174" s="182">
        <v>2088000</v>
      </c>
      <c r="F174" s="182">
        <v>2088000</v>
      </c>
      <c r="G174" s="206">
        <v>2242000</v>
      </c>
      <c r="H174" s="206">
        <v>2163284.4700000002</v>
      </c>
      <c r="I174" s="206">
        <v>2155067.9500000002</v>
      </c>
    </row>
    <row r="175" spans="1:9" ht="12.75" x14ac:dyDescent="0.2">
      <c r="A175" s="166" t="s">
        <v>269</v>
      </c>
      <c r="B175" s="182">
        <v>240000</v>
      </c>
      <c r="C175" s="182">
        <v>0</v>
      </c>
      <c r="D175" s="182">
        <v>0</v>
      </c>
      <c r="E175" s="182">
        <v>0</v>
      </c>
      <c r="F175" s="182">
        <v>0</v>
      </c>
      <c r="G175" s="206">
        <v>2627957.91</v>
      </c>
      <c r="H175" s="206">
        <v>2627957.91</v>
      </c>
      <c r="I175" s="206">
        <v>2627957.91</v>
      </c>
    </row>
    <row r="176" spans="1:9" ht="12.75" x14ac:dyDescent="0.2">
      <c r="A176" s="164" t="s">
        <v>40</v>
      </c>
      <c r="B176" s="186">
        <f>B175+B174</f>
        <v>1047000</v>
      </c>
      <c r="C176" s="186">
        <f>C175+C174</f>
        <v>2084201.26</v>
      </c>
      <c r="D176" s="186">
        <f t="shared" ref="D176:I176" si="31">D175+D174</f>
        <v>2088000</v>
      </c>
      <c r="E176" s="186">
        <f t="shared" si="31"/>
        <v>2088000</v>
      </c>
      <c r="F176" s="186">
        <f t="shared" si="31"/>
        <v>2088000</v>
      </c>
      <c r="G176" s="264">
        <f t="shared" si="31"/>
        <v>4869957.91</v>
      </c>
      <c r="H176" s="264">
        <f t="shared" si="31"/>
        <v>4791242.3800000008</v>
      </c>
      <c r="I176" s="264">
        <f t="shared" si="31"/>
        <v>4783025.8600000003</v>
      </c>
    </row>
    <row r="177" spans="1:9" ht="12.75" x14ac:dyDescent="0.2">
      <c r="A177" s="170"/>
      <c r="B177" s="171"/>
      <c r="C177" s="171"/>
      <c r="D177" s="171"/>
      <c r="E177" s="171"/>
      <c r="F177" s="265"/>
      <c r="G177" s="207"/>
    </row>
    <row r="178" spans="1:9" ht="12.75" x14ac:dyDescent="0.2">
      <c r="A178" s="236" t="s">
        <v>120</v>
      </c>
      <c r="B178" s="237">
        <f>B176</f>
        <v>1047000</v>
      </c>
      <c r="C178" s="237">
        <f>C176</f>
        <v>2084201.26</v>
      </c>
      <c r="D178" s="237">
        <f t="shared" ref="D178:I178" si="32">D176</f>
        <v>2088000</v>
      </c>
      <c r="E178" s="237">
        <f t="shared" si="32"/>
        <v>2088000</v>
      </c>
      <c r="F178" s="237">
        <f t="shared" si="32"/>
        <v>2088000</v>
      </c>
      <c r="G178" s="238">
        <f t="shared" si="32"/>
        <v>4869957.91</v>
      </c>
      <c r="H178" s="238">
        <f t="shared" si="32"/>
        <v>4791242.3800000008</v>
      </c>
      <c r="I178" s="238">
        <f t="shared" si="32"/>
        <v>4783025.8600000003</v>
      </c>
    </row>
    <row r="179" spans="1:9" ht="12.75" x14ac:dyDescent="0.2">
      <c r="A179" s="195"/>
      <c r="B179" s="239"/>
      <c r="C179" s="239"/>
      <c r="D179" s="239"/>
      <c r="E179" s="239"/>
      <c r="F179" s="196"/>
      <c r="G179" s="219"/>
    </row>
    <row r="180" spans="1:9" ht="12.75" x14ac:dyDescent="0.2">
      <c r="A180" s="268" t="s">
        <v>30</v>
      </c>
      <c r="B180" s="165">
        <v>46022</v>
      </c>
      <c r="C180" s="165">
        <v>45930</v>
      </c>
      <c r="D180" s="165">
        <v>45838</v>
      </c>
      <c r="E180" s="165">
        <v>45747</v>
      </c>
      <c r="F180" s="165">
        <v>45657</v>
      </c>
      <c r="G180" s="263">
        <v>45382</v>
      </c>
      <c r="H180" s="263">
        <v>45473</v>
      </c>
      <c r="I180" s="263">
        <v>45565</v>
      </c>
    </row>
    <row r="181" spans="1:9" ht="12.75" x14ac:dyDescent="0.2">
      <c r="A181" s="240" t="s">
        <v>31</v>
      </c>
      <c r="B181" s="269">
        <v>187256418.03</v>
      </c>
      <c r="C181" s="269">
        <v>187256418.03</v>
      </c>
      <c r="D181" s="269">
        <v>187256418.03</v>
      </c>
      <c r="E181" s="269">
        <v>187256418.03</v>
      </c>
      <c r="F181" s="269">
        <v>187256418.03</v>
      </c>
      <c r="G181" s="270">
        <v>187256418.03</v>
      </c>
      <c r="H181" s="270">
        <v>187256418.03</v>
      </c>
      <c r="I181" s="270">
        <v>187256418.03</v>
      </c>
    </row>
    <row r="182" spans="1:9" ht="12.75" x14ac:dyDescent="0.2">
      <c r="A182" s="240" t="s">
        <v>32</v>
      </c>
      <c r="B182" s="269">
        <v>187256418.03</v>
      </c>
      <c r="C182" s="269">
        <v>187256418.03</v>
      </c>
      <c r="D182" s="269">
        <v>187256418.03</v>
      </c>
      <c r="E182" s="269">
        <v>187256418.03</v>
      </c>
      <c r="F182" s="269">
        <v>187256418.03</v>
      </c>
      <c r="G182" s="270">
        <v>187256418.03</v>
      </c>
      <c r="H182" s="270">
        <v>187256418.03</v>
      </c>
      <c r="I182" s="270">
        <v>187256418.03</v>
      </c>
    </row>
    <row r="183" spans="1:9" ht="12.75" x14ac:dyDescent="0.2">
      <c r="A183" s="240" t="s">
        <v>33</v>
      </c>
      <c r="B183" s="269">
        <v>187256418.03</v>
      </c>
      <c r="C183" s="269">
        <v>187256418.03</v>
      </c>
      <c r="D183" s="269">
        <v>187256418.03</v>
      </c>
      <c r="E183" s="269">
        <v>187256418.03</v>
      </c>
      <c r="F183" s="269">
        <v>187256418.03</v>
      </c>
      <c r="G183" s="270">
        <v>187256418.03</v>
      </c>
      <c r="H183" s="270">
        <v>187256418.03</v>
      </c>
      <c r="I183" s="270">
        <v>187256418.03</v>
      </c>
    </row>
    <row r="184" spans="1:9" ht="15" customHeight="1" x14ac:dyDescent="0.2">
      <c r="A184" s="244" t="s">
        <v>34</v>
      </c>
      <c r="B184" s="271">
        <v>196133567.16</v>
      </c>
      <c r="C184" s="271">
        <v>196133567.16</v>
      </c>
      <c r="D184" s="271">
        <v>196133567.16</v>
      </c>
      <c r="E184" s="271">
        <v>196133567.16</v>
      </c>
      <c r="F184" s="271">
        <v>196133567.16</v>
      </c>
      <c r="G184" s="272">
        <v>196133567.16</v>
      </c>
      <c r="H184" s="272">
        <v>196133567.16</v>
      </c>
      <c r="I184" s="272">
        <v>196133567.16</v>
      </c>
    </row>
    <row r="185" spans="1:9" ht="15" customHeight="1" x14ac:dyDescent="0.2">
      <c r="A185" s="244" t="s">
        <v>35</v>
      </c>
      <c r="B185" s="271">
        <v>-8877149.1300000008</v>
      </c>
      <c r="C185" s="271">
        <v>-8877149.1300000008</v>
      </c>
      <c r="D185" s="271">
        <v>-8877149.1300000008</v>
      </c>
      <c r="E185" s="271">
        <v>-8877149.1300000008</v>
      </c>
      <c r="F185" s="271">
        <v>-8877149.1300000008</v>
      </c>
      <c r="G185" s="273">
        <v>-8877149.1300000008</v>
      </c>
      <c r="H185" s="273">
        <v>-8877149.1300000008</v>
      </c>
      <c r="I185" s="273">
        <v>-8877149.1300000008</v>
      </c>
    </row>
    <row r="186" spans="1:9" ht="12.75" x14ac:dyDescent="0.2">
      <c r="A186" s="274"/>
      <c r="B186" s="271"/>
      <c r="C186" s="271"/>
      <c r="D186" s="271"/>
      <c r="E186" s="271"/>
      <c r="F186" s="271"/>
      <c r="G186" s="275"/>
      <c r="H186" s="275"/>
      <c r="I186" s="275"/>
    </row>
    <row r="187" spans="1:9" ht="12.75" x14ac:dyDescent="0.2">
      <c r="A187" s="240" t="s">
        <v>36</v>
      </c>
      <c r="B187" s="271">
        <f t="shared" ref="B187:F188" si="33">B188</f>
        <v>974381850.53999996</v>
      </c>
      <c r="C187" s="271">
        <f t="shared" si="33"/>
        <v>773787983.70000005</v>
      </c>
      <c r="D187" s="271">
        <f t="shared" si="33"/>
        <v>773787983.70000005</v>
      </c>
      <c r="E187" s="271">
        <f t="shared" si="33"/>
        <v>773787983.70000005</v>
      </c>
      <c r="F187" s="271">
        <f t="shared" si="33"/>
        <v>773787983.70000005</v>
      </c>
      <c r="G187" s="270">
        <v>626516510.21000004</v>
      </c>
      <c r="H187" s="270">
        <v>626516510.21000004</v>
      </c>
      <c r="I187" s="270">
        <v>626516510.21000004</v>
      </c>
    </row>
    <row r="188" spans="1:9" ht="12.75" x14ac:dyDescent="0.2">
      <c r="A188" s="240" t="s">
        <v>37</v>
      </c>
      <c r="B188" s="271">
        <f t="shared" si="33"/>
        <v>974381850.53999996</v>
      </c>
      <c r="C188" s="271">
        <f t="shared" si="33"/>
        <v>773787983.70000005</v>
      </c>
      <c r="D188" s="271">
        <f t="shared" si="33"/>
        <v>773787983.70000005</v>
      </c>
      <c r="E188" s="271">
        <f t="shared" si="33"/>
        <v>773787983.70000005</v>
      </c>
      <c r="F188" s="271">
        <f t="shared" si="33"/>
        <v>773787983.70000005</v>
      </c>
      <c r="G188" s="270">
        <v>626516510.21000004</v>
      </c>
      <c r="H188" s="270">
        <v>626516510.21000004</v>
      </c>
      <c r="I188" s="270">
        <v>626516510.21000004</v>
      </c>
    </row>
    <row r="189" spans="1:9" ht="12.75" x14ac:dyDescent="0.2">
      <c r="A189" s="244" t="s">
        <v>73</v>
      </c>
      <c r="B189" s="271">
        <v>974381850.53999996</v>
      </c>
      <c r="C189" s="271">
        <v>773787983.70000005</v>
      </c>
      <c r="D189" s="271">
        <v>773787983.70000005</v>
      </c>
      <c r="E189" s="271">
        <v>773787983.70000005</v>
      </c>
      <c r="F189" s="271">
        <v>773787983.70000005</v>
      </c>
      <c r="G189" s="272">
        <v>626516510.21000004</v>
      </c>
      <c r="H189" s="272">
        <v>626516510.21000004</v>
      </c>
      <c r="I189" s="272">
        <v>626516510.21000004</v>
      </c>
    </row>
    <row r="190" spans="1:9" ht="12.75" x14ac:dyDescent="0.2">
      <c r="A190" s="166"/>
      <c r="B190" s="271"/>
      <c r="C190" s="271"/>
      <c r="D190" s="271"/>
      <c r="E190" s="271"/>
      <c r="F190" s="271"/>
      <c r="G190" s="275"/>
      <c r="H190" s="275"/>
      <c r="I190" s="275"/>
    </row>
    <row r="191" spans="1:9" ht="12.75" x14ac:dyDescent="0.2">
      <c r="A191" s="240" t="s">
        <v>38</v>
      </c>
      <c r="B191" s="271">
        <f t="shared" ref="B191:I191" si="34">B192</f>
        <v>-439425944.51999998</v>
      </c>
      <c r="C191" s="271">
        <f t="shared" si="34"/>
        <v>-312971877.69</v>
      </c>
      <c r="D191" s="271">
        <f t="shared" si="34"/>
        <v>-355242778.50999999</v>
      </c>
      <c r="E191" s="271">
        <f t="shared" si="34"/>
        <v>-408685972.45999998</v>
      </c>
      <c r="F191" s="271">
        <f t="shared" si="34"/>
        <v>-438838500.92000002</v>
      </c>
      <c r="G191" s="276">
        <f t="shared" si="34"/>
        <v>-438517664.07999998</v>
      </c>
      <c r="H191" s="276">
        <f t="shared" si="34"/>
        <v>-369513950.48000002</v>
      </c>
      <c r="I191" s="276">
        <f t="shared" si="34"/>
        <v>-289789081.04000002</v>
      </c>
    </row>
    <row r="192" spans="1:9" ht="12.75" x14ac:dyDescent="0.2">
      <c r="A192" s="244" t="s">
        <v>70</v>
      </c>
      <c r="B192" s="271">
        <v>-439425944.51999998</v>
      </c>
      <c r="C192" s="271">
        <v>-312971877.69</v>
      </c>
      <c r="D192" s="271">
        <v>-355242778.50999999</v>
      </c>
      <c r="E192" s="271">
        <v>-408685972.45999998</v>
      </c>
      <c r="F192" s="271">
        <v>-438838500.92000002</v>
      </c>
      <c r="G192" s="273">
        <v>-438517664.07999998</v>
      </c>
      <c r="H192" s="273">
        <v>-369513950.48000002</v>
      </c>
      <c r="I192" s="273">
        <v>-289789081.04000002</v>
      </c>
    </row>
    <row r="193" spans="1:9" ht="12.75" x14ac:dyDescent="0.2">
      <c r="A193" s="244"/>
      <c r="B193" s="271"/>
      <c r="C193" s="271"/>
      <c r="D193" s="271"/>
      <c r="E193" s="271"/>
      <c r="F193" s="271"/>
      <c r="G193" s="273"/>
      <c r="H193" s="273"/>
      <c r="I193" s="273"/>
    </row>
    <row r="194" spans="1:9" ht="12.75" x14ac:dyDescent="0.2">
      <c r="A194" s="240" t="s">
        <v>71</v>
      </c>
      <c r="B194" s="271">
        <f t="shared" ref="B194:I194" si="35">B195</f>
        <v>-1636</v>
      </c>
      <c r="C194" s="271">
        <f t="shared" si="35"/>
        <v>-1636</v>
      </c>
      <c r="D194" s="271">
        <f t="shared" si="35"/>
        <v>-1636</v>
      </c>
      <c r="E194" s="271">
        <f t="shared" si="35"/>
        <v>-1636</v>
      </c>
      <c r="F194" s="271">
        <f t="shared" si="35"/>
        <v>-1636</v>
      </c>
      <c r="G194" s="276">
        <f t="shared" si="35"/>
        <v>0</v>
      </c>
      <c r="H194" s="276">
        <f t="shared" si="35"/>
        <v>-1636</v>
      </c>
      <c r="I194" s="276">
        <f t="shared" si="35"/>
        <v>-1636</v>
      </c>
    </row>
    <row r="195" spans="1:9" ht="12.75" x14ac:dyDescent="0.2">
      <c r="A195" s="244" t="s">
        <v>71</v>
      </c>
      <c r="B195" s="271">
        <v>-1636</v>
      </c>
      <c r="C195" s="271">
        <v>-1636</v>
      </c>
      <c r="D195" s="271">
        <v>-1636</v>
      </c>
      <c r="E195" s="271">
        <v>-1636</v>
      </c>
      <c r="F195" s="271">
        <v>-1636</v>
      </c>
      <c r="G195" s="273">
        <v>0</v>
      </c>
      <c r="H195" s="273">
        <v>-1636</v>
      </c>
      <c r="I195" s="273">
        <v>-1636</v>
      </c>
    </row>
    <row r="196" spans="1:9" ht="12.75" x14ac:dyDescent="0.2">
      <c r="A196" s="166"/>
      <c r="B196" s="182"/>
      <c r="C196" s="182"/>
      <c r="D196" s="182"/>
      <c r="E196" s="182"/>
      <c r="F196" s="182"/>
      <c r="G196" s="206"/>
      <c r="H196" s="206"/>
      <c r="I196" s="206"/>
    </row>
    <row r="197" spans="1:9" ht="12.75" x14ac:dyDescent="0.2">
      <c r="A197" s="211" t="s">
        <v>40</v>
      </c>
      <c r="B197" s="232">
        <f>B181+B187+B191+B194</f>
        <v>722210688.04999995</v>
      </c>
      <c r="C197" s="232">
        <f>C181+C187+C191+C194</f>
        <v>648070888.03999996</v>
      </c>
      <c r="D197" s="232">
        <f>D181+D187+D191+D194</f>
        <v>605799987.22000003</v>
      </c>
      <c r="E197" s="232">
        <f>E181+E187+E191+E194</f>
        <v>552356793.26999998</v>
      </c>
      <c r="F197" s="232">
        <f>F181+F187+F191+F194</f>
        <v>522204264.81</v>
      </c>
      <c r="G197" s="264">
        <f>G181+G187+G191</f>
        <v>375255264.16000003</v>
      </c>
      <c r="H197" s="264">
        <f>H181+H187+H191+H194</f>
        <v>444257341.75999999</v>
      </c>
      <c r="I197" s="264">
        <f>I181+I187+I191+I194</f>
        <v>523982211.19999999</v>
      </c>
    </row>
    <row r="198" spans="1:9" ht="12.75" x14ac:dyDescent="0.2">
      <c r="A198" s="195"/>
      <c r="B198" s="239"/>
      <c r="C198" s="239"/>
      <c r="D198" s="239"/>
      <c r="E198" s="239"/>
      <c r="F198" s="196"/>
      <c r="G198" s="189"/>
    </row>
    <row r="199" spans="1:9" ht="12.75" x14ac:dyDescent="0.2">
      <c r="A199" s="195"/>
      <c r="B199" s="239"/>
      <c r="C199" s="239"/>
      <c r="D199" s="239"/>
      <c r="E199" s="239"/>
      <c r="F199" s="239"/>
      <c r="G199" s="195"/>
    </row>
    <row r="200" spans="1:9" ht="12.75" x14ac:dyDescent="0.2">
      <c r="A200" s="195"/>
      <c r="B200" s="239"/>
      <c r="C200" s="239"/>
      <c r="D200" s="239"/>
      <c r="E200" s="239"/>
      <c r="F200" s="196"/>
      <c r="G200" s="189"/>
    </row>
    <row r="201" spans="1:9" ht="12.75" x14ac:dyDescent="0.2">
      <c r="A201" s="236" t="s">
        <v>82</v>
      </c>
      <c r="B201" s="237">
        <f>B197+B178+B170</f>
        <v>993876523.55999994</v>
      </c>
      <c r="C201" s="237">
        <f>C197+C178+C170</f>
        <v>771393230.24000001</v>
      </c>
      <c r="D201" s="237">
        <f t="shared" ref="D201:I201" si="36">D197+D178+D170</f>
        <v>729406008.44000006</v>
      </c>
      <c r="E201" s="237">
        <f t="shared" si="36"/>
        <v>656002519.80999994</v>
      </c>
      <c r="F201" s="237">
        <f t="shared" si="36"/>
        <v>696841918.71000004</v>
      </c>
      <c r="G201" s="238">
        <f t="shared" si="36"/>
        <v>666854191.76999998</v>
      </c>
      <c r="H201" s="238">
        <f t="shared" si="36"/>
        <v>698569122.68000007</v>
      </c>
      <c r="I201" s="238">
        <f t="shared" si="36"/>
        <v>707581551.43000007</v>
      </c>
    </row>
    <row r="202" spans="1:9" ht="12.75" x14ac:dyDescent="0.2">
      <c r="A202" s="172"/>
      <c r="B202" s="200"/>
      <c r="C202" s="200"/>
      <c r="D202" s="200"/>
      <c r="E202" s="200"/>
      <c r="F202" s="201"/>
      <c r="G202" s="207"/>
    </row>
    <row r="203" spans="1:9" ht="12.75" x14ac:dyDescent="0.2">
      <c r="A203" s="172"/>
      <c r="B203" s="200"/>
      <c r="C203" s="200"/>
      <c r="D203" s="200"/>
      <c r="E203" s="200"/>
      <c r="F203" s="200"/>
      <c r="G203" s="277">
        <f>G201-G108</f>
        <v>-8635830.1400001049</v>
      </c>
      <c r="H203" s="277">
        <f>H201-H108</f>
        <v>5457782.9600000381</v>
      </c>
      <c r="I203" s="277">
        <f>I201-I108</f>
        <v>0</v>
      </c>
    </row>
    <row r="204" spans="1:9" ht="12.75" x14ac:dyDescent="0.2"/>
    <row r="207" spans="1:9" ht="12.75" x14ac:dyDescent="0.2"/>
    <row r="208" spans="1:9" ht="12.75" x14ac:dyDescent="0.2"/>
    <row r="209" ht="12.75" x14ac:dyDescent="0.2"/>
    <row r="210" ht="12.75" x14ac:dyDescent="0.2"/>
    <row r="211" ht="12.75" x14ac:dyDescent="0.2"/>
    <row r="212" ht="12.75" x14ac:dyDescent="0.2"/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K52"/>
  <sheetViews>
    <sheetView showGridLines="0" tabSelected="1" zoomScaleNormal="100" workbookViewId="0">
      <selection activeCell="B3" sqref="B3:K3"/>
    </sheetView>
  </sheetViews>
  <sheetFormatPr defaultRowHeight="11.25" x14ac:dyDescent="0.2"/>
  <cols>
    <col min="2" max="2" width="65.6640625" customWidth="1"/>
    <col min="3" max="3" width="9.1640625" customWidth="1"/>
    <col min="4" max="4" width="22.1640625" customWidth="1"/>
    <col min="5" max="5" width="20.83203125" customWidth="1"/>
    <col min="8" max="8" width="49.83203125" customWidth="1"/>
    <col min="10" max="10" width="22.5" customWidth="1"/>
    <col min="11" max="11" width="21.6640625" customWidth="1"/>
  </cols>
  <sheetData>
    <row r="3" spans="2:11" ht="15.75" x14ac:dyDescent="0.25">
      <c r="B3" s="284" t="s">
        <v>103</v>
      </c>
      <c r="C3" s="284"/>
      <c r="D3" s="284"/>
      <c r="E3" s="284"/>
      <c r="F3" s="284"/>
      <c r="G3" s="284"/>
      <c r="H3" s="284"/>
      <c r="I3" s="284"/>
      <c r="J3" s="284"/>
      <c r="K3" s="284"/>
    </row>
    <row r="4" spans="2:11" ht="15.75" x14ac:dyDescent="0.25">
      <c r="B4" s="284" t="s">
        <v>104</v>
      </c>
      <c r="C4" s="284"/>
      <c r="D4" s="284"/>
      <c r="E4" s="284"/>
      <c r="F4" s="284"/>
      <c r="G4" s="284"/>
      <c r="H4" s="284"/>
      <c r="I4" s="284"/>
      <c r="J4" s="284"/>
      <c r="K4" s="284"/>
    </row>
    <row r="5" spans="2:11" ht="15.75" x14ac:dyDescent="0.25">
      <c r="B5" s="284" t="s">
        <v>264</v>
      </c>
      <c r="C5" s="284"/>
      <c r="D5" s="284"/>
      <c r="E5" s="284"/>
      <c r="F5" s="284"/>
      <c r="G5" s="284"/>
      <c r="H5" s="284"/>
      <c r="I5" s="284"/>
      <c r="J5" s="284"/>
      <c r="K5" s="284"/>
    </row>
    <row r="6" spans="2:11" ht="15.75" x14ac:dyDescent="0.25">
      <c r="B6" s="284" t="s">
        <v>107</v>
      </c>
      <c r="C6" s="284"/>
      <c r="D6" s="284"/>
      <c r="E6" s="284"/>
      <c r="F6" s="284"/>
      <c r="G6" s="284"/>
      <c r="H6" s="284"/>
      <c r="I6" s="284"/>
      <c r="J6" s="284"/>
      <c r="K6" s="284"/>
    </row>
    <row r="7" spans="2:11" ht="15.75" x14ac:dyDescent="0.25">
      <c r="B7" s="20"/>
      <c r="C7" s="21"/>
      <c r="D7" s="21"/>
      <c r="E7" s="20"/>
      <c r="F7" s="20"/>
      <c r="G7" s="20"/>
      <c r="H7" s="20"/>
      <c r="I7" s="20"/>
      <c r="J7" s="20"/>
      <c r="K7" s="20"/>
    </row>
    <row r="8" spans="2:11" ht="15.75" x14ac:dyDescent="0.25">
      <c r="B8" s="20"/>
      <c r="C8" s="21"/>
      <c r="D8" s="21"/>
      <c r="E8" s="20"/>
      <c r="F8" s="20"/>
      <c r="G8" s="20"/>
      <c r="H8" s="20"/>
      <c r="I8" s="20"/>
      <c r="J8" s="20"/>
      <c r="K8" s="20"/>
    </row>
    <row r="9" spans="2:11" ht="15.75" x14ac:dyDescent="0.2">
      <c r="B9" s="285" t="s">
        <v>108</v>
      </c>
      <c r="C9" s="285"/>
      <c r="D9" s="285"/>
      <c r="E9" s="285"/>
      <c r="F9" s="285"/>
      <c r="G9" s="285"/>
      <c r="H9" s="285"/>
      <c r="I9" s="285"/>
      <c r="J9" s="285"/>
      <c r="K9" s="285"/>
    </row>
    <row r="10" spans="2:11" ht="15.75" x14ac:dyDescent="0.2"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2:11" ht="15.75" x14ac:dyDescent="0.25">
      <c r="B11" s="282" t="s">
        <v>81</v>
      </c>
      <c r="C11" s="282"/>
      <c r="D11" s="282"/>
      <c r="E11" s="282"/>
      <c r="F11" s="23"/>
      <c r="G11" s="23"/>
      <c r="H11" s="282" t="s">
        <v>82</v>
      </c>
      <c r="I11" s="282"/>
      <c r="J11" s="282"/>
      <c r="K11" s="282"/>
    </row>
    <row r="12" spans="2:11" ht="15.75" x14ac:dyDescent="0.25">
      <c r="B12" s="21"/>
      <c r="C12" s="21"/>
      <c r="D12" s="21"/>
      <c r="E12" s="21"/>
      <c r="F12" s="24"/>
      <c r="G12" s="24"/>
      <c r="H12" s="23"/>
      <c r="I12" s="23"/>
      <c r="J12" s="23"/>
      <c r="K12" s="21"/>
    </row>
    <row r="13" spans="2:11" ht="15.75" x14ac:dyDescent="0.25">
      <c r="B13" s="2" t="s">
        <v>91</v>
      </c>
      <c r="C13" s="2" t="s">
        <v>109</v>
      </c>
      <c r="D13" s="37">
        <v>46022</v>
      </c>
      <c r="E13" s="37">
        <v>45657</v>
      </c>
      <c r="F13" s="3"/>
      <c r="G13" s="3"/>
      <c r="H13" s="2" t="s">
        <v>91</v>
      </c>
      <c r="I13" s="2" t="s">
        <v>109</v>
      </c>
      <c r="J13" s="37">
        <v>46022</v>
      </c>
      <c r="K13" s="37">
        <v>45657</v>
      </c>
    </row>
    <row r="14" spans="2:11" ht="15.75" x14ac:dyDescent="0.25">
      <c r="B14" s="23"/>
      <c r="C14" s="23"/>
      <c r="D14" s="23"/>
      <c r="E14" s="3"/>
      <c r="F14" s="3"/>
      <c r="G14" s="3"/>
      <c r="H14" s="23"/>
      <c r="I14" s="23"/>
      <c r="J14" s="23"/>
      <c r="K14" s="3"/>
    </row>
    <row r="15" spans="2:11" ht="15.75" x14ac:dyDescent="0.25">
      <c r="B15" s="55" t="s">
        <v>110</v>
      </c>
      <c r="C15" s="55"/>
      <c r="D15" s="60">
        <f>SUM(D16:D24)</f>
        <v>285406910.72999996</v>
      </c>
      <c r="E15" s="60">
        <f>SUM(E16:E24)</f>
        <v>182312378.67000005</v>
      </c>
      <c r="F15" s="60"/>
      <c r="G15" s="60"/>
      <c r="H15" s="55" t="s">
        <v>111</v>
      </c>
      <c r="I15" s="55"/>
      <c r="J15" s="60">
        <f>SUM(J16:J25)</f>
        <v>270618835.50999999</v>
      </c>
      <c r="K15" s="60">
        <f>SUM(K16:K25)</f>
        <v>172549653.89999998</v>
      </c>
    </row>
    <row r="16" spans="2:11" ht="15.75" x14ac:dyDescent="0.25">
      <c r="B16" s="56" t="s">
        <v>43</v>
      </c>
      <c r="C16" s="56">
        <v>5</v>
      </c>
      <c r="D16" s="58">
        <f>Balanço!B2+Balanço!B3</f>
        <v>222272361.99000001</v>
      </c>
      <c r="E16" s="34">
        <f>34190.02+160684168.9+98+24421.56+65774.2</f>
        <v>160808652.68000001</v>
      </c>
      <c r="F16" s="34"/>
      <c r="G16" s="34"/>
      <c r="H16" s="56" t="s">
        <v>112</v>
      </c>
      <c r="I16" s="56">
        <v>14</v>
      </c>
      <c r="J16" s="58">
        <f>Balanço!B111</f>
        <v>207618.72999999998</v>
      </c>
      <c r="K16" s="34">
        <f>124150.92</f>
        <v>124150.92</v>
      </c>
    </row>
    <row r="17" spans="2:11" ht="15.75" x14ac:dyDescent="0.25">
      <c r="B17" s="56" t="s">
        <v>1</v>
      </c>
      <c r="C17" s="56">
        <v>5</v>
      </c>
      <c r="D17" s="58">
        <f>Balanço!B4</f>
        <v>54040954.159999996</v>
      </c>
      <c r="E17" s="34">
        <v>11582047.59</v>
      </c>
      <c r="F17" s="34"/>
      <c r="G17" s="34"/>
      <c r="H17" s="56" t="s">
        <v>13</v>
      </c>
      <c r="I17" s="56">
        <v>14</v>
      </c>
      <c r="J17" s="58">
        <f>Balanço!B122</f>
        <v>2423417.7600000002</v>
      </c>
      <c r="K17" s="34">
        <f>532490.97</f>
        <v>532490.97</v>
      </c>
    </row>
    <row r="18" spans="2:11" ht="15.75" x14ac:dyDescent="0.25">
      <c r="B18" s="56" t="s">
        <v>113</v>
      </c>
      <c r="C18" s="56">
        <v>6</v>
      </c>
      <c r="D18" s="58">
        <f>Balanço!B23</f>
        <v>413343.64</v>
      </c>
      <c r="E18" s="34">
        <v>391399.9</v>
      </c>
      <c r="F18" s="34"/>
      <c r="G18" s="34"/>
      <c r="H18" s="56" t="s">
        <v>15</v>
      </c>
      <c r="I18" s="56">
        <v>14</v>
      </c>
      <c r="J18" s="58">
        <f>Balanço!B129</f>
        <v>1613060.3</v>
      </c>
      <c r="K18" s="34">
        <v>142469.06</v>
      </c>
    </row>
    <row r="19" spans="2:11" ht="15.75" x14ac:dyDescent="0.25">
      <c r="B19" s="56" t="s">
        <v>2</v>
      </c>
      <c r="C19" s="56">
        <v>7</v>
      </c>
      <c r="D19" s="58">
        <f>Balanço!B29</f>
        <v>7644273.8700000001</v>
      </c>
      <c r="E19" s="34">
        <v>8573488.4600000009</v>
      </c>
      <c r="F19" s="34"/>
      <c r="G19" s="34"/>
      <c r="H19" s="56" t="s">
        <v>20</v>
      </c>
      <c r="I19" s="56">
        <v>15</v>
      </c>
      <c r="J19" s="58">
        <f>Balanço!B147</f>
        <v>3061276.75</v>
      </c>
      <c r="K19" s="34">
        <v>1135742.17</v>
      </c>
    </row>
    <row r="20" spans="2:11" ht="15.75" x14ac:dyDescent="0.25">
      <c r="B20" s="56" t="s">
        <v>3</v>
      </c>
      <c r="C20" s="56">
        <v>8</v>
      </c>
      <c r="D20" s="58">
        <f>Balanço!B34</f>
        <v>437076.33</v>
      </c>
      <c r="E20" s="34">
        <v>399128.31</v>
      </c>
      <c r="F20" s="34"/>
      <c r="G20" s="34"/>
      <c r="H20" s="56" t="s">
        <v>24</v>
      </c>
      <c r="I20" s="56">
        <v>16</v>
      </c>
      <c r="J20" s="58">
        <f>Balanço!B153</f>
        <v>6920347.4900000002</v>
      </c>
      <c r="K20" s="34">
        <v>6273793.4100000001</v>
      </c>
    </row>
    <row r="21" spans="2:11" ht="15.75" x14ac:dyDescent="0.25">
      <c r="B21" s="56" t="s">
        <v>4</v>
      </c>
      <c r="C21" s="56">
        <v>9</v>
      </c>
      <c r="D21" s="58">
        <f>Balanço!B40</f>
        <v>502821.86</v>
      </c>
      <c r="E21" s="34">
        <v>443064.49</v>
      </c>
      <c r="F21" s="34"/>
      <c r="G21" s="34"/>
      <c r="H21" s="56" t="s">
        <v>72</v>
      </c>
      <c r="I21" s="56">
        <v>17</v>
      </c>
      <c r="J21" s="58">
        <f>Balanço!B159</f>
        <v>251705646.31999999</v>
      </c>
      <c r="K21" s="34">
        <v>159913896.66999999</v>
      </c>
    </row>
    <row r="22" spans="2:11" ht="15.75" x14ac:dyDescent="0.25">
      <c r="B22" s="56" t="s">
        <v>5</v>
      </c>
      <c r="C22" s="56">
        <v>10</v>
      </c>
      <c r="D22" s="58">
        <f>Balanço!B44</f>
        <v>0</v>
      </c>
      <c r="E22" s="34">
        <v>8988.41</v>
      </c>
      <c r="F22" s="34"/>
      <c r="G22" s="34"/>
      <c r="H22" s="56" t="s">
        <v>114</v>
      </c>
      <c r="I22" s="56">
        <v>18</v>
      </c>
      <c r="J22" s="58">
        <f>Balanço!B168</f>
        <v>4687468.16</v>
      </c>
      <c r="K22" s="34">
        <v>4427110.7</v>
      </c>
    </row>
    <row r="23" spans="2:11" ht="15.75" x14ac:dyDescent="0.25">
      <c r="B23" s="56" t="s">
        <v>115</v>
      </c>
      <c r="C23" s="56">
        <v>11</v>
      </c>
      <c r="D23" s="58">
        <v>96078.88</v>
      </c>
      <c r="E23" s="34">
        <v>105608.83</v>
      </c>
      <c r="F23" s="34"/>
      <c r="G23" s="34"/>
      <c r="H23" s="56"/>
      <c r="I23" s="56"/>
      <c r="J23" s="58"/>
      <c r="K23" s="34"/>
    </row>
    <row r="24" spans="2:11" ht="15.75" x14ac:dyDescent="0.25">
      <c r="B24" s="56"/>
      <c r="C24" s="56"/>
      <c r="D24" s="58"/>
      <c r="E24" s="34"/>
      <c r="F24" s="34"/>
      <c r="G24" s="34"/>
      <c r="H24" s="56"/>
      <c r="I24" s="56"/>
      <c r="J24" s="58"/>
      <c r="K24" s="34"/>
    </row>
    <row r="25" spans="2:11" ht="15.75" x14ac:dyDescent="0.25">
      <c r="B25" s="56"/>
      <c r="C25" s="56"/>
      <c r="D25" s="58"/>
      <c r="E25" s="34"/>
      <c r="F25" s="34"/>
      <c r="G25" s="34"/>
      <c r="H25" s="56"/>
      <c r="I25" s="56"/>
      <c r="J25" s="58"/>
      <c r="K25" s="34"/>
    </row>
    <row r="26" spans="2:11" ht="15.75" x14ac:dyDescent="0.25">
      <c r="B26" s="55" t="s">
        <v>116</v>
      </c>
      <c r="C26" s="55"/>
      <c r="D26" s="61">
        <f>D27+D37+D41</f>
        <v>708469612.82999992</v>
      </c>
      <c r="E26" s="61">
        <f>E27+E37+E41</f>
        <v>514529540.04000002</v>
      </c>
      <c r="F26" s="61"/>
      <c r="G26" s="61"/>
      <c r="H26" s="60"/>
      <c r="I26" s="55"/>
      <c r="J26" s="59"/>
      <c r="K26" s="61"/>
    </row>
    <row r="27" spans="2:11" ht="15.75" x14ac:dyDescent="0.25">
      <c r="B27" s="55" t="s">
        <v>117</v>
      </c>
      <c r="C27" s="55">
        <v>12</v>
      </c>
      <c r="D27" s="61">
        <f>SUM(D28:D36)</f>
        <v>701443161.77999985</v>
      </c>
      <c r="E27" s="61">
        <f>SUM(E28:E36)</f>
        <v>509401707.04000002</v>
      </c>
      <c r="F27" s="61"/>
      <c r="G27" s="61"/>
      <c r="H27" s="60"/>
      <c r="I27" s="55"/>
      <c r="J27" s="59"/>
      <c r="K27" s="61"/>
    </row>
    <row r="28" spans="2:11" ht="15.75" x14ac:dyDescent="0.25">
      <c r="B28" s="56" t="s">
        <v>285</v>
      </c>
      <c r="C28" s="56" t="s">
        <v>118</v>
      </c>
      <c r="D28" s="58">
        <f>Balanço!B54</f>
        <v>51327.44</v>
      </c>
      <c r="E28" s="34">
        <v>91991.72</v>
      </c>
      <c r="F28" s="34"/>
      <c r="G28" s="34"/>
      <c r="H28" s="55"/>
      <c r="I28" s="55"/>
      <c r="J28" s="59"/>
      <c r="K28" s="61"/>
    </row>
    <row r="29" spans="2:11" ht="15.75" x14ac:dyDescent="0.25">
      <c r="B29" s="56" t="s">
        <v>6</v>
      </c>
      <c r="C29" s="56" t="s">
        <v>119</v>
      </c>
      <c r="D29" s="58">
        <v>0</v>
      </c>
      <c r="E29" s="34">
        <v>0</v>
      </c>
      <c r="F29" s="34"/>
      <c r="G29" s="34"/>
      <c r="H29" s="55" t="s">
        <v>120</v>
      </c>
      <c r="I29" s="55"/>
      <c r="J29" s="61">
        <f>SUM(J30:J35)</f>
        <v>1047000</v>
      </c>
      <c r="K29" s="61">
        <f>SUM(K30:K35)</f>
        <v>2088000</v>
      </c>
    </row>
    <row r="30" spans="2:11" ht="15.75" x14ac:dyDescent="0.25">
      <c r="B30" s="56" t="s">
        <v>121</v>
      </c>
      <c r="C30" s="56" t="s">
        <v>122</v>
      </c>
      <c r="D30" s="58">
        <f>Balanço!B64</f>
        <v>699947.07</v>
      </c>
      <c r="E30" s="34">
        <v>1129756.77</v>
      </c>
      <c r="F30" s="34"/>
      <c r="G30" s="34"/>
      <c r="H30" s="56" t="s">
        <v>123</v>
      </c>
      <c r="I30" s="56" t="s">
        <v>190</v>
      </c>
      <c r="J30" s="58">
        <f>Balanço!B176</f>
        <v>1047000</v>
      </c>
      <c r="K30" s="34">
        <v>2088000</v>
      </c>
    </row>
    <row r="31" spans="2:11" ht="15.75" x14ac:dyDescent="0.25">
      <c r="B31" s="56" t="s">
        <v>124</v>
      </c>
      <c r="C31" s="56" t="s">
        <v>125</v>
      </c>
      <c r="D31" s="58">
        <f>Balanço!B70</f>
        <v>2120641.9700000002</v>
      </c>
      <c r="E31" s="34">
        <v>2213981.33</v>
      </c>
      <c r="F31" s="34"/>
      <c r="G31" s="34"/>
      <c r="H31" s="56"/>
      <c r="I31" s="56"/>
      <c r="J31" s="58"/>
      <c r="K31" s="34"/>
    </row>
    <row r="32" spans="2:11" ht="15.75" x14ac:dyDescent="0.25">
      <c r="B32" s="56" t="s">
        <v>4</v>
      </c>
      <c r="C32" s="56" t="s">
        <v>126</v>
      </c>
      <c r="D32" s="58">
        <f>Balanço!B74</f>
        <v>373527.44</v>
      </c>
      <c r="E32" s="34">
        <v>332902.37</v>
      </c>
      <c r="F32" s="34"/>
      <c r="G32" s="34"/>
      <c r="H32" s="56"/>
      <c r="I32" s="56"/>
      <c r="J32" s="58"/>
      <c r="K32" s="34"/>
    </row>
    <row r="33" spans="2:11" ht="15.75" x14ac:dyDescent="0.25">
      <c r="B33" s="56" t="s">
        <v>127</v>
      </c>
      <c r="C33" s="56" t="s">
        <v>128</v>
      </c>
      <c r="D33" s="58">
        <f>Balanço!B81</f>
        <v>695905356.32999992</v>
      </c>
      <c r="E33" s="34">
        <v>505633074.85000002</v>
      </c>
      <c r="F33" s="34"/>
      <c r="G33" s="34"/>
      <c r="H33" s="56"/>
      <c r="I33" s="56"/>
      <c r="J33" s="58"/>
      <c r="K33" s="62"/>
    </row>
    <row r="34" spans="2:11" ht="15.75" x14ac:dyDescent="0.25">
      <c r="B34" s="56" t="s">
        <v>266</v>
      </c>
      <c r="C34" s="56" t="s">
        <v>267</v>
      </c>
      <c r="D34" s="58">
        <f>Balanço!B85</f>
        <v>2292361.5299999998</v>
      </c>
      <c r="E34" s="34">
        <v>0</v>
      </c>
      <c r="F34" s="34"/>
      <c r="G34" s="34"/>
      <c r="H34" s="56"/>
      <c r="I34" s="56"/>
      <c r="J34" s="58"/>
      <c r="K34" s="62"/>
    </row>
    <row r="35" spans="2:11" ht="15.75" x14ac:dyDescent="0.25">
      <c r="B35" s="56"/>
      <c r="C35" s="56"/>
      <c r="D35" s="58"/>
      <c r="E35" s="34"/>
      <c r="F35" s="34"/>
      <c r="G35" s="34"/>
      <c r="H35" s="55"/>
      <c r="I35" s="55"/>
      <c r="J35" s="59"/>
      <c r="K35" s="61"/>
    </row>
    <row r="36" spans="2:11" ht="15.75" x14ac:dyDescent="0.25">
      <c r="B36" s="56"/>
      <c r="C36" s="56"/>
      <c r="D36" s="58"/>
      <c r="E36" s="34"/>
      <c r="F36" s="34"/>
      <c r="G36" s="34"/>
      <c r="H36" s="55"/>
      <c r="I36" s="55"/>
      <c r="J36" s="59"/>
      <c r="K36" s="61"/>
    </row>
    <row r="37" spans="2:11" ht="15.75" x14ac:dyDescent="0.25">
      <c r="B37" s="55" t="s">
        <v>129</v>
      </c>
      <c r="C37" s="55">
        <v>13</v>
      </c>
      <c r="D37" s="36">
        <f>SUM(D38:D39)</f>
        <v>2400086.3299999991</v>
      </c>
      <c r="E37" s="36">
        <f>SUM(E38:E39)</f>
        <v>2225792.1199999996</v>
      </c>
      <c r="F37" s="36"/>
      <c r="G37" s="36"/>
      <c r="H37" s="56"/>
      <c r="I37" s="56"/>
      <c r="J37" s="58"/>
      <c r="K37" s="34"/>
    </row>
    <row r="38" spans="2:11" ht="15.75" x14ac:dyDescent="0.25">
      <c r="B38" s="56" t="s">
        <v>130</v>
      </c>
      <c r="C38" s="56" t="s">
        <v>270</v>
      </c>
      <c r="D38" s="58">
        <f>Balanço!B96</f>
        <v>6784688.8099999996</v>
      </c>
      <c r="E38" s="34">
        <v>5886971.7199999997</v>
      </c>
      <c r="F38" s="34"/>
      <c r="G38" s="34"/>
      <c r="H38" s="55" t="s">
        <v>30</v>
      </c>
      <c r="I38" s="55">
        <v>21</v>
      </c>
      <c r="J38" s="61">
        <f>SUM(J39:J43)</f>
        <v>722210688.04999995</v>
      </c>
      <c r="K38" s="61">
        <f>SUM(K39:K43)</f>
        <v>522204264.81</v>
      </c>
    </row>
    <row r="39" spans="2:11" ht="15.75" x14ac:dyDescent="0.25">
      <c r="B39" s="56" t="s">
        <v>131</v>
      </c>
      <c r="C39" s="56"/>
      <c r="D39" s="58">
        <v>-4384602.4800000004</v>
      </c>
      <c r="E39" s="34">
        <v>-3661179.6</v>
      </c>
      <c r="F39" s="34"/>
      <c r="G39" s="34"/>
      <c r="H39" s="56" t="s">
        <v>31</v>
      </c>
      <c r="I39" s="56" t="s">
        <v>132</v>
      </c>
      <c r="J39" s="58">
        <f>Balanço!C184</f>
        <v>196133567.16</v>
      </c>
      <c r="K39" s="34">
        <v>196133567.16</v>
      </c>
    </row>
    <row r="40" spans="2:11" ht="15.75" x14ac:dyDescent="0.25">
      <c r="B40" s="56"/>
      <c r="C40" s="56"/>
      <c r="D40" s="58"/>
      <c r="E40" s="36"/>
      <c r="F40" s="36"/>
      <c r="G40" s="36"/>
      <c r="H40" s="56" t="s">
        <v>133</v>
      </c>
      <c r="I40" s="56" t="s">
        <v>132</v>
      </c>
      <c r="J40" s="58">
        <f>Balanço!C185</f>
        <v>-8877149.1300000008</v>
      </c>
      <c r="K40" s="34">
        <v>-8877149.1300000008</v>
      </c>
    </row>
    <row r="41" spans="2:11" ht="15.75" x14ac:dyDescent="0.25">
      <c r="B41" s="55" t="s">
        <v>134</v>
      </c>
      <c r="C41" s="55"/>
      <c r="D41" s="36">
        <f>SUM(D42:D43)</f>
        <v>4626364.72</v>
      </c>
      <c r="E41" s="36">
        <f>SUM(E42:E43)</f>
        <v>2902040.88</v>
      </c>
      <c r="F41" s="36"/>
      <c r="G41" s="36"/>
      <c r="H41" s="56" t="s">
        <v>135</v>
      </c>
      <c r="I41" s="56" t="s">
        <v>136</v>
      </c>
      <c r="J41" s="58">
        <f>Balanço!B189</f>
        <v>974381850.53999996</v>
      </c>
      <c r="K41" s="34">
        <v>773787983.70000005</v>
      </c>
    </row>
    <row r="42" spans="2:11" ht="15.75" x14ac:dyDescent="0.25">
      <c r="B42" s="56" t="s">
        <v>11</v>
      </c>
      <c r="C42" s="56" t="s">
        <v>271</v>
      </c>
      <c r="D42" s="58">
        <v>7078508.8399999999</v>
      </c>
      <c r="E42" s="34">
        <v>4375009.54</v>
      </c>
      <c r="F42" s="34"/>
      <c r="G42" s="34"/>
      <c r="H42" s="56" t="s">
        <v>137</v>
      </c>
      <c r="I42" s="56" t="s">
        <v>138</v>
      </c>
      <c r="J42" s="58">
        <f>Balanço!B191</f>
        <v>-439425944.51999998</v>
      </c>
      <c r="K42" s="34">
        <v>-438838500.92000002</v>
      </c>
    </row>
    <row r="43" spans="2:11" ht="15.75" x14ac:dyDescent="0.25">
      <c r="B43" s="56" t="s">
        <v>139</v>
      </c>
      <c r="C43" s="56"/>
      <c r="D43" s="58">
        <v>-2452144.12</v>
      </c>
      <c r="E43" s="34">
        <v>-1472968.66</v>
      </c>
      <c r="F43" s="34"/>
      <c r="G43" s="34"/>
      <c r="H43" s="56" t="s">
        <v>100</v>
      </c>
      <c r="I43" s="56" t="s">
        <v>140</v>
      </c>
      <c r="J43" s="58">
        <f>Balanço!C195</f>
        <v>-1636</v>
      </c>
      <c r="K43" s="34">
        <v>-1636</v>
      </c>
    </row>
    <row r="44" spans="2:11" ht="15.75" x14ac:dyDescent="0.25">
      <c r="B44" s="26"/>
      <c r="C44" s="26"/>
      <c r="D44" s="27"/>
      <c r="E44" s="34"/>
      <c r="F44" s="34"/>
      <c r="G44" s="34"/>
      <c r="H44" s="26"/>
      <c r="I44" s="26"/>
      <c r="J44" s="27"/>
      <c r="K44" s="34"/>
    </row>
    <row r="45" spans="2:11" ht="15.75" x14ac:dyDescent="0.25">
      <c r="B45" s="2" t="s">
        <v>141</v>
      </c>
      <c r="C45" s="23"/>
      <c r="D45" s="38">
        <f>D15+D26</f>
        <v>993876523.55999994</v>
      </c>
      <c r="E45" s="38">
        <f>E15+E26</f>
        <v>696841918.71000004</v>
      </c>
      <c r="F45" s="35"/>
      <c r="G45" s="35"/>
      <c r="H45" s="2" t="s">
        <v>142</v>
      </c>
      <c r="I45" s="23"/>
      <c r="J45" s="38">
        <f>J15+J29+J38</f>
        <v>993876523.55999994</v>
      </c>
      <c r="K45" s="38">
        <f>K15+K29+K38</f>
        <v>696841918.71000004</v>
      </c>
    </row>
    <row r="46" spans="2:11" ht="15.75" x14ac:dyDescent="0.25">
      <c r="B46" s="25"/>
      <c r="C46" s="23"/>
      <c r="D46" s="29"/>
      <c r="E46" s="28"/>
      <c r="F46" s="28"/>
      <c r="G46" s="28"/>
      <c r="H46" s="25"/>
      <c r="I46" s="25"/>
      <c r="J46" s="30"/>
      <c r="K46" s="28"/>
    </row>
    <row r="47" spans="2:11" ht="15.75" x14ac:dyDescent="0.25">
      <c r="B47" s="31"/>
      <c r="C47" s="32"/>
      <c r="D47" s="162"/>
      <c r="E47" s="163"/>
      <c r="F47" s="31"/>
      <c r="G47" s="31"/>
      <c r="H47" s="31"/>
      <c r="I47" s="31"/>
      <c r="J47" s="31"/>
      <c r="K47" s="33"/>
    </row>
    <row r="48" spans="2:11" ht="41.25" customHeight="1" x14ac:dyDescent="0.25">
      <c r="B48" s="283" t="s">
        <v>272</v>
      </c>
      <c r="C48" s="283"/>
      <c r="D48" s="283"/>
      <c r="E48" s="283"/>
      <c r="F48" s="283"/>
      <c r="G48" s="283"/>
      <c r="H48" s="283"/>
      <c r="I48" s="283"/>
      <c r="J48" s="283"/>
      <c r="K48" s="283"/>
    </row>
    <row r="49" spans="2:11" ht="15.75" customHeight="1" x14ac:dyDescent="0.25">
      <c r="B49" s="283" t="s">
        <v>143</v>
      </c>
      <c r="C49" s="283"/>
      <c r="D49" s="283"/>
      <c r="E49" s="283"/>
      <c r="F49" s="283"/>
      <c r="G49" s="283"/>
      <c r="H49" s="283"/>
      <c r="I49" s="283"/>
      <c r="J49" s="283"/>
      <c r="K49" s="283"/>
    </row>
    <row r="50" spans="2:11" ht="15.75" x14ac:dyDescent="0.25">
      <c r="B50" s="63"/>
      <c r="C50" s="64"/>
      <c r="D50" s="64"/>
      <c r="E50" s="63"/>
      <c r="F50" s="63"/>
      <c r="G50" s="63"/>
      <c r="H50" s="63"/>
      <c r="I50" s="64"/>
      <c r="J50" s="64"/>
      <c r="K50" s="63"/>
    </row>
    <row r="51" spans="2:11" ht="15.75" x14ac:dyDescent="0.25">
      <c r="B51" s="283" t="s">
        <v>265</v>
      </c>
      <c r="C51" s="283"/>
      <c r="D51" s="283"/>
      <c r="E51" s="283"/>
      <c r="F51" s="283"/>
      <c r="G51" s="283"/>
      <c r="H51" s="283"/>
      <c r="I51" s="283"/>
      <c r="J51" s="283"/>
      <c r="K51" s="283"/>
    </row>
    <row r="52" spans="2:11" ht="15.75" x14ac:dyDescent="0.25">
      <c r="B52" s="32"/>
      <c r="C52" s="32"/>
      <c r="D52" s="32"/>
      <c r="E52" s="32"/>
      <c r="F52" s="32"/>
      <c r="G52" s="32"/>
      <c r="H52" s="32"/>
      <c r="I52" s="32"/>
      <c r="J52" s="32"/>
      <c r="K52" s="32"/>
    </row>
  </sheetData>
  <mergeCells count="10">
    <mergeCell ref="B48:K48"/>
    <mergeCell ref="B49:K49"/>
    <mergeCell ref="B51:K51"/>
    <mergeCell ref="B3:K3"/>
    <mergeCell ref="B4:K4"/>
    <mergeCell ref="B5:K5"/>
    <mergeCell ref="B6:K6"/>
    <mergeCell ref="B9:K9"/>
    <mergeCell ref="B11:E11"/>
    <mergeCell ref="H11:K11"/>
  </mergeCells>
  <pageMargins left="0.511811024" right="0.511811024" top="0.78740157499999996" bottom="0.78740157499999996" header="0.31496062000000002" footer="0.31496062000000002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38"/>
  <sheetViews>
    <sheetView showGridLines="0" workbookViewId="0">
      <selection activeCell="B42" sqref="B42"/>
    </sheetView>
  </sheetViews>
  <sheetFormatPr defaultRowHeight="15" x14ac:dyDescent="0.25"/>
  <cols>
    <col min="1" max="1" width="9.33203125" style="1"/>
    <col min="2" max="2" width="42.83203125" style="1" bestFit="1" customWidth="1"/>
    <col min="3" max="3" width="19.83203125" style="1" bestFit="1" customWidth="1"/>
    <col min="4" max="4" width="25.5" style="1" bestFit="1" customWidth="1"/>
    <col min="5" max="5" width="25.83203125" style="1" bestFit="1" customWidth="1"/>
    <col min="6" max="6" width="21" style="1" bestFit="1" customWidth="1"/>
    <col min="7" max="8" width="19.83203125" style="1" bestFit="1" customWidth="1"/>
    <col min="9" max="16384" width="9.33203125" style="1"/>
  </cols>
  <sheetData>
    <row r="3" spans="1:13" x14ac:dyDescent="0.25">
      <c r="A3" s="292" t="s">
        <v>103</v>
      </c>
      <c r="B3" s="292"/>
      <c r="C3" s="292"/>
      <c r="D3" s="292"/>
      <c r="E3" s="292"/>
      <c r="F3" s="292"/>
      <c r="G3" s="292"/>
      <c r="H3" s="292"/>
    </row>
    <row r="4" spans="1:13" x14ac:dyDescent="0.25">
      <c r="A4" s="292" t="s">
        <v>104</v>
      </c>
      <c r="B4" s="292"/>
      <c r="C4" s="292"/>
      <c r="D4" s="292"/>
      <c r="E4" s="292"/>
      <c r="F4" s="292"/>
      <c r="G4" s="292"/>
      <c r="H4" s="292"/>
    </row>
    <row r="5" spans="1:13" x14ac:dyDescent="0.25">
      <c r="A5" s="292" t="s">
        <v>264</v>
      </c>
      <c r="B5" s="292"/>
      <c r="C5" s="292"/>
      <c r="D5" s="292"/>
      <c r="E5" s="292"/>
      <c r="F5" s="292"/>
      <c r="G5" s="292"/>
      <c r="H5" s="292"/>
    </row>
    <row r="6" spans="1:13" x14ac:dyDescent="0.25">
      <c r="A6" s="292" t="s">
        <v>105</v>
      </c>
      <c r="B6" s="292"/>
      <c r="C6" s="292"/>
      <c r="D6" s="292"/>
      <c r="E6" s="292"/>
      <c r="F6" s="292"/>
      <c r="G6" s="292"/>
      <c r="H6" s="292"/>
    </row>
    <row r="7" spans="1:13" x14ac:dyDescent="0.25">
      <c r="A7" s="4"/>
      <c r="B7" s="5"/>
      <c r="C7" s="6"/>
      <c r="D7" s="6"/>
      <c r="E7" s="6"/>
      <c r="F7" s="6"/>
      <c r="G7" s="6"/>
      <c r="H7" s="7"/>
    </row>
    <row r="8" spans="1:13" x14ac:dyDescent="0.25">
      <c r="A8" s="4"/>
      <c r="B8" s="4"/>
      <c r="C8" s="6"/>
      <c r="D8" s="6"/>
      <c r="E8" s="6"/>
      <c r="F8" s="6"/>
      <c r="G8" s="6"/>
      <c r="H8" s="7"/>
    </row>
    <row r="9" spans="1:13" x14ac:dyDescent="0.25">
      <c r="A9" s="4"/>
      <c r="B9" s="286" t="s">
        <v>90</v>
      </c>
      <c r="C9" s="286"/>
      <c r="D9" s="286"/>
      <c r="E9" s="286"/>
      <c r="F9" s="286"/>
      <c r="G9" s="286"/>
      <c r="H9" s="286"/>
    </row>
    <row r="10" spans="1:13" x14ac:dyDescent="0.25">
      <c r="A10" s="4"/>
      <c r="B10" s="8"/>
      <c r="C10" s="9"/>
      <c r="D10" s="9"/>
      <c r="E10" s="9"/>
      <c r="F10" s="10"/>
      <c r="G10" s="10"/>
      <c r="H10" s="11"/>
    </row>
    <row r="11" spans="1:13" x14ac:dyDescent="0.25">
      <c r="A11" s="4"/>
      <c r="B11" s="286" t="s">
        <v>91</v>
      </c>
      <c r="C11" s="287" t="s">
        <v>92</v>
      </c>
      <c r="D11" s="287"/>
      <c r="E11" s="12" t="s">
        <v>37</v>
      </c>
      <c r="F11" s="288" t="s">
        <v>93</v>
      </c>
      <c r="G11" s="288" t="s">
        <v>71</v>
      </c>
      <c r="H11" s="291" t="s">
        <v>94</v>
      </c>
    </row>
    <row r="12" spans="1:13" ht="42.75" x14ac:dyDescent="0.25">
      <c r="A12" s="4"/>
      <c r="B12" s="286"/>
      <c r="C12" s="13" t="s">
        <v>34</v>
      </c>
      <c r="D12" s="13" t="s">
        <v>95</v>
      </c>
      <c r="E12" s="13" t="s">
        <v>96</v>
      </c>
      <c r="F12" s="288"/>
      <c r="G12" s="288"/>
      <c r="H12" s="291"/>
    </row>
    <row r="13" spans="1:13" x14ac:dyDescent="0.25">
      <c r="A13" s="4"/>
      <c r="B13" s="14"/>
      <c r="C13" s="15"/>
      <c r="D13" s="15"/>
      <c r="E13" s="15"/>
      <c r="F13" s="16"/>
      <c r="G13" s="16"/>
      <c r="H13" s="17"/>
    </row>
    <row r="14" spans="1:13" x14ac:dyDescent="0.25">
      <c r="A14" s="4"/>
      <c r="B14" s="18"/>
      <c r="C14" s="19"/>
      <c r="D14" s="19"/>
      <c r="E14" s="19"/>
      <c r="F14" s="19"/>
      <c r="G14" s="19"/>
      <c r="H14" s="19"/>
    </row>
    <row r="15" spans="1:13" ht="15.75" x14ac:dyDescent="0.25">
      <c r="A15" s="4"/>
      <c r="B15" s="65" t="s">
        <v>101</v>
      </c>
      <c r="C15" s="66">
        <v>196133567.16</v>
      </c>
      <c r="D15" s="66">
        <v>-8877149.1300000008</v>
      </c>
      <c r="E15" s="66">
        <v>626516510.21000004</v>
      </c>
      <c r="F15" s="66">
        <v>-438517664.07999998</v>
      </c>
      <c r="G15" s="66">
        <v>0</v>
      </c>
      <c r="H15" s="66">
        <f>SUM(C15:G15)</f>
        <v>375255264.16000003</v>
      </c>
      <c r="I15" s="67"/>
      <c r="J15" s="67"/>
      <c r="K15" s="67"/>
      <c r="L15" s="67"/>
      <c r="M15" s="67"/>
    </row>
    <row r="16" spans="1:13" ht="15.75" x14ac:dyDescent="0.25">
      <c r="A16" s="4"/>
      <c r="B16" s="68"/>
      <c r="C16" s="69"/>
      <c r="D16" s="69"/>
      <c r="E16" s="69"/>
      <c r="F16" s="69"/>
      <c r="G16" s="69"/>
      <c r="H16" s="69"/>
      <c r="I16" s="67"/>
      <c r="J16" s="67"/>
      <c r="K16" s="67"/>
      <c r="L16" s="67"/>
      <c r="M16" s="67"/>
    </row>
    <row r="17" spans="1:13" ht="15" customHeight="1" x14ac:dyDescent="0.25">
      <c r="A17" s="4"/>
      <c r="B17" s="70" t="s">
        <v>34</v>
      </c>
      <c r="C17" s="71">
        <v>0</v>
      </c>
      <c r="D17" s="71">
        <v>0</v>
      </c>
      <c r="E17" s="71">
        <v>0</v>
      </c>
      <c r="F17" s="71">
        <v>0</v>
      </c>
      <c r="G17" s="71">
        <v>0</v>
      </c>
      <c r="H17" s="69">
        <f t="shared" ref="H17:H22" si="0">SUM(C17:G17)</f>
        <v>0</v>
      </c>
      <c r="I17" s="67"/>
      <c r="J17" s="67"/>
      <c r="K17" s="67"/>
      <c r="L17" s="67"/>
      <c r="M17" s="67"/>
    </row>
    <row r="18" spans="1:13" ht="15" customHeight="1" x14ac:dyDescent="0.25">
      <c r="A18" s="4"/>
      <c r="B18" s="70" t="s">
        <v>95</v>
      </c>
      <c r="C18" s="71">
        <v>0</v>
      </c>
      <c r="D18" s="71">
        <v>0</v>
      </c>
      <c r="E18" s="71">
        <v>0</v>
      </c>
      <c r="F18" s="71">
        <v>0</v>
      </c>
      <c r="G18" s="71">
        <v>0</v>
      </c>
      <c r="H18" s="69">
        <f t="shared" si="0"/>
        <v>0</v>
      </c>
      <c r="I18" s="67"/>
      <c r="J18" s="67"/>
      <c r="K18" s="67"/>
      <c r="L18" s="67"/>
      <c r="M18" s="67"/>
    </row>
    <row r="19" spans="1:13" ht="15.75" x14ac:dyDescent="0.25">
      <c r="A19" s="4"/>
      <c r="B19" s="70" t="s">
        <v>97</v>
      </c>
      <c r="C19" s="71">
        <v>0</v>
      </c>
      <c r="D19" s="71">
        <v>0</v>
      </c>
      <c r="E19" s="71">
        <v>147271473.49000001</v>
      </c>
      <c r="F19" s="71">
        <v>-147271473.49000001</v>
      </c>
      <c r="G19" s="71">
        <v>0</v>
      </c>
      <c r="H19" s="69">
        <f t="shared" si="0"/>
        <v>0</v>
      </c>
      <c r="I19" s="67"/>
      <c r="J19" s="67"/>
      <c r="K19" s="67"/>
      <c r="L19" s="67"/>
      <c r="M19" s="67"/>
    </row>
    <row r="20" spans="1:13" ht="15.75" x14ac:dyDescent="0.25">
      <c r="A20" s="4"/>
      <c r="B20" s="70" t="s">
        <v>98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  <c r="H20" s="69">
        <f t="shared" si="0"/>
        <v>0</v>
      </c>
      <c r="I20" s="67"/>
      <c r="J20" s="67"/>
      <c r="K20" s="67"/>
      <c r="L20" s="67"/>
      <c r="M20" s="67"/>
    </row>
    <row r="21" spans="1:13" ht="15.75" x14ac:dyDescent="0.25">
      <c r="A21" s="4"/>
      <c r="B21" s="70" t="s">
        <v>99</v>
      </c>
      <c r="C21" s="71">
        <v>0</v>
      </c>
      <c r="D21" s="71">
        <v>0</v>
      </c>
      <c r="E21" s="71">
        <v>0</v>
      </c>
      <c r="F21" s="71">
        <v>146950636.65000001</v>
      </c>
      <c r="G21" s="71">
        <v>0</v>
      </c>
      <c r="H21" s="69">
        <f t="shared" si="0"/>
        <v>146950636.65000001</v>
      </c>
      <c r="I21" s="67"/>
      <c r="J21" s="67"/>
      <c r="K21" s="67"/>
      <c r="L21" s="67"/>
      <c r="M21" s="67"/>
    </row>
    <row r="22" spans="1:13" ht="15.75" x14ac:dyDescent="0.25">
      <c r="A22" s="4"/>
      <c r="B22" s="70" t="s">
        <v>100</v>
      </c>
      <c r="C22" s="71">
        <v>0</v>
      </c>
      <c r="D22" s="71">
        <v>0</v>
      </c>
      <c r="E22" s="71">
        <v>0</v>
      </c>
      <c r="F22" s="71">
        <v>0</v>
      </c>
      <c r="G22" s="71">
        <v>-1636</v>
      </c>
      <c r="H22" s="69">
        <f t="shared" si="0"/>
        <v>-1636</v>
      </c>
      <c r="I22" s="67"/>
      <c r="J22" s="67"/>
      <c r="K22" s="67"/>
      <c r="L22" s="67"/>
      <c r="M22" s="67"/>
    </row>
    <row r="23" spans="1:13" ht="15.75" x14ac:dyDescent="0.25">
      <c r="A23" s="4"/>
      <c r="B23" s="72"/>
      <c r="C23" s="71"/>
      <c r="D23" s="71"/>
      <c r="E23" s="71"/>
      <c r="F23" s="71"/>
      <c r="G23" s="71"/>
      <c r="H23" s="69"/>
      <c r="I23" s="67"/>
      <c r="J23" s="67"/>
      <c r="K23" s="67"/>
      <c r="L23" s="67"/>
      <c r="M23" s="67"/>
    </row>
    <row r="24" spans="1:13" ht="15.75" x14ac:dyDescent="0.25">
      <c r="A24" s="4"/>
      <c r="B24" s="65" t="s">
        <v>102</v>
      </c>
      <c r="C24" s="66">
        <f t="shared" ref="C24:H24" si="1">C15+SUM(C17:C22)</f>
        <v>196133567.16</v>
      </c>
      <c r="D24" s="66">
        <f t="shared" si="1"/>
        <v>-8877149.1300000008</v>
      </c>
      <c r="E24" s="66">
        <f t="shared" si="1"/>
        <v>773787983.70000005</v>
      </c>
      <c r="F24" s="66">
        <f t="shared" si="1"/>
        <v>-438838500.91999996</v>
      </c>
      <c r="G24" s="66">
        <f t="shared" si="1"/>
        <v>-1636</v>
      </c>
      <c r="H24" s="66">
        <f t="shared" si="1"/>
        <v>522204264.81000006</v>
      </c>
      <c r="I24" s="67"/>
      <c r="J24" s="67"/>
      <c r="K24" s="67"/>
      <c r="L24" s="67"/>
      <c r="M24" s="67"/>
    </row>
    <row r="25" spans="1:13" ht="15.75" x14ac:dyDescent="0.25">
      <c r="A25" s="4"/>
      <c r="B25" s="68"/>
      <c r="C25" s="69"/>
      <c r="D25" s="69"/>
      <c r="E25" s="69"/>
      <c r="F25" s="69"/>
      <c r="G25" s="69"/>
      <c r="H25" s="69"/>
      <c r="I25" s="67"/>
      <c r="J25" s="67"/>
      <c r="K25" s="67"/>
      <c r="L25" s="67"/>
      <c r="M25" s="67"/>
    </row>
    <row r="26" spans="1:13" ht="15" customHeight="1" x14ac:dyDescent="0.25">
      <c r="A26" s="4"/>
      <c r="B26" s="70" t="s">
        <v>34</v>
      </c>
      <c r="C26" s="71">
        <v>0</v>
      </c>
      <c r="D26" s="71">
        <v>0</v>
      </c>
      <c r="E26" s="71">
        <v>0</v>
      </c>
      <c r="F26" s="71">
        <v>0</v>
      </c>
      <c r="G26" s="71">
        <v>0</v>
      </c>
      <c r="H26" s="69">
        <f t="shared" ref="H26:H31" si="2">SUM(C26:G26)</f>
        <v>0</v>
      </c>
      <c r="I26" s="67"/>
      <c r="J26" s="67"/>
      <c r="K26" s="67"/>
      <c r="L26" s="67"/>
      <c r="M26" s="67"/>
    </row>
    <row r="27" spans="1:13" ht="15" customHeight="1" x14ac:dyDescent="0.25">
      <c r="A27" s="4"/>
      <c r="B27" s="70" t="s">
        <v>95</v>
      </c>
      <c r="C27" s="71">
        <v>0</v>
      </c>
      <c r="D27" s="71">
        <v>0</v>
      </c>
      <c r="E27" s="71">
        <v>0</v>
      </c>
      <c r="F27" s="71">
        <v>0</v>
      </c>
      <c r="G27" s="71">
        <v>0</v>
      </c>
      <c r="H27" s="69">
        <f t="shared" si="2"/>
        <v>0</v>
      </c>
      <c r="I27" s="67"/>
      <c r="J27" s="67"/>
      <c r="K27" s="67"/>
      <c r="L27" s="67"/>
      <c r="M27" s="67"/>
    </row>
    <row r="28" spans="1:13" ht="15" customHeight="1" x14ac:dyDescent="0.25">
      <c r="A28" s="4"/>
      <c r="B28" s="70" t="s">
        <v>97</v>
      </c>
      <c r="C28" s="71">
        <v>0</v>
      </c>
      <c r="D28" s="71">
        <v>0</v>
      </c>
      <c r="E28" s="71">
        <v>200593866.84</v>
      </c>
      <c r="F28" s="71">
        <v>-200593866.84</v>
      </c>
      <c r="G28" s="71">
        <v>0</v>
      </c>
      <c r="H28" s="69">
        <f t="shared" si="2"/>
        <v>0</v>
      </c>
      <c r="I28" s="67"/>
      <c r="J28" s="67"/>
      <c r="K28" s="67"/>
      <c r="L28" s="67"/>
      <c r="M28" s="67"/>
    </row>
    <row r="29" spans="1:13" ht="15" customHeight="1" x14ac:dyDescent="0.25">
      <c r="A29" s="4"/>
      <c r="B29" s="70" t="s">
        <v>98</v>
      </c>
      <c r="C29" s="71">
        <v>0</v>
      </c>
      <c r="D29" s="71">
        <v>0</v>
      </c>
      <c r="E29" s="71">
        <v>0</v>
      </c>
      <c r="F29" s="71">
        <v>0</v>
      </c>
      <c r="G29" s="71">
        <v>0</v>
      </c>
      <c r="H29" s="69">
        <f t="shared" si="2"/>
        <v>0</v>
      </c>
      <c r="I29" s="67"/>
      <c r="J29" s="67"/>
      <c r="K29" s="67"/>
      <c r="L29" s="67"/>
      <c r="M29" s="67"/>
    </row>
    <row r="30" spans="1:13" ht="15.75" x14ac:dyDescent="0.25">
      <c r="A30" s="4"/>
      <c r="B30" s="70" t="s">
        <v>99</v>
      </c>
      <c r="C30" s="71">
        <v>0</v>
      </c>
      <c r="D30" s="71">
        <v>0</v>
      </c>
      <c r="E30" s="71">
        <v>0</v>
      </c>
      <c r="F30" s="71">
        <v>200006423.24000001</v>
      </c>
      <c r="G30" s="71">
        <v>0</v>
      </c>
      <c r="H30" s="69">
        <f t="shared" si="2"/>
        <v>200006423.24000001</v>
      </c>
      <c r="I30" s="67"/>
      <c r="J30" s="67"/>
      <c r="K30" s="67"/>
      <c r="L30" s="67"/>
      <c r="M30" s="67"/>
    </row>
    <row r="31" spans="1:13" ht="15" customHeight="1" x14ac:dyDescent="0.25">
      <c r="A31" s="4"/>
      <c r="B31" s="70" t="s">
        <v>100</v>
      </c>
      <c r="C31" s="71">
        <v>0</v>
      </c>
      <c r="D31" s="71">
        <v>0</v>
      </c>
      <c r="E31" s="71">
        <v>0</v>
      </c>
      <c r="F31" s="71">
        <v>0</v>
      </c>
      <c r="G31" s="71">
        <v>0</v>
      </c>
      <c r="H31" s="69">
        <f t="shared" si="2"/>
        <v>0</v>
      </c>
      <c r="I31" s="67"/>
      <c r="J31" s="67"/>
      <c r="K31" s="67"/>
      <c r="L31" s="67"/>
      <c r="M31" s="67"/>
    </row>
    <row r="32" spans="1:13" ht="15.75" x14ac:dyDescent="0.25">
      <c r="A32" s="4"/>
      <c r="B32" s="72"/>
      <c r="C32" s="71"/>
      <c r="D32" s="71"/>
      <c r="E32" s="71"/>
      <c r="F32" s="71"/>
      <c r="G32" s="71"/>
      <c r="H32" s="69"/>
      <c r="I32" s="67"/>
      <c r="J32" s="67"/>
      <c r="K32" s="67"/>
      <c r="L32" s="67"/>
      <c r="M32" s="67"/>
    </row>
    <row r="33" spans="1:13" ht="15.75" x14ac:dyDescent="0.25">
      <c r="A33" s="4"/>
      <c r="B33" s="65" t="s">
        <v>273</v>
      </c>
      <c r="C33" s="66">
        <f t="shared" ref="C33:H33" si="3">C24+SUM(C26:C31)</f>
        <v>196133567.16</v>
      </c>
      <c r="D33" s="66">
        <f t="shared" si="3"/>
        <v>-8877149.1300000008</v>
      </c>
      <c r="E33" s="66">
        <f t="shared" si="3"/>
        <v>974381850.54000008</v>
      </c>
      <c r="F33" s="66">
        <f t="shared" si="3"/>
        <v>-439425944.51999998</v>
      </c>
      <c r="G33" s="66">
        <f t="shared" si="3"/>
        <v>-1636</v>
      </c>
      <c r="H33" s="66">
        <f t="shared" si="3"/>
        <v>722210688.05000007</v>
      </c>
      <c r="I33" s="67"/>
      <c r="J33" s="67"/>
      <c r="K33" s="67"/>
      <c r="L33" s="67"/>
      <c r="M33" s="67"/>
    </row>
    <row r="34" spans="1:13" ht="15.75" x14ac:dyDescent="0.25">
      <c r="B34" s="73"/>
      <c r="C34" s="74"/>
      <c r="D34" s="74"/>
      <c r="E34" s="74"/>
      <c r="F34" s="74"/>
      <c r="G34" s="74"/>
      <c r="H34" s="69"/>
      <c r="I34" s="67"/>
      <c r="J34" s="67"/>
      <c r="K34" s="67"/>
      <c r="L34" s="67"/>
      <c r="M34" s="67"/>
    </row>
    <row r="35" spans="1:13" ht="15.75" x14ac:dyDescent="0.25">
      <c r="B35" s="289" t="s">
        <v>106</v>
      </c>
      <c r="C35" s="289"/>
      <c r="D35" s="289"/>
      <c r="E35" s="289"/>
      <c r="F35" s="289"/>
      <c r="G35" s="289"/>
      <c r="H35" s="289"/>
      <c r="I35" s="67"/>
      <c r="J35" s="67"/>
      <c r="K35" s="67"/>
      <c r="L35" s="67"/>
      <c r="M35" s="67"/>
    </row>
    <row r="36" spans="1:13" ht="15.75" x14ac:dyDescent="0.25">
      <c r="B36" s="75"/>
      <c r="C36" s="76"/>
      <c r="D36" s="76"/>
      <c r="E36" s="76"/>
      <c r="F36" s="76"/>
      <c r="G36" s="76"/>
      <c r="H36" s="75"/>
      <c r="I36" s="67"/>
      <c r="J36" s="67"/>
      <c r="K36" s="67"/>
      <c r="L36" s="67"/>
      <c r="M36" s="67"/>
    </row>
    <row r="37" spans="1:13" ht="15.75" x14ac:dyDescent="0.25">
      <c r="B37" s="67"/>
      <c r="C37" s="77"/>
      <c r="D37" s="77"/>
      <c r="E37" s="77"/>
      <c r="F37" s="77"/>
      <c r="G37" s="77"/>
      <c r="H37" s="78"/>
      <c r="I37" s="67"/>
      <c r="J37" s="67"/>
      <c r="K37" s="67"/>
      <c r="L37" s="67"/>
      <c r="M37" s="67"/>
    </row>
    <row r="38" spans="1:13" ht="15.75" customHeight="1" x14ac:dyDescent="0.25">
      <c r="B38" s="290" t="s">
        <v>265</v>
      </c>
      <c r="C38" s="290"/>
      <c r="D38" s="290"/>
      <c r="E38" s="290"/>
      <c r="F38" s="290"/>
      <c r="G38" s="290"/>
      <c r="H38" s="290"/>
      <c r="I38" s="79"/>
      <c r="J38" s="79"/>
      <c r="K38" s="79"/>
      <c r="L38" s="79"/>
      <c r="M38" s="79"/>
    </row>
  </sheetData>
  <mergeCells count="12">
    <mergeCell ref="A3:H3"/>
    <mergeCell ref="A4:H4"/>
    <mergeCell ref="A5:H5"/>
    <mergeCell ref="A6:H6"/>
    <mergeCell ref="B9:H9"/>
    <mergeCell ref="B11:B12"/>
    <mergeCell ref="C11:D11"/>
    <mergeCell ref="F11:F12"/>
    <mergeCell ref="B35:H35"/>
    <mergeCell ref="B38:H38"/>
    <mergeCell ref="G11:G12"/>
    <mergeCell ref="H11:H12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68"/>
  <sheetViews>
    <sheetView showGridLines="0" workbookViewId="0">
      <selection activeCell="D36" sqref="D36"/>
    </sheetView>
  </sheetViews>
  <sheetFormatPr defaultRowHeight="11.25" x14ac:dyDescent="0.2"/>
  <cols>
    <col min="4" max="4" width="72.6640625" bestFit="1" customWidth="1"/>
    <col min="5" max="5" width="7.83203125" bestFit="1" customWidth="1"/>
    <col min="6" max="7" width="20.6640625" bestFit="1" customWidth="1"/>
    <col min="8" max="8" width="13.5" bestFit="1" customWidth="1"/>
  </cols>
  <sheetData>
    <row r="4" spans="2:11" ht="14.25" x14ac:dyDescent="0.2">
      <c r="D4" s="292" t="s">
        <v>103</v>
      </c>
      <c r="E4" s="292"/>
      <c r="F4" s="292"/>
      <c r="G4" s="292"/>
      <c r="H4" s="134"/>
      <c r="I4" s="134"/>
      <c r="J4" s="134"/>
      <c r="K4" s="134"/>
    </row>
    <row r="5" spans="2:11" ht="14.25" x14ac:dyDescent="0.2">
      <c r="D5" s="292" t="s">
        <v>104</v>
      </c>
      <c r="E5" s="292"/>
      <c r="F5" s="292"/>
      <c r="G5" s="292"/>
      <c r="H5" s="134"/>
      <c r="I5" s="134"/>
      <c r="J5" s="134"/>
      <c r="K5" s="134"/>
    </row>
    <row r="6" spans="2:11" ht="14.25" x14ac:dyDescent="0.2">
      <c r="D6" s="292" t="s">
        <v>264</v>
      </c>
      <c r="E6" s="292"/>
      <c r="F6" s="292"/>
      <c r="G6" s="292"/>
      <c r="H6" s="134"/>
      <c r="I6" s="134"/>
      <c r="J6" s="134"/>
      <c r="K6" s="134"/>
    </row>
    <row r="7" spans="2:11" ht="14.25" x14ac:dyDescent="0.2">
      <c r="B7" s="134"/>
      <c r="C7" s="134"/>
      <c r="D7" s="292" t="s">
        <v>107</v>
      </c>
      <c r="E7" s="292"/>
      <c r="F7" s="292"/>
      <c r="G7" s="292"/>
      <c r="H7" s="134"/>
    </row>
    <row r="8" spans="2:11" ht="15" x14ac:dyDescent="0.25">
      <c r="B8" s="4"/>
      <c r="C8" s="4"/>
      <c r="D8" s="7"/>
      <c r="E8" s="7"/>
      <c r="F8" s="7"/>
      <c r="G8" s="7"/>
      <c r="H8" s="4"/>
    </row>
    <row r="9" spans="2:11" ht="15" x14ac:dyDescent="0.25">
      <c r="B9" s="4"/>
      <c r="C9" s="4"/>
      <c r="D9" s="294" t="s">
        <v>144</v>
      </c>
      <c r="E9" s="294"/>
      <c r="F9" s="294"/>
      <c r="G9" s="294"/>
      <c r="H9" s="4"/>
    </row>
    <row r="10" spans="2:11" ht="15" x14ac:dyDescent="0.25">
      <c r="B10" s="4"/>
      <c r="C10" s="4"/>
      <c r="D10" s="39"/>
      <c r="E10" s="39"/>
      <c r="F10" s="39"/>
      <c r="G10" s="39"/>
      <c r="H10" s="4"/>
    </row>
    <row r="11" spans="2:11" ht="15" x14ac:dyDescent="0.25">
      <c r="B11" s="4"/>
      <c r="C11" s="4"/>
      <c r="D11" s="40"/>
      <c r="E11" s="40"/>
      <c r="F11" s="40"/>
      <c r="G11" s="40"/>
      <c r="H11" s="4"/>
    </row>
    <row r="12" spans="2:11" ht="15" x14ac:dyDescent="0.25">
      <c r="B12" s="4"/>
      <c r="C12" s="4"/>
      <c r="D12" s="41" t="s">
        <v>91</v>
      </c>
      <c r="E12" s="41" t="s">
        <v>109</v>
      </c>
      <c r="F12" s="133">
        <v>46022</v>
      </c>
      <c r="G12" s="133">
        <v>45657</v>
      </c>
      <c r="H12" s="4"/>
    </row>
    <row r="13" spans="2:11" ht="15" x14ac:dyDescent="0.25">
      <c r="B13" s="4"/>
      <c r="C13" s="4"/>
      <c r="D13" s="41" t="s">
        <v>145</v>
      </c>
      <c r="E13" s="41" t="s">
        <v>146</v>
      </c>
      <c r="F13" s="42">
        <f>F14+F15</f>
        <v>14018682.890000001</v>
      </c>
      <c r="G13" s="42">
        <f>G14+G15</f>
        <v>5537585.8399999999</v>
      </c>
      <c r="H13" s="4"/>
    </row>
    <row r="14" spans="2:11" ht="15" x14ac:dyDescent="0.25">
      <c r="B14" s="4"/>
      <c r="C14" s="4"/>
      <c r="D14" s="45" t="s">
        <v>276</v>
      </c>
      <c r="E14" s="45"/>
      <c r="F14" s="46">
        <v>5060015.1399999997</v>
      </c>
      <c r="G14" s="46">
        <v>4706324.6399999997</v>
      </c>
      <c r="H14" s="4"/>
    </row>
    <row r="15" spans="2:11" ht="15" x14ac:dyDescent="0.25">
      <c r="B15" s="4"/>
      <c r="C15" s="4"/>
      <c r="D15" s="45" t="s">
        <v>277</v>
      </c>
      <c r="E15" s="43"/>
      <c r="F15" s="44">
        <v>8958667.75</v>
      </c>
      <c r="G15" s="44">
        <v>831261.2</v>
      </c>
      <c r="H15" s="4"/>
    </row>
    <row r="16" spans="2:11" ht="15" x14ac:dyDescent="0.25">
      <c r="B16" s="4"/>
      <c r="C16" s="4"/>
      <c r="D16" s="7"/>
      <c r="E16" s="45"/>
      <c r="F16" s="46"/>
      <c r="G16" s="46"/>
      <c r="H16" s="4"/>
    </row>
    <row r="17" spans="2:8" ht="15" x14ac:dyDescent="0.25">
      <c r="B17" s="4"/>
      <c r="C17" s="4"/>
      <c r="D17" s="45"/>
      <c r="E17" s="45"/>
      <c r="F17" s="46"/>
      <c r="G17" s="46"/>
      <c r="H17" s="4"/>
    </row>
    <row r="18" spans="2:8" ht="15" x14ac:dyDescent="0.25">
      <c r="B18" s="4"/>
      <c r="C18" s="4"/>
      <c r="D18" s="47" t="s">
        <v>183</v>
      </c>
      <c r="E18" s="47" t="s">
        <v>146</v>
      </c>
      <c r="F18" s="48">
        <v>-1966186.9</v>
      </c>
      <c r="G18" s="48">
        <f>-670651.26-1098649.27</f>
        <v>-1769300.53</v>
      </c>
      <c r="H18" s="4"/>
    </row>
    <row r="19" spans="2:8" ht="15" x14ac:dyDescent="0.25">
      <c r="B19" s="4"/>
      <c r="C19" s="4"/>
      <c r="D19" s="45"/>
      <c r="E19" s="45"/>
      <c r="F19" s="46"/>
      <c r="G19" s="46"/>
      <c r="H19" s="4"/>
    </row>
    <row r="20" spans="2:8" ht="14.25" x14ac:dyDescent="0.2">
      <c r="B20" s="5"/>
      <c r="C20" s="5"/>
      <c r="D20" s="41" t="s">
        <v>147</v>
      </c>
      <c r="E20" s="41" t="s">
        <v>146</v>
      </c>
      <c r="F20" s="49">
        <f>F13+F18</f>
        <v>12052495.99</v>
      </c>
      <c r="G20" s="49">
        <f>G13+G18</f>
        <v>3768285.3099999996</v>
      </c>
      <c r="H20" s="5"/>
    </row>
    <row r="21" spans="2:8" ht="15" x14ac:dyDescent="0.25">
      <c r="B21" s="4"/>
      <c r="C21" s="4"/>
      <c r="D21" s="7"/>
      <c r="E21" s="7"/>
      <c r="F21" s="50"/>
      <c r="G21" s="50"/>
      <c r="H21" s="4"/>
    </row>
    <row r="22" spans="2:8" ht="15" x14ac:dyDescent="0.25">
      <c r="B22" s="4"/>
      <c r="C22" s="4"/>
      <c r="D22" s="41" t="s">
        <v>148</v>
      </c>
      <c r="E22" s="41" t="s">
        <v>149</v>
      </c>
      <c r="F22" s="49">
        <f>F23</f>
        <v>730456860.76999998</v>
      </c>
      <c r="G22" s="49">
        <f>G23</f>
        <v>447166814.75000006</v>
      </c>
      <c r="H22" s="4"/>
    </row>
    <row r="23" spans="2:8" ht="15" x14ac:dyDescent="0.25">
      <c r="B23" s="4"/>
      <c r="C23" s="4"/>
      <c r="D23" s="43" t="s">
        <v>150</v>
      </c>
      <c r="E23" s="43"/>
      <c r="F23" s="51">
        <f>SUM(F24:F26)</f>
        <v>730456860.76999998</v>
      </c>
      <c r="G23" s="51">
        <f>SUM(G24:G26)</f>
        <v>447166814.75000006</v>
      </c>
      <c r="H23" s="4"/>
    </row>
    <row r="24" spans="2:8" ht="15" x14ac:dyDescent="0.25">
      <c r="B24" s="4"/>
      <c r="C24" s="4"/>
      <c r="D24" s="7" t="s">
        <v>151</v>
      </c>
      <c r="E24" s="45"/>
      <c r="F24" s="46">
        <f>87791894.1</f>
        <v>87791894.099999994</v>
      </c>
      <c r="G24" s="46">
        <f>72678517.43-244265.69</f>
        <v>72434251.74000001</v>
      </c>
      <c r="H24" s="4"/>
    </row>
    <row r="25" spans="2:8" ht="15" x14ac:dyDescent="0.25">
      <c r="B25" s="4"/>
      <c r="C25" s="4"/>
      <c r="D25" s="7" t="s">
        <v>152</v>
      </c>
      <c r="E25" s="45"/>
      <c r="F25" s="46">
        <v>642018075.74000001</v>
      </c>
      <c r="G25" s="46">
        <v>373838867.16000003</v>
      </c>
      <c r="H25" s="4"/>
    </row>
    <row r="26" spans="2:8" ht="15" x14ac:dyDescent="0.25">
      <c r="B26" s="4"/>
      <c r="C26" s="4"/>
      <c r="D26" s="7" t="s">
        <v>153</v>
      </c>
      <c r="E26" s="45"/>
      <c r="F26" s="46">
        <v>646890.93000000005</v>
      </c>
      <c r="G26" s="46">
        <v>893695.85</v>
      </c>
      <c r="H26" s="4"/>
    </row>
    <row r="27" spans="2:8" ht="15" x14ac:dyDescent="0.25">
      <c r="B27" s="4"/>
      <c r="C27" s="4"/>
      <c r="D27" s="7"/>
      <c r="E27" s="45"/>
      <c r="F27" s="46"/>
      <c r="G27" s="46"/>
      <c r="H27" s="4"/>
    </row>
    <row r="28" spans="2:8" ht="15" x14ac:dyDescent="0.25">
      <c r="B28" s="4"/>
      <c r="C28" s="4"/>
      <c r="D28" s="41" t="s">
        <v>279</v>
      </c>
      <c r="E28" s="41" t="s">
        <v>154</v>
      </c>
      <c r="F28" s="49">
        <f>F30+F35</f>
        <v>-519752388.81999999</v>
      </c>
      <c r="G28" s="49">
        <f>G30+G35</f>
        <v>-288040889.19</v>
      </c>
      <c r="H28" s="4"/>
    </row>
    <row r="29" spans="2:8" ht="15" x14ac:dyDescent="0.25">
      <c r="B29" s="4"/>
      <c r="C29" s="4"/>
      <c r="D29" s="7"/>
      <c r="E29" s="45"/>
      <c r="F29" s="46"/>
      <c r="G29" s="46"/>
      <c r="H29" s="4"/>
    </row>
    <row r="30" spans="2:8" ht="15" x14ac:dyDescent="0.25">
      <c r="B30" s="4"/>
      <c r="C30" s="4"/>
      <c r="D30" s="41" t="s">
        <v>155</v>
      </c>
      <c r="E30" s="41" t="s">
        <v>156</v>
      </c>
      <c r="F30" s="49">
        <f>SUM(F31:F32)</f>
        <v>-451094659.12</v>
      </c>
      <c r="G30" s="49">
        <f>SUM(G31:G32)</f>
        <v>-227193703.99000001</v>
      </c>
      <c r="H30" s="4"/>
    </row>
    <row r="31" spans="2:8" ht="15" x14ac:dyDescent="0.25">
      <c r="B31" s="4"/>
      <c r="C31" s="4"/>
      <c r="D31" s="7" t="s">
        <v>157</v>
      </c>
      <c r="E31" s="45"/>
      <c r="F31" s="46">
        <v>-431922.2</v>
      </c>
      <c r="G31" s="46">
        <v>-766542.46</v>
      </c>
      <c r="H31" s="4"/>
    </row>
    <row r="32" spans="2:8" ht="15" x14ac:dyDescent="0.25">
      <c r="B32" s="4"/>
      <c r="C32" s="4"/>
      <c r="D32" s="7" t="s">
        <v>158</v>
      </c>
      <c r="E32" s="45"/>
      <c r="F32" s="46">
        <f>-4979.62-450657757.3</f>
        <v>-450662736.92000002</v>
      </c>
      <c r="G32" s="46">
        <v>-226427161.53</v>
      </c>
      <c r="H32" s="4"/>
    </row>
    <row r="33" spans="2:8" ht="15" x14ac:dyDescent="0.25">
      <c r="B33" s="4"/>
      <c r="C33" s="4"/>
      <c r="D33" s="7"/>
      <c r="E33" s="45"/>
      <c r="F33" s="46"/>
      <c r="G33" s="46"/>
      <c r="H33" s="4"/>
    </row>
    <row r="34" spans="2:8" ht="15" x14ac:dyDescent="0.25">
      <c r="B34" s="4"/>
      <c r="C34" s="4"/>
      <c r="D34" s="7"/>
      <c r="E34" s="45"/>
      <c r="F34" s="46"/>
      <c r="G34" s="46"/>
      <c r="H34" s="4"/>
    </row>
    <row r="35" spans="2:8" ht="14.25" customHeight="1" x14ac:dyDescent="0.25">
      <c r="B35" s="4"/>
      <c r="C35" s="4"/>
      <c r="D35" s="41" t="s">
        <v>280</v>
      </c>
      <c r="E35" s="41" t="s">
        <v>159</v>
      </c>
      <c r="F35" s="49">
        <f>SUM(F36:F40)</f>
        <v>-68657729.700000003</v>
      </c>
      <c r="G35" s="49">
        <f>SUM(G36:G40)</f>
        <v>-60847185.199999996</v>
      </c>
      <c r="H35" s="4"/>
    </row>
    <row r="36" spans="2:8" ht="14.25" customHeight="1" x14ac:dyDescent="0.25">
      <c r="B36" s="4"/>
      <c r="C36" s="4"/>
      <c r="D36" s="45" t="s">
        <v>160</v>
      </c>
      <c r="E36" s="45"/>
      <c r="F36" s="46">
        <v>-55841240.93</v>
      </c>
      <c r="G36" s="46">
        <v>-51702796.549999997</v>
      </c>
      <c r="H36" s="4"/>
    </row>
    <row r="37" spans="2:8" ht="14.25" customHeight="1" x14ac:dyDescent="0.25">
      <c r="B37" s="4"/>
      <c r="C37" s="4"/>
      <c r="D37" s="45" t="s">
        <v>161</v>
      </c>
      <c r="E37" s="45"/>
      <c r="F37" s="46">
        <v>-10311469.289999999</v>
      </c>
      <c r="G37" s="46">
        <v>-7716428.1799999997</v>
      </c>
      <c r="H37" s="4"/>
    </row>
    <row r="38" spans="2:8" ht="14.25" customHeight="1" x14ac:dyDescent="0.25">
      <c r="B38" s="4"/>
      <c r="C38" s="4"/>
      <c r="D38" s="45" t="s">
        <v>162</v>
      </c>
      <c r="E38" s="45"/>
      <c r="F38" s="46">
        <f>-63742.61-784288.42</f>
        <v>-848031.03</v>
      </c>
      <c r="G38" s="46">
        <f>-20604.17-723971.25</f>
        <v>-744575.42</v>
      </c>
      <c r="H38" s="4"/>
    </row>
    <row r="39" spans="2:8" ht="14.25" customHeight="1" x14ac:dyDescent="0.25">
      <c r="B39" s="4"/>
      <c r="C39" s="4"/>
      <c r="D39" s="45" t="s">
        <v>163</v>
      </c>
      <c r="E39" s="45"/>
      <c r="F39" s="46">
        <v>-1656988.45</v>
      </c>
      <c r="G39" s="46">
        <v>-683385.05</v>
      </c>
      <c r="H39" s="4"/>
    </row>
    <row r="40" spans="2:8" ht="14.25" customHeight="1" x14ac:dyDescent="0.25">
      <c r="B40" s="4"/>
      <c r="C40" s="4"/>
      <c r="D40" s="45"/>
      <c r="E40" s="45"/>
      <c r="F40" s="46"/>
      <c r="G40" s="46"/>
      <c r="H40" s="4"/>
    </row>
    <row r="41" spans="2:8" ht="14.25" customHeight="1" x14ac:dyDescent="0.25">
      <c r="B41" s="4"/>
      <c r="C41" s="4"/>
      <c r="D41" s="7"/>
      <c r="E41" s="7"/>
      <c r="F41" s="50"/>
      <c r="G41" s="50"/>
      <c r="H41" s="4"/>
    </row>
    <row r="42" spans="2:8" ht="14.25" customHeight="1" x14ac:dyDescent="0.25">
      <c r="B42" s="4"/>
      <c r="C42" s="4"/>
      <c r="D42" s="45"/>
      <c r="E42" s="45"/>
      <c r="F42" s="46"/>
      <c r="G42" s="46"/>
      <c r="H42" s="4"/>
    </row>
    <row r="43" spans="2:8" ht="14.25" customHeight="1" x14ac:dyDescent="0.2">
      <c r="B43" s="5"/>
      <c r="C43" s="5"/>
      <c r="D43" s="295" t="s">
        <v>164</v>
      </c>
      <c r="E43" s="296"/>
      <c r="F43" s="49">
        <f>F20+F22+F28</f>
        <v>222756967.94</v>
      </c>
      <c r="G43" s="49">
        <f>G20+G22+G28</f>
        <v>162894210.87000006</v>
      </c>
      <c r="H43" s="5"/>
    </row>
    <row r="44" spans="2:8" ht="14.25" customHeight="1" x14ac:dyDescent="0.25">
      <c r="B44" s="4"/>
      <c r="C44" s="4"/>
      <c r="D44" s="7"/>
      <c r="E44" s="7"/>
      <c r="F44" s="50"/>
      <c r="G44" s="50"/>
      <c r="H44" s="4"/>
    </row>
    <row r="45" spans="2:8" ht="14.25" customHeight="1" x14ac:dyDescent="0.2">
      <c r="B45" s="5"/>
      <c r="C45" s="5"/>
      <c r="D45" s="41" t="s">
        <v>165</v>
      </c>
      <c r="E45" s="41" t="s">
        <v>166</v>
      </c>
      <c r="F45" s="49">
        <f>SUM(F46:F50)</f>
        <v>-24323639.059999999</v>
      </c>
      <c r="G45" s="49">
        <f>SUM(G46:G50)</f>
        <v>-16849557.109999999</v>
      </c>
      <c r="H45" s="5"/>
    </row>
    <row r="46" spans="2:8" ht="15" x14ac:dyDescent="0.25">
      <c r="B46" s="4"/>
      <c r="C46" s="4"/>
      <c r="D46" s="45" t="s">
        <v>167</v>
      </c>
      <c r="E46" s="45"/>
      <c r="F46" s="46">
        <v>-14977282.460000001</v>
      </c>
      <c r="G46" s="46">
        <v>-13477398.65</v>
      </c>
      <c r="H46" s="4"/>
    </row>
    <row r="47" spans="2:8" ht="15" x14ac:dyDescent="0.25">
      <c r="B47" s="4"/>
      <c r="C47" s="4"/>
      <c r="D47" s="45" t="s">
        <v>168</v>
      </c>
      <c r="E47" s="45"/>
      <c r="F47" s="46">
        <v>-3228497.41</v>
      </c>
      <c r="G47" s="46">
        <v>-2461170.06</v>
      </c>
      <c r="H47" s="4"/>
    </row>
    <row r="48" spans="2:8" ht="15" x14ac:dyDescent="0.25">
      <c r="B48" s="4"/>
      <c r="C48" s="4"/>
      <c r="D48" s="45" t="s">
        <v>169</v>
      </c>
      <c r="E48" s="45"/>
      <c r="F48" s="46">
        <f>-304350.64-2308881.95</f>
        <v>-2613232.5900000003</v>
      </c>
      <c r="G48" s="46">
        <v>-822530.46</v>
      </c>
      <c r="H48" s="4"/>
    </row>
    <row r="49" spans="2:8" ht="15" x14ac:dyDescent="0.25">
      <c r="B49" s="4"/>
      <c r="C49" s="4"/>
      <c r="D49" s="45" t="s">
        <v>170</v>
      </c>
      <c r="E49" s="45"/>
      <c r="F49" s="46">
        <v>-382389.04</v>
      </c>
      <c r="G49" s="46">
        <v>-143256.18</v>
      </c>
      <c r="H49" s="4"/>
    </row>
    <row r="50" spans="2:8" ht="15" x14ac:dyDescent="0.25">
      <c r="B50" s="4"/>
      <c r="C50" s="4"/>
      <c r="D50" s="45" t="s">
        <v>171</v>
      </c>
      <c r="E50" s="45"/>
      <c r="F50" s="46">
        <f>1731887.71-4854125.27</f>
        <v>-3122237.5599999996</v>
      </c>
      <c r="G50" s="46">
        <f>-3021932.55+3076730.79</f>
        <v>54798.240000000224</v>
      </c>
      <c r="H50" s="4"/>
    </row>
    <row r="51" spans="2:8" ht="15" x14ac:dyDescent="0.25">
      <c r="B51" s="4"/>
      <c r="C51" s="4"/>
      <c r="D51" s="7"/>
      <c r="E51" s="7"/>
      <c r="F51" s="50"/>
      <c r="G51" s="50"/>
      <c r="H51" s="4"/>
    </row>
    <row r="52" spans="2:8" ht="15" x14ac:dyDescent="0.25">
      <c r="B52" s="4"/>
      <c r="C52" s="4"/>
      <c r="D52" s="295" t="s">
        <v>172</v>
      </c>
      <c r="E52" s="296"/>
      <c r="F52" s="49">
        <f>F43+F45</f>
        <v>198433328.88</v>
      </c>
      <c r="G52" s="49">
        <f>G43+G45</f>
        <v>146044653.76000005</v>
      </c>
      <c r="H52" s="4"/>
    </row>
    <row r="53" spans="2:8" ht="15" x14ac:dyDescent="0.25">
      <c r="B53" s="4"/>
      <c r="C53" s="4"/>
      <c r="D53" s="7"/>
      <c r="E53" s="7"/>
      <c r="F53" s="50"/>
      <c r="G53" s="50"/>
      <c r="H53" s="4"/>
    </row>
    <row r="54" spans="2:8" ht="14.25" x14ac:dyDescent="0.2">
      <c r="B54" s="5"/>
      <c r="C54" s="5"/>
      <c r="D54" s="41" t="s">
        <v>173</v>
      </c>
      <c r="E54" s="41" t="s">
        <v>174</v>
      </c>
      <c r="F54" s="49">
        <f>F55+F56</f>
        <v>1573094.36</v>
      </c>
      <c r="G54" s="49">
        <f>G55+G56</f>
        <v>905982.8899999999</v>
      </c>
      <c r="H54" s="5"/>
    </row>
    <row r="55" spans="2:8" ht="15" x14ac:dyDescent="0.25">
      <c r="B55" s="4"/>
      <c r="C55" s="4"/>
      <c r="D55" s="45" t="s">
        <v>74</v>
      </c>
      <c r="E55" s="45"/>
      <c r="F55" s="46">
        <v>1612747.01</v>
      </c>
      <c r="G55" s="46">
        <v>1037746.59</v>
      </c>
      <c r="H55" s="4"/>
    </row>
    <row r="56" spans="2:8" ht="15" x14ac:dyDescent="0.25">
      <c r="B56" s="4"/>
      <c r="C56" s="4"/>
      <c r="D56" s="45" t="s">
        <v>175</v>
      </c>
      <c r="E56" s="45"/>
      <c r="F56" s="46">
        <v>-39652.65</v>
      </c>
      <c r="G56" s="46">
        <v>-131763.70000000001</v>
      </c>
      <c r="H56" s="4"/>
    </row>
    <row r="57" spans="2:8" ht="15" x14ac:dyDescent="0.25">
      <c r="B57" s="4"/>
      <c r="C57" s="4"/>
      <c r="D57" s="45"/>
      <c r="E57" s="45"/>
      <c r="F57" s="51"/>
      <c r="G57" s="51"/>
      <c r="H57" s="4"/>
    </row>
    <row r="58" spans="2:8" ht="15" x14ac:dyDescent="0.25">
      <c r="B58" s="4"/>
      <c r="C58" s="4"/>
      <c r="D58" s="295" t="s">
        <v>176</v>
      </c>
      <c r="E58" s="296"/>
      <c r="F58" s="49">
        <f>F52+F54</f>
        <v>200006423.24000001</v>
      </c>
      <c r="G58" s="49">
        <f>G52+G54</f>
        <v>146950636.65000004</v>
      </c>
      <c r="H58" s="123"/>
    </row>
    <row r="59" spans="2:8" ht="15" x14ac:dyDescent="0.25">
      <c r="B59" s="4"/>
      <c r="C59" s="4"/>
      <c r="D59" s="43"/>
      <c r="E59" s="43"/>
      <c r="F59" s="51"/>
      <c r="G59" s="51"/>
      <c r="H59" s="4"/>
    </row>
    <row r="60" spans="2:8" ht="15" x14ac:dyDescent="0.25">
      <c r="B60" s="4"/>
      <c r="C60" s="4"/>
      <c r="D60" s="295" t="s">
        <v>177</v>
      </c>
      <c r="E60" s="296"/>
      <c r="F60" s="49">
        <f>F61+F62</f>
        <v>0</v>
      </c>
      <c r="G60" s="49">
        <f>G61+G62</f>
        <v>0</v>
      </c>
      <c r="H60" s="4"/>
    </row>
    <row r="61" spans="2:8" ht="15" x14ac:dyDescent="0.25">
      <c r="B61" s="4"/>
      <c r="C61" s="4"/>
      <c r="D61" s="45" t="s">
        <v>178</v>
      </c>
      <c r="E61" s="45"/>
      <c r="F61" s="46">
        <v>0</v>
      </c>
      <c r="G61" s="46">
        <v>0</v>
      </c>
      <c r="H61" s="4"/>
    </row>
    <row r="62" spans="2:8" ht="15" x14ac:dyDescent="0.25">
      <c r="B62" s="4"/>
      <c r="C62" s="4"/>
      <c r="D62" s="45" t="s">
        <v>179</v>
      </c>
      <c r="E62" s="45"/>
      <c r="F62" s="46">
        <v>0</v>
      </c>
      <c r="G62" s="46">
        <v>0</v>
      </c>
      <c r="H62" s="4"/>
    </row>
    <row r="63" spans="2:8" ht="15" x14ac:dyDescent="0.25">
      <c r="B63" s="4"/>
      <c r="C63" s="4"/>
      <c r="D63" s="45"/>
      <c r="E63" s="45"/>
      <c r="F63" s="51"/>
      <c r="G63" s="51"/>
      <c r="H63" s="4"/>
    </row>
    <row r="64" spans="2:8" ht="15" x14ac:dyDescent="0.25">
      <c r="B64" s="4"/>
      <c r="C64" s="4"/>
      <c r="D64" s="53" t="s">
        <v>180</v>
      </c>
      <c r="E64" s="53" t="s">
        <v>181</v>
      </c>
      <c r="F64" s="12">
        <f>F58</f>
        <v>200006423.24000001</v>
      </c>
      <c r="G64" s="12">
        <f>G58</f>
        <v>146950636.65000004</v>
      </c>
      <c r="H64" s="4"/>
    </row>
    <row r="65" spans="2:8" ht="15" x14ac:dyDescent="0.25">
      <c r="B65" s="4"/>
      <c r="C65" s="4"/>
      <c r="D65" s="7"/>
      <c r="E65" s="7"/>
      <c r="F65" s="80"/>
      <c r="G65" s="52"/>
      <c r="H65" s="4"/>
    </row>
    <row r="66" spans="2:8" ht="15" x14ac:dyDescent="0.25">
      <c r="B66" s="4"/>
      <c r="C66" s="4"/>
      <c r="D66" s="297" t="s">
        <v>182</v>
      </c>
      <c r="E66" s="297"/>
      <c r="F66" s="297"/>
      <c r="G66" s="297"/>
      <c r="H66" s="6"/>
    </row>
    <row r="67" spans="2:8" ht="15" x14ac:dyDescent="0.25">
      <c r="B67" s="4"/>
      <c r="C67" s="4"/>
      <c r="D67" s="7"/>
      <c r="E67" s="7"/>
      <c r="F67" s="7"/>
      <c r="G67" s="52"/>
      <c r="H67" s="4"/>
    </row>
    <row r="68" spans="2:8" ht="15" x14ac:dyDescent="0.25">
      <c r="B68" s="4"/>
      <c r="C68" s="4"/>
      <c r="D68" s="293" t="s">
        <v>265</v>
      </c>
      <c r="E68" s="293"/>
      <c r="F68" s="293"/>
      <c r="G68" s="293"/>
      <c r="H68" s="293"/>
    </row>
  </sheetData>
  <mergeCells count="11">
    <mergeCell ref="D4:G4"/>
    <mergeCell ref="D6:G6"/>
    <mergeCell ref="D5:G5"/>
    <mergeCell ref="D7:G7"/>
    <mergeCell ref="D68:H68"/>
    <mergeCell ref="D9:G9"/>
    <mergeCell ref="D43:E43"/>
    <mergeCell ref="D52:E52"/>
    <mergeCell ref="D58:E58"/>
    <mergeCell ref="D60:E60"/>
    <mergeCell ref="D66:G66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64"/>
  <sheetViews>
    <sheetView showGridLines="0" workbookViewId="0">
      <selection activeCell="B4" sqref="B4:E4"/>
    </sheetView>
  </sheetViews>
  <sheetFormatPr defaultRowHeight="11.25" x14ac:dyDescent="0.2"/>
  <cols>
    <col min="2" max="2" width="77.6640625" bestFit="1" customWidth="1"/>
    <col min="3" max="3" width="25.33203125" customWidth="1"/>
    <col min="4" max="5" width="20.6640625" bestFit="1" customWidth="1"/>
    <col min="6" max="6" width="21.6640625" style="131" bestFit="1" customWidth="1"/>
  </cols>
  <sheetData>
    <row r="4" spans="1:6" ht="15.75" x14ac:dyDescent="0.25">
      <c r="A4" s="93"/>
      <c r="B4" s="299" t="s">
        <v>103</v>
      </c>
      <c r="C4" s="299"/>
      <c r="D4" s="299"/>
      <c r="E4" s="299"/>
      <c r="F4" s="93"/>
    </row>
    <row r="5" spans="1:6" ht="15.75" x14ac:dyDescent="0.25">
      <c r="A5" s="93"/>
      <c r="B5" s="299" t="s">
        <v>104</v>
      </c>
      <c r="C5" s="299"/>
      <c r="D5" s="299"/>
      <c r="E5" s="299"/>
      <c r="F5" s="93"/>
    </row>
    <row r="6" spans="1:6" ht="15.75" x14ac:dyDescent="0.25">
      <c r="A6" s="93"/>
      <c r="B6" s="299" t="s">
        <v>264</v>
      </c>
      <c r="C6" s="299"/>
      <c r="D6" s="299"/>
      <c r="E6" s="299"/>
      <c r="F6" s="93"/>
    </row>
    <row r="7" spans="1:6" ht="15.75" x14ac:dyDescent="0.2">
      <c r="A7" s="136"/>
      <c r="B7" s="300" t="s">
        <v>107</v>
      </c>
      <c r="C7" s="300"/>
      <c r="D7" s="300"/>
      <c r="E7" s="300"/>
      <c r="F7" s="136"/>
    </row>
    <row r="8" spans="1:6" ht="15.75" x14ac:dyDescent="0.2">
      <c r="A8" s="81"/>
      <c r="B8" s="81"/>
      <c r="C8" s="81"/>
      <c r="D8" s="82"/>
      <c r="E8" s="81"/>
      <c r="F8" s="125"/>
    </row>
    <row r="9" spans="1:6" ht="15.75" x14ac:dyDescent="0.25">
      <c r="A9" s="83"/>
      <c r="B9" s="303" t="s">
        <v>191</v>
      </c>
      <c r="C9" s="303"/>
      <c r="D9" s="303"/>
      <c r="E9" s="303"/>
      <c r="F9" s="126"/>
    </row>
    <row r="10" spans="1:6" ht="15.75" x14ac:dyDescent="0.25">
      <c r="A10" s="83"/>
      <c r="B10" s="84"/>
      <c r="C10" s="85"/>
      <c r="D10" s="86"/>
      <c r="E10" s="87"/>
      <c r="F10" s="127"/>
    </row>
    <row r="11" spans="1:6" ht="15.75" x14ac:dyDescent="0.25">
      <c r="A11" s="88"/>
      <c r="B11" s="157" t="s">
        <v>91</v>
      </c>
      <c r="C11" s="158" t="s">
        <v>109</v>
      </c>
      <c r="D11" s="133">
        <v>46022</v>
      </c>
      <c r="E11" s="133">
        <v>45657</v>
      </c>
      <c r="F11" s="128"/>
    </row>
    <row r="12" spans="1:6" ht="15.75" x14ac:dyDescent="0.25">
      <c r="A12" s="83"/>
      <c r="B12" s="89"/>
      <c r="C12" s="89"/>
      <c r="D12" s="90"/>
      <c r="E12" s="91"/>
      <c r="F12" s="128"/>
    </row>
    <row r="13" spans="1:6" ht="15.75" x14ac:dyDescent="0.25">
      <c r="A13" s="83"/>
      <c r="B13" s="137" t="s">
        <v>192</v>
      </c>
      <c r="C13" s="137" t="s">
        <v>193</v>
      </c>
      <c r="D13" s="138"/>
      <c r="E13" s="135"/>
      <c r="F13" s="124"/>
    </row>
    <row r="14" spans="1:6" ht="15.75" x14ac:dyDescent="0.25">
      <c r="A14" s="83"/>
      <c r="B14" s="135" t="s">
        <v>194</v>
      </c>
      <c r="C14" s="135"/>
      <c r="D14" s="139">
        <f>DRE!F64</f>
        <v>200006423.24000001</v>
      </c>
      <c r="E14" s="140">
        <f>DRE!G64</f>
        <v>146950636.65000004</v>
      </c>
      <c r="F14" s="124"/>
    </row>
    <row r="15" spans="1:6" ht="15.75" x14ac:dyDescent="0.25">
      <c r="A15" s="88"/>
      <c r="B15" s="141" t="s">
        <v>195</v>
      </c>
      <c r="C15" s="141"/>
      <c r="D15" s="142">
        <f>D16</f>
        <v>1918094.62</v>
      </c>
      <c r="E15" s="142">
        <f>E16</f>
        <v>1356535.16</v>
      </c>
      <c r="F15" s="128"/>
    </row>
    <row r="16" spans="1:6" ht="15.75" x14ac:dyDescent="0.25">
      <c r="A16" s="92"/>
      <c r="B16" s="135" t="s">
        <v>196</v>
      </c>
      <c r="C16" s="135"/>
      <c r="D16" s="139">
        <v>1918094.62</v>
      </c>
      <c r="E16" s="140">
        <v>1356535.16</v>
      </c>
      <c r="F16" s="124"/>
    </row>
    <row r="17" spans="1:6" ht="15.75" x14ac:dyDescent="0.25">
      <c r="A17" s="83"/>
      <c r="B17" s="141" t="s">
        <v>197</v>
      </c>
      <c r="C17" s="141"/>
      <c r="D17" s="142">
        <f>SUM(D18:D32)</f>
        <v>98897265.430000007</v>
      </c>
      <c r="E17" s="142">
        <f>SUM(E18:E32)</f>
        <v>-131561854.33000006</v>
      </c>
      <c r="F17" s="124"/>
    </row>
    <row r="18" spans="1:6" ht="15.75" x14ac:dyDescent="0.25">
      <c r="A18" s="83"/>
      <c r="B18" s="135" t="s">
        <v>263</v>
      </c>
      <c r="C18" s="135"/>
      <c r="D18" s="139">
        <f>'Balanço Patrimonial'!E18-'Balanço Patrimonial'!D18</f>
        <v>-21943.739999999991</v>
      </c>
      <c r="E18" s="140">
        <f>-391399.9+404284.69</f>
        <v>12884.789999999979</v>
      </c>
      <c r="F18" s="124"/>
    </row>
    <row r="19" spans="1:6" ht="15.75" x14ac:dyDescent="0.25">
      <c r="A19" s="83"/>
      <c r="B19" s="135" t="s">
        <v>198</v>
      </c>
      <c r="C19" s="135"/>
      <c r="D19" s="139">
        <f>'Balanço Patrimonial'!E19-'Balanço Patrimonial'!D19</f>
        <v>929214.59000000078</v>
      </c>
      <c r="E19" s="140">
        <f>-8573488.46+10002080.36</f>
        <v>1428591.8999999985</v>
      </c>
      <c r="F19" s="124"/>
    </row>
    <row r="20" spans="1:6" ht="15.75" x14ac:dyDescent="0.25">
      <c r="A20" s="83"/>
      <c r="B20" s="135" t="s">
        <v>199</v>
      </c>
      <c r="C20" s="135"/>
      <c r="D20" s="139">
        <f>'Balanço Patrimonial'!E20-'Balanço Patrimonial'!D20</f>
        <v>-37948.020000000019</v>
      </c>
      <c r="E20" s="140">
        <f>-399128.31+322673.58</f>
        <v>-76454.729999999981</v>
      </c>
      <c r="F20" s="124"/>
    </row>
    <row r="21" spans="1:6" ht="15.75" x14ac:dyDescent="0.25">
      <c r="A21" s="83"/>
      <c r="B21" s="135" t="s">
        <v>200</v>
      </c>
      <c r="C21" s="135"/>
      <c r="D21" s="139">
        <f>'Balanço Patrimonial'!E21-'Balanço Patrimonial'!D21</f>
        <v>-59757.369999999995</v>
      </c>
      <c r="E21" s="140">
        <f>-443064.49+347761.64</f>
        <v>-95302.849999999977</v>
      </c>
      <c r="F21" s="124"/>
    </row>
    <row r="22" spans="1:6" ht="15.75" x14ac:dyDescent="0.25">
      <c r="A22" s="83"/>
      <c r="B22" s="143" t="s">
        <v>201</v>
      </c>
      <c r="C22" s="143"/>
      <c r="D22" s="139">
        <f>'Balanço Patrimonial'!E22-'Balanço Patrimonial'!D22</f>
        <v>8988.41</v>
      </c>
      <c r="E22" s="140">
        <f>-8988.41+8993.55</f>
        <v>5.1399999999994179</v>
      </c>
      <c r="F22" s="124"/>
    </row>
    <row r="23" spans="1:6" ht="15.75" x14ac:dyDescent="0.25">
      <c r="A23" s="83"/>
      <c r="B23" s="135" t="s">
        <v>202</v>
      </c>
      <c r="C23" s="135"/>
      <c r="D23" s="139">
        <f>'Balanço Patrimonial'!E23-'Balanço Patrimonial'!D23</f>
        <v>9529.9499999999971</v>
      </c>
      <c r="E23" s="140">
        <f>-105608.83+67070.7</f>
        <v>-38538.130000000005</v>
      </c>
      <c r="F23" s="124"/>
    </row>
    <row r="24" spans="1:6" ht="15.75" x14ac:dyDescent="0.25">
      <c r="A24" s="83"/>
      <c r="B24" s="143" t="s">
        <v>203</v>
      </c>
      <c r="C24" s="143"/>
      <c r="D24" s="139">
        <f>'Balanço Patrimonial'!J16-'Balanço Patrimonial'!K16</f>
        <v>83467.809999999983</v>
      </c>
      <c r="E24" s="140">
        <v>-47459.25</v>
      </c>
      <c r="F24" s="124"/>
    </row>
    <row r="25" spans="1:6" ht="15.75" x14ac:dyDescent="0.25">
      <c r="A25" s="83"/>
      <c r="B25" s="143" t="s">
        <v>204</v>
      </c>
      <c r="C25" s="143"/>
      <c r="D25" s="139">
        <f>'Balanço Patrimonial'!J17-'Balanço Patrimonial'!K17</f>
        <v>1890926.7900000003</v>
      </c>
      <c r="E25" s="140">
        <f>532490.97-1688717.03</f>
        <v>-1156226.06</v>
      </c>
      <c r="F25" s="124"/>
    </row>
    <row r="26" spans="1:6" ht="15.75" x14ac:dyDescent="0.25">
      <c r="A26" s="83"/>
      <c r="B26" s="143" t="s">
        <v>205</v>
      </c>
      <c r="C26" s="143"/>
      <c r="D26" s="139">
        <f>'Balanço Patrimonial'!J18-'Balanço Patrimonial'!K18</f>
        <v>1470591.24</v>
      </c>
      <c r="E26" s="140">
        <f>142469.06-88490.61</f>
        <v>53978.45</v>
      </c>
      <c r="F26" s="124"/>
    </row>
    <row r="27" spans="1:6" ht="15.75" x14ac:dyDescent="0.25">
      <c r="A27" s="83"/>
      <c r="B27" s="135" t="s">
        <v>206</v>
      </c>
      <c r="C27" s="135"/>
      <c r="D27" s="139">
        <f>'Balanço Patrimonial'!J19-'Balanço Patrimonial'!K19</f>
        <v>1925534.58</v>
      </c>
      <c r="E27" s="140">
        <f>1135742.17-1114304.6</f>
        <v>21437.569999999832</v>
      </c>
      <c r="F27" s="124"/>
    </row>
    <row r="28" spans="1:6" ht="15.75" x14ac:dyDescent="0.25">
      <c r="A28" s="83"/>
      <c r="B28" s="135" t="s">
        <v>207</v>
      </c>
      <c r="C28" s="135"/>
      <c r="D28" s="139">
        <v>0</v>
      </c>
      <c r="E28" s="140">
        <v>-78411.320000000007</v>
      </c>
      <c r="F28" s="124"/>
    </row>
    <row r="29" spans="1:6" ht="15.75" x14ac:dyDescent="0.25">
      <c r="A29" s="83"/>
      <c r="B29" s="135" t="s">
        <v>208</v>
      </c>
      <c r="C29" s="135"/>
      <c r="D29" s="139">
        <f>'Balanço Patrimonial'!J20-'Balanço Patrimonial'!K20</f>
        <v>646554.08000000007</v>
      </c>
      <c r="E29" s="140">
        <f>6273793.41-4949438.74</f>
        <v>1324354.67</v>
      </c>
      <c r="F29" s="124"/>
    </row>
    <row r="30" spans="1:6" ht="15.75" x14ac:dyDescent="0.25">
      <c r="A30" s="83"/>
      <c r="B30" s="135" t="s">
        <v>209</v>
      </c>
      <c r="C30" s="135"/>
      <c r="D30" s="139">
        <f>'Balanço Patrimonial'!J21-'Balanço Patrimonial'!K21</f>
        <v>91791749.650000006</v>
      </c>
      <c r="E30" s="140">
        <f>159913896.67-292343011.91</f>
        <v>-132429115.24000004</v>
      </c>
      <c r="F30" s="124"/>
    </row>
    <row r="31" spans="1:6" ht="15.75" x14ac:dyDescent="0.25">
      <c r="A31" s="83"/>
      <c r="B31" s="135" t="s">
        <v>210</v>
      </c>
      <c r="C31" s="135"/>
      <c r="D31" s="139">
        <v>0</v>
      </c>
      <c r="E31" s="140">
        <f>-1483.37</f>
        <v>-1483.37</v>
      </c>
      <c r="F31" s="124"/>
    </row>
    <row r="32" spans="1:6" ht="15.75" x14ac:dyDescent="0.25">
      <c r="A32" s="83"/>
      <c r="B32" s="135" t="s">
        <v>211</v>
      </c>
      <c r="C32" s="135"/>
      <c r="D32" s="139">
        <f>'Balanço Patrimonial'!J22-'Balanço Patrimonial'!K22</f>
        <v>260357.45999999996</v>
      </c>
      <c r="E32" s="140">
        <f>4427110.7-4907226.6</f>
        <v>-480115.89999999944</v>
      </c>
      <c r="F32" s="124"/>
    </row>
    <row r="33" spans="1:6" ht="15.75" x14ac:dyDescent="0.25">
      <c r="A33" s="83"/>
      <c r="B33" s="301" t="s">
        <v>212</v>
      </c>
      <c r="C33" s="302"/>
      <c r="D33" s="144">
        <f>D14+D15+D17</f>
        <v>300821783.29000002</v>
      </c>
      <c r="E33" s="144">
        <f>E14+E15+E17</f>
        <v>16745317.479999974</v>
      </c>
      <c r="F33" s="124"/>
    </row>
    <row r="34" spans="1:6" ht="15.75" x14ac:dyDescent="0.25">
      <c r="A34" s="83"/>
      <c r="B34" s="145"/>
      <c r="C34" s="145"/>
      <c r="D34" s="146"/>
      <c r="E34" s="147"/>
      <c r="F34" s="124"/>
    </row>
    <row r="35" spans="1:6" ht="15.75" x14ac:dyDescent="0.25">
      <c r="A35" s="83"/>
      <c r="B35" s="145"/>
      <c r="C35" s="145"/>
      <c r="D35" s="146"/>
      <c r="E35" s="147"/>
      <c r="F35" s="124"/>
    </row>
    <row r="36" spans="1:6" ht="15.75" x14ac:dyDescent="0.25">
      <c r="A36" s="83"/>
      <c r="B36" s="137" t="s">
        <v>213</v>
      </c>
      <c r="C36" s="137" t="s">
        <v>214</v>
      </c>
      <c r="D36" s="138"/>
      <c r="E36" s="139"/>
      <c r="F36" s="124"/>
    </row>
    <row r="37" spans="1:6" ht="15.75" x14ac:dyDescent="0.25">
      <c r="A37" s="83"/>
      <c r="B37" s="135" t="s">
        <v>274</v>
      </c>
      <c r="C37" s="135"/>
      <c r="D37" s="139">
        <f>-1123968.32-2703499.3</f>
        <v>-3827467.62</v>
      </c>
      <c r="E37" s="140">
        <f>-49506.7-2795505.12</f>
        <v>-2845011.8200000003</v>
      </c>
      <c r="F37" s="124"/>
    </row>
    <row r="38" spans="1:6" ht="15.75" x14ac:dyDescent="0.25">
      <c r="A38" s="83"/>
      <c r="B38" s="135" t="s">
        <v>215</v>
      </c>
      <c r="C38" s="135"/>
      <c r="D38" s="139">
        <f>226251.23-215496.28</f>
        <v>10754.950000000012</v>
      </c>
      <c r="E38" s="140">
        <v>0</v>
      </c>
      <c r="F38" s="124"/>
    </row>
    <row r="39" spans="1:6" ht="15.75" x14ac:dyDescent="0.25">
      <c r="A39" s="83"/>
      <c r="B39" s="301" t="s">
        <v>216</v>
      </c>
      <c r="C39" s="302"/>
      <c r="D39" s="144">
        <f>SUM(D37:D38)</f>
        <v>-3816712.67</v>
      </c>
      <c r="E39" s="144">
        <f>SUM(E37:E38)</f>
        <v>-2845011.8200000003</v>
      </c>
      <c r="F39" s="124"/>
    </row>
    <row r="40" spans="1:6" ht="15.75" x14ac:dyDescent="0.25">
      <c r="A40" s="83"/>
      <c r="B40" s="145"/>
      <c r="C40" s="145"/>
      <c r="D40" s="146"/>
      <c r="E40" s="147"/>
      <c r="F40" s="124"/>
    </row>
    <row r="41" spans="1:6" ht="15.75" x14ac:dyDescent="0.25">
      <c r="A41" s="83"/>
      <c r="B41" s="145"/>
      <c r="C41" s="145"/>
      <c r="D41" s="146"/>
      <c r="E41" s="147"/>
      <c r="F41" s="124"/>
    </row>
    <row r="42" spans="1:6" ht="15.75" x14ac:dyDescent="0.25">
      <c r="A42" s="83"/>
      <c r="B42" s="137" t="s">
        <v>217</v>
      </c>
      <c r="C42" s="137" t="s">
        <v>218</v>
      </c>
      <c r="D42" s="148"/>
      <c r="E42" s="139"/>
      <c r="F42" s="124"/>
    </row>
    <row r="43" spans="1:6" ht="15.75" x14ac:dyDescent="0.25">
      <c r="A43" s="83"/>
      <c r="B43" s="135" t="s">
        <v>219</v>
      </c>
      <c r="C43" s="135"/>
      <c r="D43" s="139">
        <f>'Balanço Patrimonial'!E28-'Balanço Patrimonial'!D28</f>
        <v>40664.28</v>
      </c>
      <c r="E43" s="140">
        <f>-91991.72+124608.88</f>
        <v>32617.160000000003</v>
      </c>
      <c r="F43" s="124"/>
    </row>
    <row r="44" spans="1:6" ht="15.75" x14ac:dyDescent="0.25">
      <c r="A44" s="83"/>
      <c r="B44" s="135" t="s">
        <v>262</v>
      </c>
      <c r="C44" s="135"/>
      <c r="D44" s="139">
        <f>'Balanço Patrimonial'!E30-'Balanço Patrimonial'!D30</f>
        <v>429809.70000000007</v>
      </c>
      <c r="E44" s="140">
        <v>0</v>
      </c>
      <c r="F44" s="124"/>
    </row>
    <row r="45" spans="1:6" ht="15.75" x14ac:dyDescent="0.25">
      <c r="A45" s="83"/>
      <c r="B45" s="135" t="s">
        <v>220</v>
      </c>
      <c r="C45" s="135"/>
      <c r="D45" s="139">
        <f>'Balanço Patrimonial'!E31-'Balanço Patrimonial'!D31</f>
        <v>93339.35999999987</v>
      </c>
      <c r="E45" s="140">
        <f>-2213981.33+2224352.37</f>
        <v>10371.040000000037</v>
      </c>
      <c r="F45" s="124"/>
    </row>
    <row r="46" spans="1:6" ht="15.75" x14ac:dyDescent="0.25">
      <c r="A46" s="83"/>
      <c r="B46" s="135" t="s">
        <v>221</v>
      </c>
      <c r="C46" s="135"/>
      <c r="D46" s="139">
        <f>'Balanço Patrimonial'!E32-'Balanço Patrimonial'!D32</f>
        <v>-40625.070000000007</v>
      </c>
      <c r="E46" s="140">
        <f>-332902.37+994457.27</f>
        <v>661554.9</v>
      </c>
      <c r="F46" s="124"/>
    </row>
    <row r="47" spans="1:6" ht="15.75" x14ac:dyDescent="0.25">
      <c r="A47" s="83"/>
      <c r="B47" s="135" t="s">
        <v>222</v>
      </c>
      <c r="C47" s="135"/>
      <c r="D47" s="139">
        <f>'Balanço Patrimonial'!E33-'Balanço Patrimonial'!D33</f>
        <v>-190272281.4799999</v>
      </c>
      <c r="E47" s="140">
        <f>-505633074.85+359510092.36</f>
        <v>-146122982.49000001</v>
      </c>
      <c r="F47" s="124"/>
    </row>
    <row r="48" spans="1:6" ht="15.75" x14ac:dyDescent="0.25">
      <c r="A48" s="83"/>
      <c r="B48" s="135" t="s">
        <v>275</v>
      </c>
      <c r="C48" s="135"/>
      <c r="D48" s="139">
        <f>'Balanço Patrimonial'!E34-'Balanço Patrimonial'!D34</f>
        <v>-2292361.5299999998</v>
      </c>
      <c r="E48" s="140">
        <v>0</v>
      </c>
      <c r="F48" s="124"/>
    </row>
    <row r="49" spans="1:6" ht="15.75" x14ac:dyDescent="0.25">
      <c r="A49" s="83"/>
      <c r="B49" s="135" t="s">
        <v>223</v>
      </c>
      <c r="C49" s="135"/>
      <c r="D49" s="139">
        <f>'Balanço Patrimonial'!J30-'Balanço Patrimonial'!K30</f>
        <v>-1041000</v>
      </c>
      <c r="E49" s="140">
        <f>2088000-4869957.91</f>
        <v>-2781957.91</v>
      </c>
      <c r="F49" s="124"/>
    </row>
    <row r="50" spans="1:6" ht="15.75" x14ac:dyDescent="0.25">
      <c r="A50" s="83"/>
      <c r="B50" s="135" t="s">
        <v>224</v>
      </c>
      <c r="C50" s="135"/>
      <c r="D50" s="139">
        <v>0</v>
      </c>
      <c r="E50" s="140">
        <v>-1636</v>
      </c>
      <c r="F50" s="124"/>
    </row>
    <row r="51" spans="1:6" ht="15.75" x14ac:dyDescent="0.25">
      <c r="A51" s="83"/>
      <c r="B51" s="301" t="s">
        <v>225</v>
      </c>
      <c r="C51" s="302"/>
      <c r="D51" s="144">
        <f>SUM(D43:D50)</f>
        <v>-193082454.73999989</v>
      </c>
      <c r="E51" s="144">
        <f>SUM(E43:E50)</f>
        <v>-148202033.30000001</v>
      </c>
      <c r="F51" s="124"/>
    </row>
    <row r="52" spans="1:6" ht="15.75" x14ac:dyDescent="0.25">
      <c r="A52" s="83"/>
      <c r="B52" s="145"/>
      <c r="C52" s="145"/>
      <c r="D52" s="146"/>
      <c r="E52" s="147"/>
      <c r="F52" s="124"/>
    </row>
    <row r="53" spans="1:6" ht="15.75" x14ac:dyDescent="0.25">
      <c r="A53" s="83"/>
      <c r="B53" s="145"/>
      <c r="C53" s="145"/>
      <c r="D53" s="146"/>
      <c r="E53" s="147"/>
      <c r="F53" s="124"/>
    </row>
    <row r="54" spans="1:6" ht="15.75" x14ac:dyDescent="0.25">
      <c r="A54" s="83"/>
      <c r="B54" s="149" t="s">
        <v>226</v>
      </c>
      <c r="C54" s="149" t="s">
        <v>227</v>
      </c>
      <c r="D54" s="150">
        <f>D51+D39+D33</f>
        <v>103922615.88000014</v>
      </c>
      <c r="E54" s="150">
        <f>E51+E39+E33</f>
        <v>-134301727.64000005</v>
      </c>
      <c r="F54" s="126"/>
    </row>
    <row r="55" spans="1:6" ht="15.75" x14ac:dyDescent="0.25">
      <c r="A55" s="83"/>
      <c r="B55" s="151"/>
      <c r="C55" s="151"/>
      <c r="D55" s="152"/>
      <c r="E55" s="153"/>
      <c r="F55" s="126"/>
    </row>
    <row r="56" spans="1:6" ht="15.75" x14ac:dyDescent="0.25">
      <c r="A56" s="83"/>
      <c r="B56" s="151" t="s">
        <v>228</v>
      </c>
      <c r="C56" s="151"/>
      <c r="D56" s="152">
        <f>E57</f>
        <v>172390700.27000001</v>
      </c>
      <c r="E56" s="153">
        <v>306692427.91000003</v>
      </c>
      <c r="F56" s="126"/>
    </row>
    <row r="57" spans="1:6" ht="15.75" x14ac:dyDescent="0.25">
      <c r="A57" s="83"/>
      <c r="B57" s="151" t="s">
        <v>229</v>
      </c>
      <c r="C57" s="151"/>
      <c r="D57" s="152">
        <f>'Balanço Patrimonial'!D16+'Balanço Patrimonial'!D17</f>
        <v>276313316.14999998</v>
      </c>
      <c r="E57" s="153">
        <v>172390700.27000001</v>
      </c>
      <c r="F57" s="126"/>
    </row>
    <row r="58" spans="1:6" ht="15.75" x14ac:dyDescent="0.25">
      <c r="A58" s="83"/>
      <c r="B58" s="154"/>
      <c r="C58" s="154"/>
      <c r="D58" s="155"/>
      <c r="E58" s="156"/>
      <c r="F58" s="126"/>
    </row>
    <row r="59" spans="1:6" ht="15.75" x14ac:dyDescent="0.25">
      <c r="A59" s="83"/>
      <c r="B59" s="149" t="str">
        <f>CONCATENATE("    ( = ) Saldo de Caixa Final - Equivalente Caixa Inicial")</f>
        <v xml:space="preserve">    ( = ) Saldo de Caixa Final - Equivalente Caixa Inicial</v>
      </c>
      <c r="C59" s="149" t="s">
        <v>227</v>
      </c>
      <c r="D59" s="150">
        <f>D57-D56</f>
        <v>103922615.87999997</v>
      </c>
      <c r="E59" s="150">
        <f>E57-E56</f>
        <v>-134301727.64000002</v>
      </c>
      <c r="F59" s="126"/>
    </row>
    <row r="60" spans="1:6" ht="15.75" x14ac:dyDescent="0.25">
      <c r="A60" s="83"/>
      <c r="B60" s="298"/>
      <c r="C60" s="298"/>
      <c r="D60" s="298"/>
      <c r="E60" s="298"/>
      <c r="F60" s="129"/>
    </row>
    <row r="61" spans="1:6" ht="15.75" x14ac:dyDescent="0.25">
      <c r="A61" s="83"/>
      <c r="B61" s="289" t="s">
        <v>230</v>
      </c>
      <c r="C61" s="289"/>
      <c r="D61" s="289"/>
      <c r="E61" s="289"/>
      <c r="F61" s="130"/>
    </row>
    <row r="64" spans="1:6" ht="15.75" x14ac:dyDescent="0.25">
      <c r="B64" s="298" t="s">
        <v>265</v>
      </c>
      <c r="C64" s="298"/>
      <c r="D64" s="298"/>
      <c r="E64" s="298"/>
    </row>
  </sheetData>
  <mergeCells count="11">
    <mergeCell ref="B61:E61"/>
    <mergeCell ref="B64:E64"/>
    <mergeCell ref="B4:E4"/>
    <mergeCell ref="B5:E5"/>
    <mergeCell ref="B6:E6"/>
    <mergeCell ref="B7:E7"/>
    <mergeCell ref="B33:C33"/>
    <mergeCell ref="B39:C39"/>
    <mergeCell ref="B51:C51"/>
    <mergeCell ref="B60:E60"/>
    <mergeCell ref="B9:E9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51"/>
  <sheetViews>
    <sheetView showGridLines="0" workbookViewId="0">
      <selection activeCell="E19" sqref="E19"/>
    </sheetView>
  </sheetViews>
  <sheetFormatPr defaultRowHeight="11.25" x14ac:dyDescent="0.2"/>
  <cols>
    <col min="2" max="2" width="85.33203125" bestFit="1" customWidth="1"/>
    <col min="3" max="3" width="6.6640625" bestFit="1" customWidth="1"/>
    <col min="4" max="4" width="20.1640625" bestFit="1" customWidth="1"/>
    <col min="5" max="5" width="19.83203125" bestFit="1" customWidth="1"/>
    <col min="6" max="6" width="15.33203125" bestFit="1" customWidth="1"/>
  </cols>
  <sheetData>
    <row r="5" spans="2:7" ht="15.75" x14ac:dyDescent="0.25">
      <c r="B5" s="299" t="s">
        <v>103</v>
      </c>
      <c r="C5" s="299"/>
      <c r="D5" s="299"/>
      <c r="E5" s="299"/>
      <c r="F5" s="93"/>
      <c r="G5" s="93"/>
    </row>
    <row r="6" spans="2:7" ht="15.75" x14ac:dyDescent="0.25">
      <c r="B6" s="299" t="s">
        <v>104</v>
      </c>
      <c r="C6" s="299"/>
      <c r="D6" s="299"/>
      <c r="E6" s="299"/>
      <c r="F6" s="93"/>
      <c r="G6" s="93"/>
    </row>
    <row r="7" spans="2:7" ht="15.75" x14ac:dyDescent="0.25">
      <c r="B7" s="299" t="s">
        <v>264</v>
      </c>
      <c r="C7" s="299"/>
      <c r="D7" s="299"/>
      <c r="E7" s="299"/>
      <c r="F7" s="93"/>
      <c r="G7" s="93"/>
    </row>
    <row r="8" spans="2:7" ht="15.75" x14ac:dyDescent="0.25">
      <c r="B8" s="299" t="s">
        <v>107</v>
      </c>
      <c r="C8" s="299"/>
      <c r="D8" s="299"/>
      <c r="E8" s="299"/>
      <c r="F8" s="67"/>
      <c r="G8" s="67"/>
    </row>
    <row r="9" spans="2:7" ht="15.75" x14ac:dyDescent="0.25">
      <c r="B9" s="67"/>
      <c r="C9" s="67"/>
      <c r="D9" s="75"/>
      <c r="E9" s="75"/>
      <c r="F9" s="67"/>
      <c r="G9" s="67"/>
    </row>
    <row r="10" spans="2:7" ht="15.75" x14ac:dyDescent="0.25">
      <c r="B10" s="304" t="s">
        <v>231</v>
      </c>
      <c r="C10" s="304"/>
      <c r="D10" s="304"/>
      <c r="E10" s="304"/>
      <c r="F10" s="67"/>
      <c r="G10" s="67"/>
    </row>
    <row r="11" spans="2:7" ht="15.75" x14ac:dyDescent="0.25">
      <c r="B11" s="94"/>
      <c r="C11" s="94"/>
      <c r="D11" s="94"/>
      <c r="E11" s="94"/>
      <c r="F11" s="67"/>
      <c r="G11" s="67"/>
    </row>
    <row r="12" spans="2:7" ht="15.75" x14ac:dyDescent="0.25">
      <c r="B12" s="160" t="s">
        <v>91</v>
      </c>
      <c r="C12" s="161" t="s">
        <v>109</v>
      </c>
      <c r="D12" s="54">
        <v>46022</v>
      </c>
      <c r="E12" s="54">
        <v>45657</v>
      </c>
      <c r="F12" s="67"/>
      <c r="G12" s="67"/>
    </row>
    <row r="13" spans="2:7" ht="15.75" x14ac:dyDescent="0.25">
      <c r="B13" s="95" t="s">
        <v>232</v>
      </c>
      <c r="C13" s="95" t="s">
        <v>233</v>
      </c>
      <c r="D13" s="96">
        <f>SUM(D14:D19)</f>
        <v>746207431.37</v>
      </c>
      <c r="E13" s="97">
        <f>SUM(E14:E19)</f>
        <v>454682482.11000007</v>
      </c>
      <c r="F13" s="67"/>
      <c r="G13" s="67"/>
    </row>
    <row r="14" spans="2:7" ht="15.75" x14ac:dyDescent="0.25">
      <c r="B14" s="159" t="s">
        <v>278</v>
      </c>
      <c r="C14" s="98"/>
      <c r="D14" s="99">
        <f>DRE!F14</f>
        <v>5060015.1399999997</v>
      </c>
      <c r="E14" s="100">
        <v>3607675.37</v>
      </c>
      <c r="F14" s="67"/>
      <c r="G14" s="67"/>
    </row>
    <row r="15" spans="2:7" ht="15.75" x14ac:dyDescent="0.25">
      <c r="B15" s="159" t="s">
        <v>234</v>
      </c>
      <c r="C15" s="101"/>
      <c r="D15" s="102">
        <f>DRE!F15</f>
        <v>8958667.75</v>
      </c>
      <c r="E15" s="103">
        <f>DRE!G15</f>
        <v>831261.2</v>
      </c>
      <c r="F15" s="67"/>
      <c r="G15" s="67"/>
    </row>
    <row r="16" spans="2:7" ht="15.75" x14ac:dyDescent="0.25">
      <c r="B16" s="104" t="s">
        <v>235</v>
      </c>
      <c r="C16" s="104"/>
      <c r="D16" s="105">
        <f>DRE!F24</f>
        <v>87791894.099999994</v>
      </c>
      <c r="E16" s="103">
        <v>72434251.739999995</v>
      </c>
      <c r="F16" s="67"/>
      <c r="G16" s="67"/>
    </row>
    <row r="17" spans="2:7" ht="15.75" x14ac:dyDescent="0.25">
      <c r="B17" s="104" t="s">
        <v>236</v>
      </c>
      <c r="C17" s="104"/>
      <c r="D17" s="105">
        <f>DRE!F25</f>
        <v>642018075.74000001</v>
      </c>
      <c r="E17" s="103">
        <v>373838867.16000003</v>
      </c>
      <c r="F17" s="67"/>
      <c r="G17" s="67"/>
    </row>
    <row r="18" spans="2:7" ht="15.75" x14ac:dyDescent="0.25">
      <c r="B18" s="104" t="s">
        <v>237</v>
      </c>
      <c r="C18" s="104"/>
      <c r="D18" s="105">
        <f>DRE!F26</f>
        <v>646890.93000000005</v>
      </c>
      <c r="E18" s="103">
        <v>893695.85</v>
      </c>
      <c r="F18" s="67"/>
      <c r="G18" s="67"/>
    </row>
    <row r="19" spans="2:7" ht="15.75" x14ac:dyDescent="0.25">
      <c r="B19" s="101" t="s">
        <v>238</v>
      </c>
      <c r="C19" s="101"/>
      <c r="D19" s="102">
        <v>1731887.71</v>
      </c>
      <c r="E19" s="103">
        <v>3076730.79</v>
      </c>
      <c r="F19" s="67"/>
      <c r="G19" s="67"/>
    </row>
    <row r="20" spans="2:7" ht="15.75" x14ac:dyDescent="0.25">
      <c r="B20" s="106"/>
      <c r="C20" s="106"/>
      <c r="D20" s="102"/>
      <c r="E20" s="103"/>
      <c r="F20" s="67"/>
      <c r="G20" s="67"/>
    </row>
    <row r="21" spans="2:7" ht="15.75" x14ac:dyDescent="0.25">
      <c r="B21" s="75"/>
      <c r="C21" s="75"/>
      <c r="D21" s="105"/>
      <c r="E21" s="107"/>
      <c r="F21" s="67"/>
      <c r="G21" s="67"/>
    </row>
    <row r="22" spans="2:7" ht="15.75" x14ac:dyDescent="0.25">
      <c r="B22" s="95" t="s">
        <v>239</v>
      </c>
      <c r="C22" s="95" t="s">
        <v>240</v>
      </c>
      <c r="D22" s="108">
        <f>SUM(D23:D26)</f>
        <v>472895399.59999996</v>
      </c>
      <c r="E22" s="109">
        <f>SUM(E23:E26)</f>
        <v>241514485.01999998</v>
      </c>
      <c r="F22" s="110"/>
      <c r="G22" s="110"/>
    </row>
    <row r="23" spans="2:7" ht="15.75" x14ac:dyDescent="0.25">
      <c r="B23" s="101" t="s">
        <v>241</v>
      </c>
      <c r="C23" s="101"/>
      <c r="D23" s="102">
        <f>519752388.82-55841240.93+2613232.59+3228497.41</f>
        <v>469752877.88999999</v>
      </c>
      <c r="E23" s="103">
        <v>239621793.16</v>
      </c>
      <c r="F23" s="132"/>
      <c r="G23" s="67"/>
    </row>
    <row r="24" spans="2:7" ht="15.75" x14ac:dyDescent="0.25">
      <c r="B24" s="101" t="s">
        <v>242</v>
      </c>
      <c r="C24" s="101"/>
      <c r="D24" s="102">
        <v>400565.65</v>
      </c>
      <c r="E24" s="103">
        <v>349573.04</v>
      </c>
      <c r="F24" s="67"/>
      <c r="G24" s="67"/>
    </row>
    <row r="25" spans="2:7" ht="15.75" x14ac:dyDescent="0.25">
      <c r="B25" s="101" t="s">
        <v>243</v>
      </c>
      <c r="C25" s="101"/>
      <c r="D25" s="102">
        <f>4854125.27-D31-D24</f>
        <v>2702303.4099999997</v>
      </c>
      <c r="E25" s="103">
        <v>1411355.12</v>
      </c>
      <c r="F25" s="67"/>
      <c r="G25" s="67"/>
    </row>
    <row r="26" spans="2:7" ht="15.75" x14ac:dyDescent="0.25">
      <c r="B26" s="101" t="s">
        <v>175</v>
      </c>
      <c r="C26" s="101"/>
      <c r="D26" s="102">
        <f>-DRE!F56</f>
        <v>39652.65</v>
      </c>
      <c r="E26" s="103">
        <v>131763.70000000001</v>
      </c>
      <c r="F26" s="67"/>
      <c r="G26" s="67"/>
    </row>
    <row r="27" spans="2:7" ht="15.75" x14ac:dyDescent="0.25">
      <c r="B27" s="106"/>
      <c r="C27" s="106"/>
      <c r="D27" s="102"/>
      <c r="E27" s="103"/>
      <c r="F27" s="67"/>
      <c r="G27" s="67"/>
    </row>
    <row r="28" spans="2:7" ht="15.75" x14ac:dyDescent="0.25">
      <c r="B28" s="95" t="s">
        <v>244</v>
      </c>
      <c r="C28" s="95" t="s">
        <v>240</v>
      </c>
      <c r="D28" s="108">
        <f>D13-D22</f>
        <v>273312031.77000004</v>
      </c>
      <c r="E28" s="109">
        <f>E13-E22</f>
        <v>213167997.09000009</v>
      </c>
      <c r="F28" s="110"/>
      <c r="G28" s="110"/>
    </row>
    <row r="29" spans="2:7" ht="15.75" x14ac:dyDescent="0.25">
      <c r="B29" s="75"/>
      <c r="C29" s="75"/>
      <c r="D29" s="105"/>
      <c r="E29" s="107"/>
      <c r="F29" s="67"/>
      <c r="G29" s="67"/>
    </row>
    <row r="30" spans="2:7" ht="15.75" x14ac:dyDescent="0.25">
      <c r="B30" s="95" t="s">
        <v>245</v>
      </c>
      <c r="C30" s="95" t="s">
        <v>240</v>
      </c>
      <c r="D30" s="108">
        <f>SUM(D31:D31)</f>
        <v>1751256.21</v>
      </c>
      <c r="E30" s="109">
        <f>SUM(E31:E31)</f>
        <v>1261004.3899999999</v>
      </c>
      <c r="F30" s="110"/>
      <c r="G30" s="110"/>
    </row>
    <row r="31" spans="2:7" ht="15.75" x14ac:dyDescent="0.25">
      <c r="B31" s="101" t="s">
        <v>246</v>
      </c>
      <c r="C31" s="101"/>
      <c r="D31" s="102">
        <v>1751256.21</v>
      </c>
      <c r="E31" s="103">
        <v>1261004.3899999999</v>
      </c>
      <c r="F31" s="67"/>
      <c r="G31" s="67"/>
    </row>
    <row r="32" spans="2:7" ht="15.75" x14ac:dyDescent="0.25">
      <c r="B32" s="75"/>
      <c r="C32" s="75"/>
      <c r="D32" s="105"/>
      <c r="E32" s="107"/>
      <c r="F32" s="67"/>
      <c r="G32" s="67"/>
    </row>
    <row r="33" spans="2:7" ht="15.75" x14ac:dyDescent="0.25">
      <c r="B33" s="95" t="s">
        <v>247</v>
      </c>
      <c r="C33" s="95" t="s">
        <v>240</v>
      </c>
      <c r="D33" s="108">
        <f>D28-D30</f>
        <v>271560775.56000006</v>
      </c>
      <c r="E33" s="109">
        <f>E28-E30</f>
        <v>211906992.70000011</v>
      </c>
      <c r="F33" s="67"/>
      <c r="G33" s="67"/>
    </row>
    <row r="34" spans="2:7" ht="15.75" x14ac:dyDescent="0.25">
      <c r="B34" s="75"/>
      <c r="C34" s="75"/>
      <c r="D34" s="105"/>
      <c r="E34" s="107"/>
      <c r="F34" s="67"/>
      <c r="G34" s="67"/>
    </row>
    <row r="35" spans="2:7" ht="15.75" x14ac:dyDescent="0.25">
      <c r="B35" s="95" t="s">
        <v>248</v>
      </c>
      <c r="C35" s="95" t="s">
        <v>240</v>
      </c>
      <c r="D35" s="108">
        <f>D36</f>
        <v>1612747.01</v>
      </c>
      <c r="E35" s="109">
        <f>E36</f>
        <v>1037746.59</v>
      </c>
      <c r="F35" s="110"/>
      <c r="G35" s="110"/>
    </row>
    <row r="36" spans="2:7" ht="15.75" x14ac:dyDescent="0.25">
      <c r="B36" s="101" t="s">
        <v>74</v>
      </c>
      <c r="C36" s="101"/>
      <c r="D36" s="102">
        <f>DRE!F55</f>
        <v>1612747.01</v>
      </c>
      <c r="E36" s="103">
        <v>1037746.59</v>
      </c>
      <c r="F36" s="67"/>
      <c r="G36" s="67"/>
    </row>
    <row r="37" spans="2:7" ht="15.75" x14ac:dyDescent="0.25">
      <c r="B37" s="75"/>
      <c r="C37" s="75"/>
      <c r="D37" s="105"/>
      <c r="E37" s="111"/>
      <c r="F37" s="67"/>
      <c r="G37" s="67"/>
    </row>
    <row r="38" spans="2:7" ht="15.75" x14ac:dyDescent="0.25">
      <c r="B38" s="95" t="s">
        <v>249</v>
      </c>
      <c r="C38" s="95" t="s">
        <v>240</v>
      </c>
      <c r="D38" s="108">
        <f>D33+D35</f>
        <v>273173522.57000005</v>
      </c>
      <c r="E38" s="109">
        <f>E33+E35</f>
        <v>212944739.29000011</v>
      </c>
      <c r="F38" s="67"/>
      <c r="G38" s="67"/>
    </row>
    <row r="39" spans="2:7" ht="15.75" x14ac:dyDescent="0.25">
      <c r="B39" s="75"/>
      <c r="C39" s="75"/>
      <c r="D39" s="105"/>
      <c r="E39" s="111"/>
      <c r="F39" s="67"/>
      <c r="G39" s="67"/>
    </row>
    <row r="40" spans="2:7" ht="15.75" x14ac:dyDescent="0.25">
      <c r="B40" s="95" t="s">
        <v>250</v>
      </c>
      <c r="C40" s="95" t="s">
        <v>251</v>
      </c>
      <c r="D40" s="108">
        <f>D41+D42+D43</f>
        <v>273173522.56999999</v>
      </c>
      <c r="E40" s="109">
        <f>E41+E42+E43</f>
        <v>212944739.29000002</v>
      </c>
      <c r="F40" s="67"/>
      <c r="G40" s="67"/>
    </row>
    <row r="41" spans="2:7" ht="15.75" x14ac:dyDescent="0.25">
      <c r="B41" s="101" t="s">
        <v>252</v>
      </c>
      <c r="C41" s="101"/>
      <c r="D41" s="102">
        <f>-DRE!F36-DRE!F46</f>
        <v>70818523.390000001</v>
      </c>
      <c r="E41" s="103">
        <f>51702796.55+13477398.65</f>
        <v>65180195.199999996</v>
      </c>
      <c r="F41" s="67"/>
      <c r="G41" s="67"/>
    </row>
    <row r="42" spans="2:7" ht="15.75" x14ac:dyDescent="0.25">
      <c r="B42" s="101" t="s">
        <v>253</v>
      </c>
      <c r="C42" s="101"/>
      <c r="D42" s="102">
        <f>-DRE!F18-DRE!F49</f>
        <v>2348575.94</v>
      </c>
      <c r="E42" s="103">
        <v>813907.44</v>
      </c>
      <c r="F42" s="67"/>
      <c r="G42" s="67"/>
    </row>
    <row r="43" spans="2:7" ht="15.75" x14ac:dyDescent="0.25">
      <c r="B43" s="101" t="s">
        <v>254</v>
      </c>
      <c r="C43" s="101"/>
      <c r="D43" s="102">
        <f>DRE!F64</f>
        <v>200006423.24000001</v>
      </c>
      <c r="E43" s="103">
        <f>DRE!G64</f>
        <v>146950636.65000004</v>
      </c>
      <c r="F43" s="67"/>
      <c r="G43" s="67"/>
    </row>
    <row r="44" spans="2:7" ht="15.75" x14ac:dyDescent="0.25">
      <c r="B44" s="112"/>
      <c r="C44" s="112"/>
      <c r="D44" s="113"/>
      <c r="E44" s="113"/>
      <c r="F44" s="67"/>
      <c r="G44" s="67"/>
    </row>
    <row r="45" spans="2:7" ht="15.75" x14ac:dyDescent="0.25">
      <c r="B45" s="289" t="s">
        <v>255</v>
      </c>
      <c r="C45" s="289"/>
      <c r="D45" s="289"/>
      <c r="E45" s="289"/>
      <c r="F45" s="67"/>
      <c r="G45" s="67"/>
    </row>
    <row r="46" spans="2:7" ht="15.75" x14ac:dyDescent="0.25">
      <c r="B46" s="75"/>
      <c r="C46" s="75"/>
      <c r="D46" s="75"/>
      <c r="E46" s="75"/>
      <c r="F46" s="67"/>
      <c r="G46" s="67"/>
    </row>
    <row r="51" spans="2:5" ht="15.75" x14ac:dyDescent="0.25">
      <c r="B51" s="298" t="s">
        <v>265</v>
      </c>
      <c r="C51" s="298"/>
      <c r="D51" s="298"/>
      <c r="E51" s="298"/>
    </row>
  </sheetData>
  <mergeCells count="7">
    <mergeCell ref="B51:E51"/>
    <mergeCell ref="B45:E45"/>
    <mergeCell ref="B5:E5"/>
    <mergeCell ref="B6:E6"/>
    <mergeCell ref="B7:E7"/>
    <mergeCell ref="B8:E8"/>
    <mergeCell ref="B10:E10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4"/>
  <sheetViews>
    <sheetView showGridLines="0" workbookViewId="0">
      <selection activeCell="B5" sqref="B5:D5"/>
    </sheetView>
  </sheetViews>
  <sheetFormatPr defaultRowHeight="11.25" x14ac:dyDescent="0.2"/>
  <cols>
    <col min="2" max="2" width="62.83203125" customWidth="1"/>
    <col min="3" max="3" width="25" customWidth="1"/>
    <col min="4" max="4" width="19.83203125" bestFit="1" customWidth="1"/>
  </cols>
  <sheetData>
    <row r="5" spans="1:8" ht="15.75" x14ac:dyDescent="0.25">
      <c r="A5" s="93"/>
      <c r="B5" s="299" t="s">
        <v>103</v>
      </c>
      <c r="C5" s="299"/>
      <c r="D5" s="299"/>
      <c r="E5" s="93"/>
      <c r="F5" s="93"/>
      <c r="G5" s="93"/>
      <c r="H5" s="67"/>
    </row>
    <row r="6" spans="1:8" ht="15.75" x14ac:dyDescent="0.25">
      <c r="A6" s="93"/>
      <c r="B6" s="299" t="s">
        <v>104</v>
      </c>
      <c r="C6" s="299"/>
      <c r="D6" s="299"/>
      <c r="E6" s="93"/>
      <c r="F6" s="93"/>
      <c r="G6" s="93"/>
      <c r="H6" s="67"/>
    </row>
    <row r="7" spans="1:8" ht="15.75" x14ac:dyDescent="0.25">
      <c r="A7" s="299" t="s">
        <v>264</v>
      </c>
      <c r="B7" s="299"/>
      <c r="C7" s="299"/>
      <c r="D7" s="299"/>
      <c r="E7" s="299"/>
      <c r="F7" s="93"/>
      <c r="G7" s="93"/>
      <c r="H7" s="67"/>
    </row>
    <row r="8" spans="1:8" ht="15.75" x14ac:dyDescent="0.25">
      <c r="A8" s="299" t="s">
        <v>107</v>
      </c>
      <c r="B8" s="299"/>
      <c r="C8" s="299"/>
      <c r="D8" s="299"/>
      <c r="E8" s="299"/>
      <c r="F8" s="67"/>
      <c r="G8" s="67"/>
      <c r="H8" s="67"/>
    </row>
    <row r="9" spans="1:8" ht="15.75" x14ac:dyDescent="0.25">
      <c r="A9" s="67"/>
      <c r="B9" s="110"/>
      <c r="C9" s="114"/>
      <c r="D9" s="75"/>
      <c r="E9" s="67"/>
      <c r="F9" s="67"/>
      <c r="G9" s="67"/>
      <c r="H9" s="67"/>
    </row>
    <row r="10" spans="1:8" ht="15.75" x14ac:dyDescent="0.25">
      <c r="A10" s="67"/>
      <c r="B10" s="110"/>
      <c r="C10" s="114"/>
      <c r="D10" s="75"/>
      <c r="E10" s="67"/>
      <c r="F10" s="67"/>
      <c r="G10" s="67"/>
      <c r="H10" s="67"/>
    </row>
    <row r="11" spans="1:8" ht="15.75" x14ac:dyDescent="0.25">
      <c r="A11" s="67"/>
      <c r="B11" s="67"/>
      <c r="C11" s="75"/>
      <c r="D11" s="75"/>
      <c r="E11" s="67"/>
      <c r="F11" s="67"/>
      <c r="G11" s="67"/>
      <c r="H11" s="67"/>
    </row>
    <row r="12" spans="1:8" ht="15.75" x14ac:dyDescent="0.25">
      <c r="A12" s="67"/>
      <c r="B12" s="304" t="s">
        <v>256</v>
      </c>
      <c r="C12" s="304"/>
      <c r="D12" s="304"/>
      <c r="E12" s="67"/>
      <c r="F12" s="67"/>
      <c r="G12" s="67"/>
      <c r="H12" s="67"/>
    </row>
    <row r="13" spans="1:8" ht="15.75" x14ac:dyDescent="0.25">
      <c r="A13" s="67"/>
      <c r="B13" s="94"/>
      <c r="C13" s="94"/>
      <c r="D13" s="94"/>
      <c r="E13" s="67"/>
      <c r="F13" s="67"/>
      <c r="G13" s="67"/>
      <c r="H13" s="67"/>
    </row>
    <row r="14" spans="1:8" ht="15.75" x14ac:dyDescent="0.25">
      <c r="A14" s="67"/>
      <c r="B14" s="57" t="s">
        <v>91</v>
      </c>
      <c r="C14" s="54">
        <v>46022</v>
      </c>
      <c r="D14" s="54">
        <v>45657</v>
      </c>
      <c r="E14" s="67"/>
      <c r="F14" s="67"/>
      <c r="G14" s="67"/>
      <c r="H14" s="67"/>
    </row>
    <row r="15" spans="1:8" ht="15.75" x14ac:dyDescent="0.25">
      <c r="A15" s="67"/>
      <c r="B15" s="115" t="s">
        <v>257</v>
      </c>
      <c r="C15" s="109">
        <f>DRE!F64</f>
        <v>200006423.24000001</v>
      </c>
      <c r="D15" s="109">
        <f>DRE!G64</f>
        <v>146950636.65000004</v>
      </c>
      <c r="E15" s="67"/>
      <c r="F15" s="67"/>
      <c r="G15" s="67"/>
      <c r="H15" s="67"/>
    </row>
    <row r="16" spans="1:8" ht="15.75" x14ac:dyDescent="0.25">
      <c r="A16" s="67"/>
      <c r="B16" s="116"/>
      <c r="C16" s="117"/>
      <c r="D16" s="117"/>
      <c r="E16" s="67"/>
      <c r="F16" s="67"/>
      <c r="G16" s="67"/>
      <c r="H16" s="67"/>
    </row>
    <row r="17" spans="1:8" ht="42.75" customHeight="1" x14ac:dyDescent="0.25">
      <c r="A17" s="67"/>
      <c r="B17" s="118" t="s">
        <v>258</v>
      </c>
      <c r="C17" s="119">
        <v>0</v>
      </c>
      <c r="D17" s="119">
        <v>0</v>
      </c>
      <c r="E17" s="67"/>
      <c r="F17" s="67"/>
      <c r="G17" s="67"/>
      <c r="H17" s="67"/>
    </row>
    <row r="18" spans="1:8" ht="60.75" customHeight="1" x14ac:dyDescent="0.25">
      <c r="A18" s="67"/>
      <c r="B18" s="118" t="s">
        <v>259</v>
      </c>
      <c r="C18" s="119">
        <v>0</v>
      </c>
      <c r="D18" s="119">
        <v>0</v>
      </c>
      <c r="E18" s="67"/>
      <c r="F18" s="67"/>
      <c r="G18" s="67"/>
      <c r="H18" s="67"/>
    </row>
    <row r="19" spans="1:8" ht="15.75" x14ac:dyDescent="0.25">
      <c r="A19" s="67"/>
      <c r="B19" s="67"/>
      <c r="C19" s="107"/>
      <c r="D19" s="107"/>
      <c r="E19" s="67"/>
      <c r="F19" s="67"/>
      <c r="G19" s="67"/>
      <c r="H19" s="67"/>
    </row>
    <row r="20" spans="1:8" ht="15.75" x14ac:dyDescent="0.25">
      <c r="A20" s="67"/>
      <c r="B20" s="120" t="s">
        <v>260</v>
      </c>
      <c r="C20" s="109">
        <f>SUM(C15:C18)</f>
        <v>200006423.24000001</v>
      </c>
      <c r="D20" s="109">
        <f>SUM(D15:D18)</f>
        <v>146950636.65000004</v>
      </c>
      <c r="E20" s="67"/>
      <c r="F20" s="67"/>
      <c r="G20" s="67"/>
      <c r="H20" s="67"/>
    </row>
    <row r="21" spans="1:8" ht="15.75" x14ac:dyDescent="0.25">
      <c r="A21" s="67"/>
      <c r="B21" s="121"/>
      <c r="C21" s="122"/>
      <c r="D21" s="111"/>
      <c r="E21" s="67"/>
      <c r="F21" s="67"/>
      <c r="G21" s="67"/>
      <c r="H21" s="67"/>
    </row>
    <row r="22" spans="1:8" ht="15.75" x14ac:dyDescent="0.25">
      <c r="A22" s="67"/>
      <c r="B22" s="289" t="s">
        <v>261</v>
      </c>
      <c r="C22" s="289"/>
      <c r="D22" s="289"/>
      <c r="E22" s="76"/>
      <c r="F22" s="76"/>
      <c r="G22" s="67"/>
      <c r="H22" s="67"/>
    </row>
    <row r="23" spans="1:8" ht="15.75" x14ac:dyDescent="0.25">
      <c r="A23" s="67"/>
      <c r="B23" s="75"/>
      <c r="C23" s="75"/>
      <c r="D23" s="75"/>
      <c r="E23" s="75"/>
      <c r="F23" s="75"/>
      <c r="G23" s="67"/>
      <c r="H23" s="67"/>
    </row>
    <row r="24" spans="1:8" ht="15.75" x14ac:dyDescent="0.25">
      <c r="B24" s="298" t="s">
        <v>265</v>
      </c>
      <c r="C24" s="298"/>
      <c r="D24" s="298"/>
    </row>
  </sheetData>
  <mergeCells count="7">
    <mergeCell ref="B24:D24"/>
    <mergeCell ref="B22:D22"/>
    <mergeCell ref="B5:D5"/>
    <mergeCell ref="B6:D6"/>
    <mergeCell ref="A7:E7"/>
    <mergeCell ref="A8:E8"/>
    <mergeCell ref="B12:D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Balanço</vt:lpstr>
      <vt:lpstr>Balanço Patrimonial</vt:lpstr>
      <vt:lpstr>DMPL</vt:lpstr>
      <vt:lpstr>DRE</vt:lpstr>
      <vt:lpstr>DFC</vt:lpstr>
      <vt:lpstr>DVA</vt:lpstr>
      <vt:lpstr>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KAMILLA GUIMARAES RODRIGUES</dc:creator>
  <cp:lastModifiedBy>KAMILLA GUIMARAES RODRIGUES</cp:lastModifiedBy>
  <cp:lastPrinted>2025-11-11T19:54:02Z</cp:lastPrinted>
  <dcterms:created xsi:type="dcterms:W3CDTF">2026-01-30T19:12:03Z</dcterms:created>
  <dcterms:modified xsi:type="dcterms:W3CDTF">2026-05-07T22:56:40Z</dcterms:modified>
</cp:coreProperties>
</file>