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BALANÇO PATRIMONIAL\Balanço Patrimonial 2026\1º Trimestre 2026\"/>
    </mc:Choice>
  </mc:AlternateContent>
  <bookViews>
    <workbookView xWindow="0" yWindow="0" windowWidth="28800" windowHeight="11880" firstSheet="5" activeTab="5"/>
  </bookViews>
  <sheets>
    <sheet name="Balanço" sheetId="2" state="hidden" r:id="rId1"/>
    <sheet name="Planilhas Complementares" sheetId="3" state="hidden" r:id="rId2"/>
    <sheet name="SUBVENÇÃO e APLICAÇÃO" sheetId="20" state="hidden" r:id="rId3"/>
    <sheet name="Partes Relacionadas" sheetId="4" state="hidden" r:id="rId4"/>
    <sheet name="PESSOAL" sheetId="10" state="hidden" r:id="rId5"/>
    <sheet name="Balanço Patrimonial" sheetId="12" r:id="rId6"/>
    <sheet name="DMPL" sheetId="11" r:id="rId7"/>
    <sheet name="DRE" sheetId="15" r:id="rId8"/>
    <sheet name="DFC" sheetId="16" r:id="rId9"/>
    <sheet name="DVA" sheetId="17" r:id="rId10"/>
    <sheet name="DRA" sheetId="18" r:id="rId11"/>
  </sheets>
  <calcPr calcId="162913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8" i="12" l="1"/>
  <c r="D7" i="4" l="1"/>
  <c r="B6" i="10" l="1"/>
  <c r="D6" i="10"/>
  <c r="C6" i="10"/>
  <c r="C28" i="20"/>
  <c r="B27" i="20" l="1"/>
  <c r="B24" i="20"/>
  <c r="B23" i="20" s="1"/>
  <c r="B9" i="20" l="1"/>
  <c r="B6" i="20"/>
  <c r="B13" i="20" l="1"/>
  <c r="B5" i="20"/>
  <c r="B2" i="20" s="1"/>
  <c r="B16" i="20" l="1"/>
  <c r="D75" i="3"/>
  <c r="D69" i="3" l="1"/>
  <c r="D67" i="3"/>
  <c r="D77" i="3" l="1"/>
  <c r="E45" i="3"/>
  <c r="E46" i="3"/>
  <c r="E35" i="3"/>
  <c r="E36" i="3"/>
  <c r="E37" i="3"/>
  <c r="E38" i="3"/>
  <c r="E39" i="3"/>
  <c r="E40" i="3"/>
  <c r="E41" i="3"/>
  <c r="E34" i="3"/>
  <c r="G42" i="3"/>
  <c r="G46" i="3"/>
  <c r="G48" i="3" l="1"/>
  <c r="C4" i="3" l="1"/>
  <c r="C10" i="2" l="1"/>
  <c r="C9" i="2"/>
  <c r="C11" i="2"/>
  <c r="C13" i="2"/>
  <c r="J17" i="2" s="1"/>
  <c r="C12" i="2"/>
  <c r="J16" i="2"/>
  <c r="J15" i="2"/>
  <c r="J14" i="2"/>
  <c r="J13" i="2"/>
  <c r="D15" i="16" l="1"/>
  <c r="D42" i="17"/>
  <c r="D31" i="17"/>
  <c r="D30" i="17" s="1"/>
  <c r="D26" i="17"/>
  <c r="D36" i="17"/>
  <c r="D35" i="17" s="1"/>
  <c r="D41" i="17"/>
  <c r="D18" i="17"/>
  <c r="D17" i="17"/>
  <c r="D16" i="17"/>
  <c r="D15" i="17"/>
  <c r="D14" i="17"/>
  <c r="E54" i="16"/>
  <c r="F35" i="17"/>
  <c r="F30" i="17"/>
  <c r="F22" i="17"/>
  <c r="F13" i="17"/>
  <c r="D13" i="17" l="1"/>
  <c r="D25" i="17"/>
  <c r="F28" i="17"/>
  <c r="F33" i="17" s="1"/>
  <c r="F38" i="17" s="1"/>
  <c r="F50" i="15" l="1"/>
  <c r="F45" i="15" s="1"/>
  <c r="F30" i="15"/>
  <c r="D23" i="17" s="1"/>
  <c r="D22" i="17" s="1"/>
  <c r="D28" i="17" s="1"/>
  <c r="D33" i="17" s="1"/>
  <c r="D38" i="17" s="1"/>
  <c r="F38" i="15"/>
  <c r="F35" i="15"/>
  <c r="F54" i="15"/>
  <c r="F23" i="15"/>
  <c r="F22" i="15" s="1"/>
  <c r="F13" i="15"/>
  <c r="F20" i="15" s="1"/>
  <c r="D42" i="11"/>
  <c r="E42" i="11"/>
  <c r="F42" i="11"/>
  <c r="G42" i="11"/>
  <c r="C42" i="11"/>
  <c r="H40" i="11"/>
  <c r="H39" i="11"/>
  <c r="H42" i="11" s="1"/>
  <c r="H38" i="11"/>
  <c r="H37" i="11"/>
  <c r="H36" i="11"/>
  <c r="H35" i="11"/>
  <c r="H15" i="11"/>
  <c r="H17" i="11"/>
  <c r="H18" i="11"/>
  <c r="H19" i="11"/>
  <c r="H20" i="11"/>
  <c r="H21" i="11"/>
  <c r="K44" i="12"/>
  <c r="K42" i="12"/>
  <c r="K41" i="12"/>
  <c r="K40" i="12"/>
  <c r="C137" i="2"/>
  <c r="C141" i="2"/>
  <c r="C121" i="2"/>
  <c r="C124" i="2"/>
  <c r="F44" i="12"/>
  <c r="F43" i="12"/>
  <c r="E43" i="12"/>
  <c r="D43" i="12"/>
  <c r="D42" i="12" s="1"/>
  <c r="F40" i="12"/>
  <c r="F39" i="12"/>
  <c r="E39" i="12"/>
  <c r="D39" i="12"/>
  <c r="D38" i="12" s="1"/>
  <c r="D22" i="12"/>
  <c r="D45" i="2"/>
  <c r="E22" i="12" s="1"/>
  <c r="E45" i="2"/>
  <c r="F45" i="2"/>
  <c r="G45" i="2"/>
  <c r="F22" i="12" s="1"/>
  <c r="C45" i="2"/>
  <c r="E23" i="12"/>
  <c r="D40" i="2"/>
  <c r="E40" i="2"/>
  <c r="F40" i="2"/>
  <c r="G40" i="2"/>
  <c r="C40" i="2"/>
  <c r="D21" i="12" s="1"/>
  <c r="D21" i="16" s="1"/>
  <c r="E22" i="2"/>
  <c r="F22" i="2"/>
  <c r="G22" i="2"/>
  <c r="C17" i="2"/>
  <c r="L9" i="2"/>
  <c r="L8" i="2"/>
  <c r="J9" i="2"/>
  <c r="J8" i="2"/>
  <c r="F17" i="12"/>
  <c r="D17" i="12"/>
  <c r="C2" i="2"/>
  <c r="G2" i="2"/>
  <c r="L7" i="2" l="1"/>
  <c r="G4" i="2"/>
  <c r="G6" i="2" s="1"/>
  <c r="J7" i="2"/>
  <c r="C4" i="2"/>
  <c r="C6" i="2" s="1"/>
  <c r="C116" i="2"/>
  <c r="K16" i="12" s="1"/>
  <c r="D22" i="16"/>
  <c r="D36" i="16"/>
  <c r="D38" i="16" s="1"/>
  <c r="F28" i="15"/>
  <c r="F43" i="15" s="1"/>
  <c r="F52" i="15" s="1"/>
  <c r="F58" i="15" s="1"/>
  <c r="F64" i="15" s="1"/>
  <c r="D16" i="12"/>
  <c r="D55" i="16" s="1"/>
  <c r="J10" i="2"/>
  <c r="F16" i="12"/>
  <c r="J18" i="2"/>
  <c r="C198" i="2"/>
  <c r="C195" i="2"/>
  <c r="K43" i="12" s="1"/>
  <c r="K39" i="12" s="1"/>
  <c r="C192" i="2"/>
  <c r="C191" i="2"/>
  <c r="C180" i="2"/>
  <c r="C172" i="2"/>
  <c r="K22" i="12" s="1"/>
  <c r="C167" i="2"/>
  <c r="C163" i="2"/>
  <c r="K21" i="12" s="1"/>
  <c r="C157" i="2"/>
  <c r="K20" i="12" s="1"/>
  <c r="C151" i="2"/>
  <c r="K19" i="12" s="1"/>
  <c r="C133" i="2"/>
  <c r="K18" i="12" s="1"/>
  <c r="C127" i="2"/>
  <c r="K17" i="12" s="1"/>
  <c r="C108" i="2"/>
  <c r="C103" i="2"/>
  <c r="C90" i="2"/>
  <c r="D35" i="12" s="1"/>
  <c r="C86" i="2"/>
  <c r="C79" i="2"/>
  <c r="D33" i="12" s="1"/>
  <c r="C75" i="2"/>
  <c r="D32" i="12" s="1"/>
  <c r="C69" i="2"/>
  <c r="D31" i="12" s="1"/>
  <c r="C64" i="2"/>
  <c r="D30" i="12" s="1"/>
  <c r="C59" i="2"/>
  <c r="D29" i="12" s="1"/>
  <c r="C53" i="2"/>
  <c r="D24" i="12" s="1"/>
  <c r="C49" i="2"/>
  <c r="D23" i="12" s="1"/>
  <c r="C36" i="2"/>
  <c r="D20" i="12" s="1"/>
  <c r="C31" i="2"/>
  <c r="D19" i="12" s="1"/>
  <c r="C22" i="2"/>
  <c r="C25" i="2" s="1"/>
  <c r="D18" i="12" s="1"/>
  <c r="C14" i="2"/>
  <c r="C15" i="18" l="1"/>
  <c r="C20" i="18" s="1"/>
  <c r="D43" i="17"/>
  <c r="D40" i="17" s="1"/>
  <c r="D14" i="16"/>
  <c r="K15" i="12"/>
  <c r="C109" i="2"/>
  <c r="C92" i="2"/>
  <c r="D34" i="12"/>
  <c r="D28" i="12"/>
  <c r="D27" i="12" s="1"/>
  <c r="C182" i="2"/>
  <c r="K31" i="12"/>
  <c r="K30" i="12" s="1"/>
  <c r="K46" i="12" s="1"/>
  <c r="C201" i="2"/>
  <c r="C55" i="2"/>
  <c r="D15" i="12"/>
  <c r="C144" i="2"/>
  <c r="C174" i="2" s="1"/>
  <c r="C111" i="2"/>
  <c r="D46" i="12" l="1"/>
  <c r="C205" i="2"/>
  <c r="C113" i="2"/>
  <c r="K17" i="2"/>
  <c r="K16" i="2"/>
  <c r="K15" i="2"/>
  <c r="K14" i="2"/>
  <c r="K13" i="2"/>
  <c r="L10" i="2"/>
  <c r="K7" i="2"/>
  <c r="K10" i="2" s="1"/>
  <c r="C207" i="2" l="1"/>
  <c r="K18" i="2"/>
  <c r="E17" i="2" l="1"/>
  <c r="E25" i="2" s="1"/>
  <c r="F17" i="2"/>
  <c r="F25" i="2" s="1"/>
  <c r="D17" i="2"/>
  <c r="D22" i="2"/>
  <c r="D25" i="2" l="1"/>
  <c r="C29" i="20" l="1"/>
  <c r="G13" i="15"/>
  <c r="D210" i="2"/>
  <c r="C31" i="20" l="1"/>
  <c r="C30" i="20"/>
  <c r="D27" i="20"/>
  <c r="D24" i="20"/>
  <c r="C24" i="20"/>
  <c r="C6" i="20"/>
  <c r="D13" i="20"/>
  <c r="C13" i="20"/>
  <c r="D5" i="20"/>
  <c r="D2" i="20" s="1"/>
  <c r="C5" i="20" l="1"/>
  <c r="C2" i="20" s="1"/>
  <c r="C27" i="20"/>
  <c r="C23" i="20"/>
  <c r="D23" i="20"/>
  <c r="C16" i="20"/>
  <c r="D16" i="20"/>
  <c r="E23" i="17"/>
  <c r="E25" i="17"/>
  <c r="E42" i="17"/>
  <c r="E26" i="17"/>
  <c r="E41" i="17"/>
  <c r="E18" i="17"/>
  <c r="E17" i="17"/>
  <c r="E15" i="17"/>
  <c r="E14" i="17"/>
  <c r="H13" i="15"/>
  <c r="E37" i="16" l="1"/>
  <c r="E36" i="16"/>
  <c r="G50" i="15"/>
  <c r="G48" i="15"/>
  <c r="G38" i="15"/>
  <c r="G32" i="15"/>
  <c r="E38" i="16" l="1"/>
  <c r="G24" i="15"/>
  <c r="L42" i="12"/>
  <c r="D60" i="3"/>
  <c r="D141" i="2"/>
  <c r="D133" i="2"/>
  <c r="L18" i="12" s="1"/>
  <c r="D27" i="16" s="1"/>
  <c r="D124" i="2"/>
  <c r="D116" i="2" s="1"/>
  <c r="L16" i="12" s="1"/>
  <c r="D25" i="16" s="1"/>
  <c r="D95" i="2"/>
  <c r="G90" i="2"/>
  <c r="F90" i="2"/>
  <c r="E90" i="2"/>
  <c r="D90" i="2"/>
  <c r="E35" i="12" s="1"/>
  <c r="E47" i="16" s="1"/>
  <c r="D13" i="3"/>
  <c r="D13" i="2"/>
  <c r="D10" i="2"/>
  <c r="D12" i="2"/>
  <c r="D11" i="2"/>
  <c r="D9" i="2"/>
  <c r="E17" i="12"/>
  <c r="D2" i="2"/>
  <c r="D4" i="2" s="1"/>
  <c r="D6" i="2" s="1"/>
  <c r="D198" i="2"/>
  <c r="D195" i="2"/>
  <c r="L43" i="12" s="1"/>
  <c r="D192" i="2"/>
  <c r="D191" i="2" s="1"/>
  <c r="D180" i="2"/>
  <c r="L31" i="12" s="1"/>
  <c r="D48" i="16" s="1"/>
  <c r="D172" i="2"/>
  <c r="L22" i="12" s="1"/>
  <c r="D31" i="16" s="1"/>
  <c r="D167" i="2"/>
  <c r="D163" i="2"/>
  <c r="L21" i="12" s="1"/>
  <c r="D30" i="16" s="1"/>
  <c r="D157" i="2"/>
  <c r="L20" i="12" s="1"/>
  <c r="D29" i="16" s="1"/>
  <c r="D151" i="2"/>
  <c r="L19" i="12" s="1"/>
  <c r="D28" i="16" s="1"/>
  <c r="D127" i="2"/>
  <c r="L17" i="12" s="1"/>
  <c r="D26" i="16" s="1"/>
  <c r="D108" i="2"/>
  <c r="D94" i="2"/>
  <c r="D86" i="2"/>
  <c r="E34" i="12"/>
  <c r="D46" i="16" s="1"/>
  <c r="D79" i="2"/>
  <c r="E33" i="12" s="1"/>
  <c r="D45" i="16" s="1"/>
  <c r="D75" i="2"/>
  <c r="E32" i="12" s="1"/>
  <c r="D44" i="16" s="1"/>
  <c r="D69" i="2"/>
  <c r="E31" i="12" s="1"/>
  <c r="D64" i="2"/>
  <c r="D59" i="2"/>
  <c r="D53" i="2"/>
  <c r="E24" i="12" s="1"/>
  <c r="D24" i="16" s="1"/>
  <c r="D49" i="2"/>
  <c r="D36" i="2"/>
  <c r="E20" i="12" s="1"/>
  <c r="D20" i="16" s="1"/>
  <c r="D31" i="2"/>
  <c r="E19" i="12" s="1"/>
  <c r="E18" i="12"/>
  <c r="D18" i="16" s="1"/>
  <c r="D17" i="16" s="1"/>
  <c r="D32" i="16" s="1"/>
  <c r="E13" i="2"/>
  <c r="E95" i="2"/>
  <c r="E96" i="2"/>
  <c r="D42" i="3"/>
  <c r="E102" i="2" s="1"/>
  <c r="E94" i="2"/>
  <c r="C20" i="3"/>
  <c r="E52" i="2" s="1"/>
  <c r="E53" i="2" s="1"/>
  <c r="E10" i="2"/>
  <c r="E12" i="2"/>
  <c r="E11" i="2"/>
  <c r="E9" i="2"/>
  <c r="G45" i="15"/>
  <c r="E22" i="17"/>
  <c r="E36" i="17"/>
  <c r="E35" i="17" s="1"/>
  <c r="E30" i="17"/>
  <c r="B57" i="16"/>
  <c r="F57" i="16"/>
  <c r="F38" i="16"/>
  <c r="F15" i="16"/>
  <c r="E15" i="16"/>
  <c r="G35" i="15"/>
  <c r="G30" i="15"/>
  <c r="H31" i="11"/>
  <c r="H30" i="11"/>
  <c r="H29" i="11"/>
  <c r="H28" i="11"/>
  <c r="H27" i="11"/>
  <c r="H26" i="11"/>
  <c r="H22" i="11"/>
  <c r="G24" i="11"/>
  <c r="G33" i="11" s="1"/>
  <c r="F24" i="11"/>
  <c r="F33" i="11" s="1"/>
  <c r="E24" i="11"/>
  <c r="E33" i="11" s="1"/>
  <c r="D24" i="11"/>
  <c r="D33" i="11" s="1"/>
  <c r="L44" i="12"/>
  <c r="L41" i="12"/>
  <c r="L40" i="12"/>
  <c r="F42" i="12"/>
  <c r="M39" i="12"/>
  <c r="F38" i="12"/>
  <c r="E141" i="2"/>
  <c r="E133" i="2" s="1"/>
  <c r="E124" i="2"/>
  <c r="E116" i="2" s="1"/>
  <c r="F108" i="2"/>
  <c r="G108" i="2"/>
  <c r="F103" i="2"/>
  <c r="F109" i="2" s="1"/>
  <c r="G103" i="2"/>
  <c r="G109" i="2" s="1"/>
  <c r="E107" i="2"/>
  <c r="E106" i="2"/>
  <c r="E2" i="2"/>
  <c r="E4" i="2" s="1"/>
  <c r="E6" i="2" s="1"/>
  <c r="E198" i="2"/>
  <c r="E195" i="2"/>
  <c r="E192" i="2"/>
  <c r="E191" i="2" s="1"/>
  <c r="E180" i="2"/>
  <c r="E182" i="2" s="1"/>
  <c r="E172" i="2"/>
  <c r="E167" i="2"/>
  <c r="E163" i="2"/>
  <c r="E157" i="2"/>
  <c r="E151" i="2"/>
  <c r="E127" i="2"/>
  <c r="E86" i="2"/>
  <c r="E79" i="2"/>
  <c r="E75" i="2"/>
  <c r="F32" i="12" s="1"/>
  <c r="E69" i="2"/>
  <c r="E64" i="2"/>
  <c r="E59" i="2"/>
  <c r="F29" i="12" s="1"/>
  <c r="E49" i="2"/>
  <c r="E36" i="2"/>
  <c r="E31" i="2"/>
  <c r="F13" i="2"/>
  <c r="H60" i="15"/>
  <c r="H54" i="15"/>
  <c r="G54" i="15"/>
  <c r="H45" i="15"/>
  <c r="H35" i="15"/>
  <c r="H30" i="15"/>
  <c r="H23" i="15"/>
  <c r="H22" i="15" s="1"/>
  <c r="G23" i="15"/>
  <c r="G22" i="15" s="1"/>
  <c r="H20" i="15"/>
  <c r="G20" i="15"/>
  <c r="D54" i="3"/>
  <c r="D62" i="3"/>
  <c r="F148" i="2"/>
  <c r="F151" i="2" s="1"/>
  <c r="G163" i="2"/>
  <c r="M21" i="12" s="1"/>
  <c r="F163" i="2"/>
  <c r="F141" i="2"/>
  <c r="F133" i="2" s="1"/>
  <c r="F124" i="2"/>
  <c r="F116" i="2" s="1"/>
  <c r="G86" i="2"/>
  <c r="F86" i="2"/>
  <c r="C6" i="3"/>
  <c r="F11" i="2"/>
  <c r="F12" i="2"/>
  <c r="F9" i="2"/>
  <c r="F2" i="2"/>
  <c r="F4" i="2" s="1"/>
  <c r="F6" i="2" s="1"/>
  <c r="F198" i="2"/>
  <c r="F195" i="2"/>
  <c r="F192" i="2"/>
  <c r="F191" i="2" s="1"/>
  <c r="F180" i="2"/>
  <c r="F182" i="2" s="1"/>
  <c r="F172" i="2"/>
  <c r="F167" i="2"/>
  <c r="F157" i="2"/>
  <c r="F127" i="2"/>
  <c r="F79" i="2"/>
  <c r="F75" i="2"/>
  <c r="F69" i="2"/>
  <c r="F64" i="2"/>
  <c r="F59" i="2"/>
  <c r="F53" i="2"/>
  <c r="F49" i="2"/>
  <c r="F36" i="2"/>
  <c r="F31" i="2"/>
  <c r="G36" i="2"/>
  <c r="F20" i="12" s="1"/>
  <c r="G198" i="2"/>
  <c r="G195" i="2"/>
  <c r="M43" i="12" s="1"/>
  <c r="G192" i="2"/>
  <c r="G191" i="2" s="1"/>
  <c r="G180" i="2"/>
  <c r="G172" i="2"/>
  <c r="M22" i="12" s="1"/>
  <c r="G167" i="2"/>
  <c r="G157" i="2"/>
  <c r="M20" i="12" s="1"/>
  <c r="G151" i="2"/>
  <c r="M19" i="12" s="1"/>
  <c r="G127" i="2"/>
  <c r="M17" i="12" s="1"/>
  <c r="G141" i="2"/>
  <c r="G133" i="2" s="1"/>
  <c r="M18" i="12" s="1"/>
  <c r="G124" i="2"/>
  <c r="G116" i="2" s="1"/>
  <c r="M16" i="12" s="1"/>
  <c r="G79" i="2"/>
  <c r="F33" i="12" s="1"/>
  <c r="G75" i="2"/>
  <c r="G69" i="2"/>
  <c r="F31" i="12" s="1"/>
  <c r="G64" i="2"/>
  <c r="G59" i="2"/>
  <c r="G53" i="2"/>
  <c r="F24" i="12" s="1"/>
  <c r="G49" i="2"/>
  <c r="F23" i="12" s="1"/>
  <c r="G31" i="2"/>
  <c r="F19" i="12" s="1"/>
  <c r="G19" i="2"/>
  <c r="G17" i="2" s="1"/>
  <c r="G25" i="2" s="1"/>
  <c r="F18" i="12" s="1"/>
  <c r="G12" i="2"/>
  <c r="L16" i="2" s="1"/>
  <c r="G10" i="2"/>
  <c r="L14" i="2" s="1"/>
  <c r="G9" i="2"/>
  <c r="L13" i="2" s="1"/>
  <c r="G11" i="2"/>
  <c r="L15" i="2" s="1"/>
  <c r="G13" i="2"/>
  <c r="L17" i="2" s="1"/>
  <c r="C42" i="3"/>
  <c r="E101" i="2" s="1"/>
  <c r="D46" i="3"/>
  <c r="C46" i="3"/>
  <c r="F46" i="3"/>
  <c r="C28" i="3"/>
  <c r="D103" i="2"/>
  <c r="D109" i="2" s="1"/>
  <c r="M15" i="12" l="1"/>
  <c r="E92" i="2"/>
  <c r="E29" i="12"/>
  <c r="E42" i="16" s="1"/>
  <c r="C94" i="2"/>
  <c r="C98" i="2" s="1"/>
  <c r="D92" i="2"/>
  <c r="G182" i="2"/>
  <c r="M31" i="12"/>
  <c r="M30" i="12" s="1"/>
  <c r="F92" i="2"/>
  <c r="E43" i="16"/>
  <c r="D182" i="2"/>
  <c r="D48" i="3"/>
  <c r="E42" i="3"/>
  <c r="E48" i="3" s="1"/>
  <c r="F42" i="3"/>
  <c r="F48" i="3" s="1"/>
  <c r="F34" i="12"/>
  <c r="F28" i="12" s="1"/>
  <c r="F27" i="12" s="1"/>
  <c r="G92" i="2"/>
  <c r="D49" i="16"/>
  <c r="D52" i="16" s="1"/>
  <c r="C48" i="3"/>
  <c r="E16" i="17"/>
  <c r="E13" i="17" s="1"/>
  <c r="E28" i="17" s="1"/>
  <c r="E33" i="17" s="1"/>
  <c r="E38" i="17" s="1"/>
  <c r="F15" i="12"/>
  <c r="D98" i="2"/>
  <c r="E19" i="16"/>
  <c r="L18" i="2"/>
  <c r="D55" i="2"/>
  <c r="E16" i="12"/>
  <c r="E55" i="16" s="1"/>
  <c r="G201" i="2"/>
  <c r="D201" i="2"/>
  <c r="D144" i="2"/>
  <c r="D174" i="2" s="1"/>
  <c r="F201" i="2"/>
  <c r="E201" i="2"/>
  <c r="F14" i="2"/>
  <c r="E14" i="2"/>
  <c r="G144" i="2"/>
  <c r="G174" i="2" s="1"/>
  <c r="E103" i="2"/>
  <c r="G111" i="2"/>
  <c r="E98" i="2"/>
  <c r="E144" i="2"/>
  <c r="E174" i="2" s="1"/>
  <c r="G14" i="2"/>
  <c r="F55" i="2"/>
  <c r="F111" i="2"/>
  <c r="F144" i="2"/>
  <c r="F174" i="2" s="1"/>
  <c r="D14" i="2"/>
  <c r="D111" i="2"/>
  <c r="L39" i="12"/>
  <c r="E28" i="12"/>
  <c r="E42" i="12"/>
  <c r="E38" i="12"/>
  <c r="L30" i="12"/>
  <c r="G55" i="2"/>
  <c r="E108" i="2"/>
  <c r="L15" i="12"/>
  <c r="H28" i="15"/>
  <c r="H43" i="15" s="1"/>
  <c r="H52" i="15" s="1"/>
  <c r="H58" i="15" s="1"/>
  <c r="H64" i="15" s="1"/>
  <c r="E55" i="2"/>
  <c r="C24" i="11"/>
  <c r="C33" i="11" s="1"/>
  <c r="H24" i="11"/>
  <c r="H33" i="11" s="1"/>
  <c r="F49" i="16"/>
  <c r="F17" i="16"/>
  <c r="G28" i="15"/>
  <c r="G43" i="15" s="1"/>
  <c r="G52" i="15" s="1"/>
  <c r="G58" i="15" s="1"/>
  <c r="G60" i="15" s="1"/>
  <c r="F43" i="17" l="1"/>
  <c r="F40" i="17" s="1"/>
  <c r="E15" i="18"/>
  <c r="E20" i="18" s="1"/>
  <c r="M46" i="12"/>
  <c r="E48" i="16"/>
  <c r="E49" i="16"/>
  <c r="E109" i="2"/>
  <c r="E57" i="16"/>
  <c r="D54" i="16"/>
  <c r="D57" i="16" s="1"/>
  <c r="F46" i="12"/>
  <c r="D205" i="2"/>
  <c r="D207" i="2" s="1"/>
  <c r="E205" i="2"/>
  <c r="G205" i="2"/>
  <c r="E111" i="2"/>
  <c r="E113" i="2" s="1"/>
  <c r="F205" i="2"/>
  <c r="D113" i="2"/>
  <c r="E27" i="12"/>
  <c r="G113" i="2"/>
  <c r="F113" i="2"/>
  <c r="L46" i="12"/>
  <c r="F14" i="16"/>
  <c r="F32" i="16" s="1"/>
  <c r="F52" i="16" s="1"/>
  <c r="E17" i="16"/>
  <c r="E15" i="12"/>
  <c r="G64" i="15"/>
  <c r="F48" i="12" l="1"/>
  <c r="E207" i="2"/>
  <c r="F207" i="2"/>
  <c r="G207" i="2"/>
  <c r="E46" i="12"/>
  <c r="E14" i="16"/>
  <c r="E32" i="16" s="1"/>
  <c r="E52" i="16" s="1"/>
  <c r="E43" i="17"/>
  <c r="E40" i="17" s="1"/>
  <c r="D15" i="18"/>
  <c r="D20" i="18" s="1"/>
  <c r="E48" i="12" l="1"/>
</calcChain>
</file>

<file path=xl/sharedStrings.xml><?xml version="1.0" encoding="utf-8"?>
<sst xmlns="http://schemas.openxmlformats.org/spreadsheetml/2006/main" count="545" uniqueCount="379">
  <si>
    <t>Disponibilidades Financeiras</t>
  </si>
  <si>
    <t>Títulos e Valores Mobiliários</t>
  </si>
  <si>
    <t>Adiantamentos Concedidos a Obras</t>
  </si>
  <si>
    <t>Antecipações a Empregados</t>
  </si>
  <si>
    <t>Tributos a Recuperar</t>
  </si>
  <si>
    <t>Despesas Antecipadas</t>
  </si>
  <si>
    <t>Devedores por Créditos Repassados</t>
  </si>
  <si>
    <t>Infra Estrutura de Conjuntos</t>
  </si>
  <si>
    <t>Provisão para perdas de Crédito de Liquidação Duvidosa</t>
  </si>
  <si>
    <t>Terrenos Destinados Edificações ou Urbanização</t>
  </si>
  <si>
    <t>Saldo Negativo do Imposto de Renda</t>
  </si>
  <si>
    <t>Aparelhos e Equipamentos de Comunicação</t>
  </si>
  <si>
    <t>Terrenos</t>
  </si>
  <si>
    <t>Edificações</t>
  </si>
  <si>
    <t>Software</t>
  </si>
  <si>
    <t>Obrigações Sociais</t>
  </si>
  <si>
    <t>INSS a Recolher - Serviços Terceirizados</t>
  </si>
  <si>
    <t>Obrigações Tributárias</t>
  </si>
  <si>
    <t>IRRF a Recolher - Empregados</t>
  </si>
  <si>
    <t>IRRF a Recolher - Terceiros</t>
  </si>
  <si>
    <t>ISS Próprio</t>
  </si>
  <si>
    <t>ISS - Terceiros</t>
  </si>
  <si>
    <t>Contas a Pagar</t>
  </si>
  <si>
    <t>Fornecedores de Bens e Serviços</t>
  </si>
  <si>
    <t>Fornecedores de Bens e Serviços a faturar</t>
  </si>
  <si>
    <t>Diárias a Pagar</t>
  </si>
  <si>
    <t>Provisões Trabalhistas</t>
  </si>
  <si>
    <t>Caução a Restituir</t>
  </si>
  <si>
    <t>Créditos para Recursos Vinculados</t>
  </si>
  <si>
    <t>Programas Construção Unidades Habitacionais</t>
  </si>
  <si>
    <t>Provisões para Contingências</t>
  </si>
  <si>
    <t>Provisões para Contingências Processos Civeis</t>
  </si>
  <si>
    <t>PATRIMÔNIO LÍQUIDO</t>
  </si>
  <si>
    <t>Capital Social</t>
  </si>
  <si>
    <t>Ações</t>
  </si>
  <si>
    <t>Integralizado</t>
  </si>
  <si>
    <t>Capital Subscrito</t>
  </si>
  <si>
    <t>Capital Subscrito a Integralizar</t>
  </si>
  <si>
    <t>Reservas</t>
  </si>
  <si>
    <t>Reservas de Lucros</t>
  </si>
  <si>
    <t>Resultado de Apuração</t>
  </si>
  <si>
    <t>Férias</t>
  </si>
  <si>
    <t>TOTAL</t>
  </si>
  <si>
    <t>Fontes Orçamentárias</t>
  </si>
  <si>
    <t>Protege</t>
  </si>
  <si>
    <t>Regularização Fundiária</t>
  </si>
  <si>
    <t>Caixa e Equivalente de Caixa</t>
  </si>
  <si>
    <t>Recurso Arrecadado</t>
  </si>
  <si>
    <t>Alienação de Imóveis</t>
  </si>
  <si>
    <t>Convênios Federais</t>
  </si>
  <si>
    <t>Recurso Ordinário</t>
  </si>
  <si>
    <t>João Paulo II - 2ª Etapa</t>
  </si>
  <si>
    <t>Real Conquista</t>
  </si>
  <si>
    <t>Damianópolis</t>
  </si>
  <si>
    <t>IRRF Sobre Rendimentos Aplicados (a)</t>
  </si>
  <si>
    <t>IRRF Sobre Serviço Prestados (b)</t>
  </si>
  <si>
    <t>IRRF sobre Rendimentos Financeiros</t>
  </si>
  <si>
    <t>Data</t>
  </si>
  <si>
    <t>Documento</t>
  </si>
  <si>
    <t>Valor</t>
  </si>
  <si>
    <t>Seguro a Apropriar</t>
  </si>
  <si>
    <t>Almoxarifado - sede</t>
  </si>
  <si>
    <t>Descrição</t>
  </si>
  <si>
    <t>Prestações a Receber Conjuntos e Loteamentos (Ativo Circulante)</t>
  </si>
  <si>
    <t>Prestações a Receber Conjuntos e Loteamentos (Ativo Longo Prazo)</t>
  </si>
  <si>
    <t>Unidades Residenciais Programas Governo</t>
  </si>
  <si>
    <t>Conjunto Vera Cruz/Goiânia-Goiás</t>
  </si>
  <si>
    <t>Santos Dumont/Goiânia-Goiás</t>
  </si>
  <si>
    <t>Depreciações</t>
  </si>
  <si>
    <t>Benfeitoria em Imóveis de Terceiros</t>
  </si>
  <si>
    <t>Amortização</t>
  </si>
  <si>
    <t>Aquisições</t>
  </si>
  <si>
    <t>Contas</t>
  </si>
  <si>
    <t>Obrigações Trabalhistas e Consignações</t>
  </si>
  <si>
    <t>Empregados Cedidos</t>
  </si>
  <si>
    <t xml:space="preserve">Contribuição Previdenciária - INSS a Recolher </t>
  </si>
  <si>
    <t>PIS/COFINS/CSLL  Terceiros</t>
  </si>
  <si>
    <t xml:space="preserve">PIS - Não Cumulativo a Recolher </t>
  </si>
  <si>
    <t xml:space="preserve">COFINS  Não Cumulativo a Recolher  </t>
  </si>
  <si>
    <t>Retenções - Cooperativa</t>
  </si>
  <si>
    <t>Provisões de Férias</t>
  </si>
  <si>
    <t>( - )</t>
  </si>
  <si>
    <t>Construção de UH</t>
  </si>
  <si>
    <t>( + )</t>
  </si>
  <si>
    <t>=</t>
  </si>
  <si>
    <t>Empenhos Cancelados</t>
  </si>
  <si>
    <t>Saldo Restos a Pagar em 31/12/2024</t>
  </si>
  <si>
    <t>Convênio Ministério das Cidades e Caixa Econômica Federal/FAR</t>
  </si>
  <si>
    <t xml:space="preserve">Prejuízos Acumulados </t>
  </si>
  <si>
    <t>Ações em Tesouraria</t>
  </si>
  <si>
    <t>Subvenção Governamental a Realizar</t>
  </si>
  <si>
    <t>Subvenção Governamental /Investimento</t>
  </si>
  <si>
    <t>Entidades</t>
  </si>
  <si>
    <t>Natureza da Transação</t>
  </si>
  <si>
    <t>Convênio</t>
  </si>
  <si>
    <t>1. Agência de Fomento de Goiás S/A</t>
  </si>
  <si>
    <t>Subvenção Governamental</t>
  </si>
  <si>
    <t>Construção de Unidades Habitacionais</t>
  </si>
  <si>
    <t>Aluguel Social</t>
  </si>
  <si>
    <t>Prestação de Serviço</t>
  </si>
  <si>
    <t>Aplicação Programas Habitacionais</t>
  </si>
  <si>
    <t>Recurso União</t>
  </si>
  <si>
    <t>Projeto Técnico Social</t>
  </si>
  <si>
    <t>Recurso Estadual</t>
  </si>
  <si>
    <t>Reforma de Unidades Habitacionais</t>
  </si>
  <si>
    <t>Receitas Financeiras</t>
  </si>
  <si>
    <t>Conta Única do Tesouro Estadual</t>
  </si>
  <si>
    <t>Material de Limpeza e Produtos de Higienização</t>
  </si>
  <si>
    <t>Material para cozinha, refeitórios e afins</t>
  </si>
  <si>
    <t>Gêneros Alimentícios</t>
  </si>
  <si>
    <t>Material de Expediente</t>
  </si>
  <si>
    <t>Salários a Pagar</t>
  </si>
  <si>
    <t>FGTS a Recolher</t>
  </si>
  <si>
    <t>Rescisões Trabalhistas</t>
  </si>
  <si>
    <t>Provisões de 13º Salário</t>
  </si>
  <si>
    <t>Subvenção Custeio</t>
  </si>
  <si>
    <t>Transferência (Tesouro Estadual) dos Saldos Empenhados de 2025</t>
  </si>
  <si>
    <t>Caução a Restituir/Adian Clientes</t>
  </si>
  <si>
    <t>Subvenção Recurso Estadual</t>
  </si>
  <si>
    <t>Subvenção Recurso União</t>
  </si>
  <si>
    <t>Termos e Convênios</t>
  </si>
  <si>
    <t>ATIVO</t>
  </si>
  <si>
    <t>PASSIVO</t>
  </si>
  <si>
    <t>13º Salário</t>
  </si>
  <si>
    <t>PESSOAL E ENCARGOS</t>
  </si>
  <si>
    <t>Despesas</t>
  </si>
  <si>
    <t>Fonte Alienação de Imóveis</t>
  </si>
  <si>
    <t>Fonte Convênios Federais</t>
  </si>
  <si>
    <t>Contribuições Sindicais</t>
  </si>
  <si>
    <t>ISS - Outros Municipios</t>
  </si>
  <si>
    <t>Restos a Pagar - Fonte Orçamentária PROTEGE</t>
  </si>
  <si>
    <t>Saldo Financeiro  Fonte Orçamentária Recurso Ordinário</t>
  </si>
  <si>
    <t>Recursos Convênio FAR/Fonte Orçamentária PROTEGE</t>
  </si>
  <si>
    <t>Bens Mobiliários</t>
  </si>
  <si>
    <t>DEMONSTRAÇÃO DAS MUTAÇÕES DO PATRIMÔNIO LÍQUIDO (DMPL)</t>
  </si>
  <si>
    <t>DESCRIÇÃO</t>
  </si>
  <si>
    <t>Capital Realizado Atualizado</t>
  </si>
  <si>
    <t xml:space="preserve">  Resultado Acumulado</t>
  </si>
  <si>
    <t>Total Geral</t>
  </si>
  <si>
    <t>Capital a Realizar</t>
  </si>
  <si>
    <t>Subvenção Governamental para Investimento</t>
  </si>
  <si>
    <t>Subvenção Governamental/Investimento</t>
  </si>
  <si>
    <t>Ajuste de Exercícios Anteriores</t>
  </si>
  <si>
    <t>Resultado do Exercício</t>
  </si>
  <si>
    <t>(-) Ações Em Tesouraria</t>
  </si>
  <si>
    <t>Saldo em 31/12/2023</t>
  </si>
  <si>
    <t>Saldo em 31/12/2024</t>
  </si>
  <si>
    <t xml:space="preserve"> AGÊNCIA GOIANA DE HABITAÇÃO S/A</t>
  </si>
  <si>
    <t>CNPJ:  01.274.240/0001-47</t>
  </si>
  <si>
    <t>(Valores Expressos em Reais)</t>
  </si>
  <si>
    <t>Reconhecemos a exatidão da presente Demonstração das Mutações do Patrimônio Líquido - Nota Explicativa nº 22</t>
  </si>
  <si>
    <t>(Valores expressos em milhares de reais)</t>
  </si>
  <si>
    <t>BALANÇO PATRIMONIAL (BP)</t>
  </si>
  <si>
    <t>Nota</t>
  </si>
  <si>
    <t>ATIVO CIRCULANTE</t>
  </si>
  <si>
    <t>PASSIVO CIRCULANTE</t>
  </si>
  <si>
    <t>Obrigações Trabalhistas</t>
  </si>
  <si>
    <t>Contas a Receber</t>
  </si>
  <si>
    <t>Créditos Vinculados Convênios</t>
  </si>
  <si>
    <t>Estoque de bens do almoxarifado</t>
  </si>
  <si>
    <t>ATIVO NÃO CIRCULANTE</t>
  </si>
  <si>
    <t>Realizável a Longo Prazo</t>
  </si>
  <si>
    <t>12.1</t>
  </si>
  <si>
    <t>12.2</t>
  </si>
  <si>
    <t>PASSIVO NÃO CIRCULANTE</t>
  </si>
  <si>
    <t xml:space="preserve">Unidades Residenciais </t>
  </si>
  <si>
    <t>12.3</t>
  </si>
  <si>
    <t>Contingências Judiciais</t>
  </si>
  <si>
    <t>Terrenos Edificações ou Urbanização</t>
  </si>
  <si>
    <t>12.4</t>
  </si>
  <si>
    <t>12.5</t>
  </si>
  <si>
    <t>Obras em Andamento - Programas Habitacionais</t>
  </si>
  <si>
    <t>12.6</t>
  </si>
  <si>
    <t>Imobilizado</t>
  </si>
  <si>
    <t>Bens Tangíveis</t>
  </si>
  <si>
    <t>(-)Depreciações Acumuladas</t>
  </si>
  <si>
    <t>21.1</t>
  </si>
  <si>
    <t>(-) Capital a Integralizar</t>
  </si>
  <si>
    <t>Intangível</t>
  </si>
  <si>
    <t>Reserva Subvenção Governamental</t>
  </si>
  <si>
    <t>21.2</t>
  </si>
  <si>
    <t>Resultados Acumulados</t>
  </si>
  <si>
    <t>21.3</t>
  </si>
  <si>
    <t>(-)Amortizações Acumuladas</t>
  </si>
  <si>
    <t>21.4</t>
  </si>
  <si>
    <t>TOTAL DO ATIVO</t>
  </si>
  <si>
    <t>TOTAL DO PASSIVO</t>
  </si>
  <si>
    <t xml:space="preserve">       DEMONSTRAÇÃO DO RESULTADO DO EXERCÍCIO  (DRE)</t>
  </si>
  <si>
    <t>RECEITA OPERACIONAL BRUTA</t>
  </si>
  <si>
    <t>23.1</t>
  </si>
  <si>
    <t>(=) RECEITA OPERACIONAL LÍQUIDA</t>
  </si>
  <si>
    <t>OUTRAS RECEITAS</t>
  </si>
  <si>
    <t>23.2</t>
  </si>
  <si>
    <t>SUBVENÇÃO GOVERNAMENTAL</t>
  </si>
  <si>
    <t>Subvenção de Custeio  - Recursos Tesouro Estadual  (a)</t>
  </si>
  <si>
    <t>Subvenção Programas Habitacionais - Recursos Tesouro Estadual  (b)</t>
  </si>
  <si>
    <t>Subvenção Programas Habitacionais - Recursos União  (c)</t>
  </si>
  <si>
    <t>23.3</t>
  </si>
  <si>
    <t>APLICAÇÃO PROGRAMAS HABITACIONAIS</t>
  </si>
  <si>
    <t>23.3.1</t>
  </si>
  <si>
    <t>Com Recursos - União (a)</t>
  </si>
  <si>
    <t>Com Recursos - Tesouro Estadual (b)</t>
  </si>
  <si>
    <t>23.3.2</t>
  </si>
  <si>
    <t>Mão de Obra  (a)</t>
  </si>
  <si>
    <t>Serviços de Terceiros  (b)</t>
  </si>
  <si>
    <t>Outros Custos Operacionais  (c)</t>
  </si>
  <si>
    <t>Custo com Obras Administradas  (d)</t>
  </si>
  <si>
    <t>(=) RESULTADO OPERACIONAL BRUTO</t>
  </si>
  <si>
    <t>DESPESAS OPERACIONAIS</t>
  </si>
  <si>
    <t>23.4</t>
  </si>
  <si>
    <t>Despesas com Pessoal (a)</t>
  </si>
  <si>
    <t>Serviço de Terceiros  (b)</t>
  </si>
  <si>
    <t>Despesas Gerais Administrativas (c)</t>
  </si>
  <si>
    <t>Despesas Tributárias (d)</t>
  </si>
  <si>
    <t>Outras Receitas e Outras Despesas Operacionais (e)</t>
  </si>
  <si>
    <t>(=) RESULTADO OPERACIONAL</t>
  </si>
  <si>
    <t>RESULTADO FINANCEIRO LÍQUIDO</t>
  </si>
  <si>
    <t>23.5</t>
  </si>
  <si>
    <t>Despesas Financeiras</t>
  </si>
  <si>
    <t>PROVISÃO IRPJ E CSLL</t>
  </si>
  <si>
    <t>CSLL</t>
  </si>
  <si>
    <t>IRPJ</t>
  </si>
  <si>
    <t>(=) RESULTADO LÍQUIDO DO PERÍODO</t>
  </si>
  <si>
    <t>23.6</t>
  </si>
  <si>
    <t>Reconhecemos a exatidão da presente Demonstração do Resultado do Exercício - Nota Explicativa nº 23</t>
  </si>
  <si>
    <t>(-)Impostos Incidentes e Desvinculações  (c)</t>
  </si>
  <si>
    <t>Subvenção Programas Habitacionais - Recurso Estado de Goiás</t>
  </si>
  <si>
    <t>VALOR</t>
  </si>
  <si>
    <t>Medições Realizadas</t>
  </si>
  <si>
    <t>Baixas Realizadas</t>
  </si>
  <si>
    <t>Senador Canedo - Conjunto Sabiá</t>
  </si>
  <si>
    <t>Aparecida de Goiânia - Conjunto Planicie</t>
  </si>
  <si>
    <t xml:space="preserve">ATIVO </t>
  </si>
  <si>
    <t>Férias a Pagar</t>
  </si>
  <si>
    <t>19/20</t>
  </si>
  <si>
    <t>DEMONSTRAÇÃO DOS FLUXOS DE CAIXA - MÉTODO INDIRETO (DFC)</t>
  </si>
  <si>
    <t xml:space="preserve"> Atividades Operacionais </t>
  </si>
  <si>
    <t>24.1</t>
  </si>
  <si>
    <t xml:space="preserve">    Lucro Líquido</t>
  </si>
  <si>
    <t xml:space="preserve"> Ajustes de:</t>
  </si>
  <si>
    <t xml:space="preserve">    Depreciação e Amortização</t>
  </si>
  <si>
    <t>Variação no Capital Circulante e Não Circulante</t>
  </si>
  <si>
    <t xml:space="preserve">    Aumento/Redução em Adiantamento a Obras</t>
  </si>
  <si>
    <t xml:space="preserve">    Aumento/Redução em Antecipações a Empregados</t>
  </si>
  <si>
    <t xml:space="preserve">    Aumento/Redução em Tributos a Recuperar</t>
  </si>
  <si>
    <t xml:space="preserve">    Aumento/Redução em Despesas Antecipadas</t>
  </si>
  <si>
    <t xml:space="preserve">    Aumento/Redução em Estoque de Bens do almoxarifado</t>
  </si>
  <si>
    <t xml:space="preserve">    Aumento/Redução em Obrigações Trabalhistas </t>
  </si>
  <si>
    <t xml:space="preserve">    Aumento/Redução em Obrigações Sociais</t>
  </si>
  <si>
    <t xml:space="preserve">    Aumento/Redução em Obrigações Tributárias</t>
  </si>
  <si>
    <t xml:space="preserve">    Aumento/Redução em Contas a Pagar</t>
  </si>
  <si>
    <t xml:space="preserve">    Aumento/Redução em Provisões Trabalhistas</t>
  </si>
  <si>
    <t xml:space="preserve">    Aumento/Redução em Subvenção Governamental a Realizar</t>
  </si>
  <si>
    <t xml:space="preserve">    Aumento/Redução em Créditos Vinculados Convênios</t>
  </si>
  <si>
    <t xml:space="preserve">   ( = ) Caixa Líquido Consumido nas Atividades  Operacionais</t>
  </si>
  <si>
    <t xml:space="preserve"> Atividades De Investimento</t>
  </si>
  <si>
    <t>24.2</t>
  </si>
  <si>
    <t xml:space="preserve">     Baixa de Imobilizado</t>
  </si>
  <si>
    <t xml:space="preserve">   ( = ) Caixa Líquido Consumido nas Atividades de Investimentos</t>
  </si>
  <si>
    <t>Atividades de Financiamento</t>
  </si>
  <si>
    <t>24.3</t>
  </si>
  <si>
    <t xml:space="preserve">    Aumento/Redução Devedores com Vendas Compromissadas</t>
  </si>
  <si>
    <t xml:space="preserve">    Aumento/Redução Terrenos Edificações ou Urbanização</t>
  </si>
  <si>
    <t xml:space="preserve">    Aumento/Redução Tributos a Recuperar</t>
  </si>
  <si>
    <t xml:space="preserve">    Aumento/Redução em Obras em Andamento Programas Habitacionais</t>
  </si>
  <si>
    <t xml:space="preserve">    Aumento/Redução em Contingencias Judiciais</t>
  </si>
  <si>
    <t xml:space="preserve">   ( = ) Caixa Líquido Consumido nas Atividades de Financiamento</t>
  </si>
  <si>
    <t xml:space="preserve">   ( = ) (Redução)/Aumento Líquido nas Disponibilidades</t>
  </si>
  <si>
    <t>24.4</t>
  </si>
  <si>
    <t xml:space="preserve">    Saldo de Caixa Início do Exercício</t>
  </si>
  <si>
    <t xml:space="preserve">    Saldo de Caixa Final do Exercício</t>
  </si>
  <si>
    <t>Reconhecemos a exatidão da presente Demonstração dos Fluxos de Caixa - Nota Explicativa nº 24</t>
  </si>
  <si>
    <t xml:space="preserve">       DEMONSTRAÇÃO DO VALOR ADICIONADO (DVA)</t>
  </si>
  <si>
    <t>RECEITAS</t>
  </si>
  <si>
    <t>25.1</t>
  </si>
  <si>
    <t>Receita de Alienação de Bens Imóveis</t>
  </si>
  <si>
    <t xml:space="preserve">Subvenção de Custeio  - Recursos Tesouro Estadual </t>
  </si>
  <si>
    <t xml:space="preserve">Subvenção Programas Habitacionais - Recursos Tesouro Estadual </t>
  </si>
  <si>
    <t xml:space="preserve">Subvenção Programas Habitacionais - Recursos União </t>
  </si>
  <si>
    <t xml:space="preserve">Outras Receitas </t>
  </si>
  <si>
    <t>(-)INSUMOS ADQUIRIDOS DE TERCEIROS</t>
  </si>
  <si>
    <t>25.2</t>
  </si>
  <si>
    <t>Materiais, Energia, Serviços de Terceiros e Outros</t>
  </si>
  <si>
    <t>Perda/Recuperação de Valores Ativos</t>
  </si>
  <si>
    <t>Outras Despesas</t>
  </si>
  <si>
    <t>(=)VALOR ADICIONADO BRUTO</t>
  </si>
  <si>
    <t>(-)RETENÇÕES</t>
  </si>
  <si>
    <t>Depreciação, Amortização e Exaustão</t>
  </si>
  <si>
    <t>(=)VALOR ADICIONADO LÍQUIDO PRODUZIDO PELA ENTIDADE</t>
  </si>
  <si>
    <t>(+)VALOR ADICIONADO RECEBIDO EM TRANSFERÊNCIA</t>
  </si>
  <si>
    <t>(=)VALOR ADICIONADO TOTAL A DISTRIBUIR</t>
  </si>
  <si>
    <t>(+)DISTRIBUIÇÃO DO VALOR ADICIONADO</t>
  </si>
  <si>
    <t>25.3</t>
  </si>
  <si>
    <t>Pessoal e Encargos</t>
  </si>
  <si>
    <t>Impostos, Taxas e Contribuições</t>
  </si>
  <si>
    <t>Lucros Retidos/Prejuízos do Exercício</t>
  </si>
  <si>
    <t>Reconhecemos a exatidão da presente Demonstração do Valor Adicionado - Nota Explicativa nº 25</t>
  </si>
  <si>
    <t xml:space="preserve">       DEMONSTRAÇÃO DO RESULTADO ABRANGENTE  (DRA)</t>
  </si>
  <si>
    <t>RESULTADO LÍQUIDO DO PERÍODO</t>
  </si>
  <si>
    <t>Outros resultados abrangentes classificados conforme sua natureza (outras receitas e outras despesas abrangentes)</t>
  </si>
  <si>
    <t>Parcela dos outros resultados abrangentes de empresas investidas reconhecida por meio do método de equivalência patrimonial</t>
  </si>
  <si>
    <t>RESULTADO ABRANGENTE DO PERÍODO</t>
  </si>
  <si>
    <t>Reconhecemos a exatidão da presente Demonstração do Resultado Abrangente - Nota Explicativa nº 26</t>
  </si>
  <si>
    <t xml:space="preserve">    Aumento/Redução Unidades Residenciais Programas de Governo</t>
  </si>
  <si>
    <t xml:space="preserve">    Aumento/Redução em Contas a Receber</t>
  </si>
  <si>
    <t>Serviços Construção Civil</t>
  </si>
  <si>
    <t>Acionista Majoritário</t>
  </si>
  <si>
    <t>Obras Concluídas - Programas Habitacionais</t>
  </si>
  <si>
    <t>12.7</t>
  </si>
  <si>
    <t>Transferência Obras Concluídas</t>
  </si>
  <si>
    <t>Líquido 31/12/2025</t>
  </si>
  <si>
    <t>Saldos utilizados 01/01 a 31/12/2025</t>
  </si>
  <si>
    <t>Saldo Restos a Pagar em 31/12/2025</t>
  </si>
  <si>
    <t>Provisões para Contingências Processos Fiscais</t>
  </si>
  <si>
    <t>13.5</t>
  </si>
  <si>
    <t>13.6</t>
  </si>
  <si>
    <t>Saldo em 31/12/2025</t>
  </si>
  <si>
    <t xml:space="preserve">    Aumento/Redução em Obras Concluídas</t>
  </si>
  <si>
    <t>Receitas Bruta de Serviço  (a)</t>
  </si>
  <si>
    <t>Receita de Alienação de Bens Imóveis (b)</t>
  </si>
  <si>
    <t xml:space="preserve">Receitas Bruta de Serviço </t>
  </si>
  <si>
    <t>Construção Unidades Habitacionais</t>
  </si>
  <si>
    <t>Construção Unidades Habitacionais FAR/PROTEGE</t>
  </si>
  <si>
    <t>2. Governo do Estado de Goiás</t>
  </si>
  <si>
    <t>2.1 Governo do Estado de Goiás</t>
  </si>
  <si>
    <t>2.2 Governo do Estado de Goiás</t>
  </si>
  <si>
    <t>TOTAL GERAL</t>
  </si>
  <si>
    <t>Reforma UH</t>
  </si>
  <si>
    <t>CUSTOS DOS SERVIÇOS PRESTADOS</t>
  </si>
  <si>
    <t>OUTROS CUSTOS DOS SERVIÇOS PRESTADOS</t>
  </si>
  <si>
    <t>Provisão para Perdas com créditos de liquidação duvidosa</t>
  </si>
  <si>
    <t>Contas a Receber - Devedores por Vendas Compromissadas</t>
  </si>
  <si>
    <t>Prestações a receber Conjuntos e Loteamentos - Fonte Alienação de Bens (a)</t>
  </si>
  <si>
    <t>Secretaria de Estado da Economia - Fonte Recurso Arrecadado (b)</t>
  </si>
  <si>
    <t>Contas a Receber - Devedores Vendas Compromissadas</t>
  </si>
  <si>
    <t>Conta Contábil</t>
  </si>
  <si>
    <t>1.2.01.08.001.0001</t>
  </si>
  <si>
    <t>Obras em Andamento - Recurso Tesouro Estadual - Fonte Protege</t>
  </si>
  <si>
    <t>Obras em Andamento - Retomada - Fonte Recurso Ordinário Estadual</t>
  </si>
  <si>
    <t>1.2.01.08.001.0003</t>
  </si>
  <si>
    <t>Obras em Andamento - Recurso Tesouro Estadual - Fonte Protege/FAR</t>
  </si>
  <si>
    <t>1.2.01.08.001.0004</t>
  </si>
  <si>
    <t>Obras Em Andamento - Programas Habitacionais</t>
  </si>
  <si>
    <t>Obras em Andamento - Convênios Federais FGTS/CAIXA</t>
  </si>
  <si>
    <t>1.2.01.09.001.0002</t>
  </si>
  <si>
    <t>Obra Concluída - Convênios Federais/CAIXA/FGTS (João Paulo II)</t>
  </si>
  <si>
    <t>Estoque de Bens do Almoxarifado</t>
  </si>
  <si>
    <t>31 de Março de 2026</t>
  </si>
  <si>
    <t>Goiânia-Goiás, 31 de Março de 2026</t>
  </si>
  <si>
    <t>Clientes Diversos - Fonte Recurso Arrecadado ( c)</t>
  </si>
  <si>
    <t>(-) Perdas com créditos de Liquidação Duvidosa (d )</t>
  </si>
  <si>
    <t>Adiantamento a Terceiros</t>
  </si>
  <si>
    <t>Pluxee Benefícios Brasil S/A</t>
  </si>
  <si>
    <t>TOTAL 31/03/2026</t>
  </si>
  <si>
    <t>Conselhos</t>
  </si>
  <si>
    <t>Empréstimo Consignado/Crédito ao Trabalhador</t>
  </si>
  <si>
    <t xml:space="preserve">RECONHECEMOS A EXATIDÃO DO PRESENTE BALANÇO PATRIMONIAL ENCERRADO EM 31/03/2026, TOTALIZANDO NO ATIVO E PASSIVO O VALOR DE R$ 967.286.455,82 (NOVECENTOS E SESSENTA E SETE MILHÕES, DUZENTOS E OITENTA E SEIS MIL, QUATROCENTOS E CINQUENTA E CINCO REAIS E OITENTA E DOIS CENTAVOS).                                            </t>
  </si>
  <si>
    <t>Saldo em 31/03/2026</t>
  </si>
  <si>
    <t xml:space="preserve">     Aquisição de  Imobilizado/Desenvolvimento de Software</t>
  </si>
  <si>
    <t xml:space="preserve">    Aumento/Redução em Adiantamento a Terceiros</t>
  </si>
  <si>
    <t>8.1</t>
  </si>
  <si>
    <t>8.2</t>
  </si>
  <si>
    <t>Nota Fiscal n.120</t>
  </si>
  <si>
    <t>Nota Fiscal n.154</t>
  </si>
  <si>
    <t>Nota Fiscal n.179</t>
  </si>
  <si>
    <t>Aplicações Financeiras</t>
  </si>
  <si>
    <t>Líquido 31/03/2026</t>
  </si>
  <si>
    <t>Líquido 31/03/2025</t>
  </si>
  <si>
    <t>Mobiliário em Geral</t>
  </si>
  <si>
    <t>Equipamentos de Processamento de Dados</t>
  </si>
  <si>
    <t>Máquinas, Instalações e Utensílios de Escritório</t>
  </si>
  <si>
    <t>Aparelhos e Equipamentos de Medição e Orientação</t>
  </si>
  <si>
    <t>Caixa e Equivalentes de Caixa</t>
  </si>
  <si>
    <t>Saldos utilizados 01/01 a 31/03/2026</t>
  </si>
  <si>
    <t>Empenhos FAR/PROTEGE</t>
  </si>
  <si>
    <t>Saldo Restos a Pagar em 31/03/2026</t>
  </si>
  <si>
    <t>Custos</t>
  </si>
  <si>
    <t>ESTRUTURADAS CONFORME AS NORMAS BRASILEIRAS DE CONTABILIDADE - NBC</t>
  </si>
  <si>
    <t>(=) RESULTADO OPERACIONAL ANTES DO IRPJ E CSLL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</si>
</sst>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&quot;R$&quot;* #,##0.00_);\(&quot;R$&quot;* #,##0.00\);_(&quot;R$&quot;* &quot;-&quot;??_);_(@_)"/>
    <numFmt numFmtId="165" formatCode="_(* #,##0.00_);\(* #,##0.00\);_(* &quot;-&quot;??_);_(@_)"/>
    <numFmt numFmtId="166" formatCode="[$R$-416]&quot; &quot;#,##0.00;&quot;-&quot;[$R$-416]&quot; &quot;#,##0.00"/>
    <numFmt numFmtId="167" formatCode="_(* #,##0.00_);_(* \(#,##0.00\);_(* &quot;-&quot;??_);_(@_)"/>
    <numFmt numFmtId="168" formatCode="_(* #,##0.00_);_(* \(#,##0.00\);_(* \-??_);_(@_)"/>
    <numFmt numFmtId="169" formatCode="#,##0.00_ ;[Red]\-#,##0.00\ "/>
  </numFmts>
  <fonts count="37" x14ac:knownFonts="1">
    <font>
      <sz val="8"/>
      <name val="Arial"/>
    </font>
    <font>
      <b/>
      <sz val="10"/>
      <name val="Arial"/>
      <family val="2"/>
    </font>
    <font>
      <sz val="1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Arial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70C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sz val="10"/>
      <color indexed="8"/>
      <name val="Times New Roman"/>
      <family val="1"/>
    </font>
    <font>
      <sz val="9"/>
      <name val="Arial"/>
      <family val="2"/>
    </font>
    <font>
      <sz val="9"/>
      <name val="Times New Roman"/>
      <family val="1"/>
    </font>
    <font>
      <b/>
      <sz val="9"/>
      <name val="Times New Roman"/>
      <family val="1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rgb="FFBFBFBF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0" fontId="8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429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0" xfId="1" applyFont="1"/>
    <xf numFmtId="0" fontId="4" fillId="3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164" fontId="4" fillId="0" borderId="0" xfId="1" applyFont="1" applyAlignment="1">
      <alignment horizontal="center"/>
    </xf>
    <xf numFmtId="14" fontId="4" fillId="2" borderId="0" xfId="0" applyNumberFormat="1" applyFont="1" applyFill="1" applyBorder="1" applyAlignment="1">
      <alignment horizontal="center"/>
    </xf>
    <xf numFmtId="0" fontId="10" fillId="2" borderId="0" xfId="0" applyFont="1" applyFill="1"/>
    <xf numFmtId="0" fontId="11" fillId="2" borderId="0" xfId="0" applyFont="1" applyFill="1"/>
    <xf numFmtId="0" fontId="10" fillId="2" borderId="0" xfId="0" applyFont="1" applyFill="1" applyAlignment="1"/>
    <xf numFmtId="0" fontId="10" fillId="2" borderId="0" xfId="0" applyFont="1" applyFill="1" applyAlignment="1">
      <alignment horizontal="center"/>
    </xf>
    <xf numFmtId="0" fontId="11" fillId="2" borderId="0" xfId="3" applyFont="1" applyFill="1" applyBorder="1"/>
    <xf numFmtId="167" fontId="10" fillId="2" borderId="0" xfId="8" applyNumberFormat="1" applyFont="1" applyFill="1" applyBorder="1" applyAlignment="1"/>
    <xf numFmtId="0" fontId="10" fillId="2" borderId="0" xfId="3" applyFont="1" applyFill="1" applyAlignment="1"/>
    <xf numFmtId="0" fontId="10" fillId="2" borderId="0" xfId="3" applyFont="1" applyFill="1" applyAlignment="1">
      <alignment horizontal="center"/>
    </xf>
    <xf numFmtId="167" fontId="11" fillId="3" borderId="1" xfId="8" applyNumberFormat="1" applyFont="1" applyFill="1" applyBorder="1" applyAlignment="1">
      <alignment horizontal="center"/>
    </xf>
    <xf numFmtId="0" fontId="5" fillId="3" borderId="1" xfId="8" applyNumberFormat="1" applyFont="1" applyFill="1" applyBorder="1" applyAlignment="1">
      <alignment horizontal="center" vertical="center" wrapText="1"/>
    </xf>
    <xf numFmtId="0" fontId="5" fillId="2" borderId="0" xfId="3" applyFont="1" applyFill="1" applyBorder="1" applyAlignment="1">
      <alignment horizontal="center" vertical="center"/>
    </xf>
    <xf numFmtId="0" fontId="5" fillId="2" borderId="0" xfId="8" applyNumberFormat="1" applyFont="1" applyFill="1" applyBorder="1" applyAlignment="1">
      <alignment horizontal="center" vertical="center" wrapText="1"/>
    </xf>
    <xf numFmtId="0" fontId="5" fillId="2" borderId="0" xfId="3" applyNumberFormat="1" applyFont="1" applyFill="1" applyBorder="1" applyAlignment="1">
      <alignment horizontal="center" vertical="center" wrapText="1"/>
    </xf>
    <xf numFmtId="0" fontId="5" fillId="2" borderId="0" xfId="3" applyFont="1" applyFill="1" applyBorder="1" applyAlignment="1">
      <alignment horizontal="center" vertical="center" wrapText="1"/>
    </xf>
    <xf numFmtId="0" fontId="11" fillId="2" borderId="0" xfId="3" applyFont="1" applyFill="1" applyBorder="1" applyAlignment="1">
      <alignment horizontal="center"/>
    </xf>
    <xf numFmtId="167" fontId="5" fillId="2" borderId="0" xfId="7" applyFont="1" applyFill="1" applyBorder="1" applyAlignment="1">
      <alignment horizontal="center"/>
    </xf>
    <xf numFmtId="0" fontId="4" fillId="2" borderId="0" xfId="0" applyFont="1" applyFill="1" applyAlignment="1"/>
    <xf numFmtId="0" fontId="4" fillId="2" borderId="0" xfId="0" applyFont="1" applyFill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/>
    <xf numFmtId="0" fontId="4" fillId="2" borderId="0" xfId="0" applyFont="1" applyFill="1" applyBorder="1" applyAlignment="1"/>
    <xf numFmtId="0" fontId="3" fillId="2" borderId="0" xfId="0" applyFont="1" applyFill="1" applyBorder="1" applyAlignment="1">
      <alignment horizontal="center"/>
    </xf>
    <xf numFmtId="167" fontId="4" fillId="2" borderId="0" xfId="0" applyNumberFormat="1" applyFont="1" applyFill="1" applyBorder="1"/>
    <xf numFmtId="43" fontId="4" fillId="2" borderId="0" xfId="0" applyNumberFormat="1" applyFont="1" applyFill="1" applyBorder="1" applyAlignment="1">
      <alignment horizontal="center"/>
    </xf>
    <xf numFmtId="0" fontId="3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center" wrapText="1"/>
    </xf>
    <xf numFmtId="43" fontId="3" fillId="2" borderId="0" xfId="0" applyNumberFormat="1" applyFont="1" applyFill="1" applyBorder="1" applyAlignment="1">
      <alignment wrapText="1"/>
    </xf>
    <xf numFmtId="167" fontId="3" fillId="2" borderId="0" xfId="8" applyNumberFormat="1" applyFont="1" applyFill="1" applyBorder="1" applyAlignment="1">
      <alignment horizontal="center"/>
    </xf>
    <xf numFmtId="167" fontId="4" fillId="2" borderId="0" xfId="0" applyNumberFormat="1" applyFont="1" applyFill="1" applyBorder="1" applyAlignment="1">
      <alignment horizontal="center"/>
    </xf>
    <xf numFmtId="167" fontId="4" fillId="2" borderId="0" xfId="8" applyNumberFormat="1" applyFont="1" applyFill="1" applyBorder="1" applyAlignment="1">
      <alignment horizontal="center"/>
    </xf>
    <xf numFmtId="14" fontId="4" fillId="3" borderId="1" xfId="0" applyNumberFormat="1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167" fontId="11" fillId="2" borderId="1" xfId="0" applyNumberFormat="1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167" fontId="10" fillId="2" borderId="0" xfId="0" applyNumberFormat="1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167" fontId="10" fillId="2" borderId="0" xfId="8" applyNumberFormat="1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167" fontId="10" fillId="2" borderId="1" xfId="8" applyNumberFormat="1" applyFont="1" applyFill="1" applyBorder="1" applyAlignment="1">
      <alignment horizontal="center"/>
    </xf>
    <xf numFmtId="167" fontId="11" fillId="2" borderId="1" xfId="8" applyNumberFormat="1" applyFont="1" applyFill="1" applyBorder="1" applyAlignment="1">
      <alignment horizontal="center"/>
    </xf>
    <xf numFmtId="167" fontId="10" fillId="2" borderId="0" xfId="8" applyNumberFormat="1" applyFont="1" applyFill="1" applyAlignment="1">
      <alignment horizontal="center"/>
    </xf>
    <xf numFmtId="167" fontId="11" fillId="2" borderId="0" xfId="8" applyNumberFormat="1" applyFont="1" applyFill="1" applyBorder="1" applyAlignment="1">
      <alignment horizontal="center"/>
    </xf>
    <xf numFmtId="167" fontId="10" fillId="2" borderId="0" xfId="0" applyNumberFormat="1" applyFont="1" applyFill="1" applyAlignment="1">
      <alignment horizontal="center"/>
    </xf>
    <xf numFmtId="0" fontId="11" fillId="3" borderId="1" xfId="0" applyFont="1" applyFill="1" applyBorder="1" applyAlignment="1">
      <alignment horizontal="center"/>
    </xf>
    <xf numFmtId="14" fontId="11" fillId="3" borderId="1" xfId="0" applyNumberFormat="1" applyFont="1" applyFill="1" applyBorder="1" applyAlignment="1">
      <alignment horizontal="center" wrapText="1"/>
    </xf>
    <xf numFmtId="165" fontId="3" fillId="2" borderId="0" xfId="6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13" fillId="3" borderId="1" xfId="0" applyFont="1" applyFill="1" applyBorder="1" applyAlignment="1">
      <alignment horizontal="center"/>
    </xf>
    <xf numFmtId="43" fontId="4" fillId="2" borderId="0" xfId="0" applyNumberFormat="1" applyFont="1" applyFill="1" applyAlignment="1">
      <alignment horizontal="center"/>
    </xf>
    <xf numFmtId="167" fontId="4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justify" wrapText="1"/>
    </xf>
    <xf numFmtId="0" fontId="3" fillId="2" borderId="0" xfId="0" applyFont="1" applyFill="1" applyAlignment="1">
      <alignment horizontal="center" wrapText="1"/>
    </xf>
    <xf numFmtId="0" fontId="13" fillId="2" borderId="1" xfId="3" applyFont="1" applyFill="1" applyBorder="1" applyAlignment="1">
      <alignment horizontal="center"/>
    </xf>
    <xf numFmtId="167" fontId="4" fillId="2" borderId="1" xfId="7" applyFont="1" applyFill="1" applyBorder="1" applyAlignment="1">
      <alignment horizontal="center"/>
    </xf>
    <xf numFmtId="0" fontId="14" fillId="2" borderId="0" xfId="0" applyFont="1" applyFill="1"/>
    <xf numFmtId="0" fontId="13" fillId="2" borderId="0" xfId="3" applyFont="1" applyFill="1" applyBorder="1" applyAlignment="1">
      <alignment horizontal="center"/>
    </xf>
    <xf numFmtId="167" fontId="4" fillId="2" borderId="0" xfId="7" applyFont="1" applyFill="1" applyBorder="1" applyAlignment="1">
      <alignment horizontal="center"/>
    </xf>
    <xf numFmtId="0" fontId="14" fillId="2" borderId="0" xfId="3" applyFont="1" applyFill="1" applyBorder="1" applyAlignment="1">
      <alignment horizontal="left"/>
    </xf>
    <xf numFmtId="167" fontId="3" fillId="2" borderId="0" xfId="7" applyFont="1" applyFill="1" applyBorder="1" applyAlignment="1">
      <alignment horizontal="center"/>
    </xf>
    <xf numFmtId="0" fontId="14" fillId="2" borderId="0" xfId="3" applyFont="1" applyFill="1" applyBorder="1" applyAlignment="1">
      <alignment horizontal="center"/>
    </xf>
    <xf numFmtId="0" fontId="14" fillId="2" borderId="0" xfId="0" applyFont="1" applyFill="1" applyAlignment="1">
      <alignment horizontal="center"/>
    </xf>
    <xf numFmtId="0" fontId="14" fillId="2" borderId="0" xfId="0" applyFont="1" applyFill="1" applyAlignment="1"/>
    <xf numFmtId="167" fontId="15" fillId="2" borderId="0" xfId="7" applyFont="1" applyFill="1" applyBorder="1" applyAlignment="1"/>
    <xf numFmtId="167" fontId="15" fillId="2" borderId="0" xfId="7" applyFont="1" applyFill="1" applyBorder="1" applyAlignment="1">
      <alignment horizontal="center"/>
    </xf>
    <xf numFmtId="0" fontId="4" fillId="2" borderId="0" xfId="0" applyFont="1" applyFill="1" applyBorder="1" applyAlignment="1">
      <alignment wrapText="1"/>
    </xf>
    <xf numFmtId="43" fontId="10" fillId="2" borderId="0" xfId="0" applyNumberFormat="1" applyFont="1" applyFill="1" applyAlignment="1">
      <alignment horizontal="center"/>
    </xf>
    <xf numFmtId="37" fontId="4" fillId="2" borderId="0" xfId="2" applyNumberFormat="1" applyFont="1" applyFill="1" applyAlignment="1" applyProtection="1">
      <alignment horizontal="center" vertical="center"/>
      <protection locked="0"/>
    </xf>
    <xf numFmtId="167" fontId="4" fillId="2" borderId="0" xfId="2" applyNumberFormat="1" applyFont="1" applyFill="1" applyAlignment="1" applyProtection="1">
      <alignment horizontal="center" vertical="center"/>
      <protection locked="0"/>
    </xf>
    <xf numFmtId="0" fontId="3" fillId="2" borderId="0" xfId="2" applyFont="1" applyFill="1" applyProtection="1">
      <protection locked="0"/>
    </xf>
    <xf numFmtId="37" fontId="3" fillId="2" borderId="0" xfId="2" applyNumberFormat="1" applyFont="1" applyFill="1" applyAlignment="1" applyProtection="1">
      <alignment vertical="center"/>
      <protection locked="0"/>
    </xf>
    <xf numFmtId="37" fontId="3" fillId="2" borderId="0" xfId="2" applyNumberFormat="1" applyFont="1" applyFill="1" applyAlignment="1" applyProtection="1">
      <alignment horizontal="center" vertical="center"/>
      <protection locked="0"/>
    </xf>
    <xf numFmtId="167" fontId="3" fillId="2" borderId="0" xfId="2" applyNumberFormat="1" applyFont="1" applyFill="1" applyAlignment="1" applyProtection="1">
      <alignment horizontal="center" vertical="center"/>
      <protection locked="0"/>
    </xf>
    <xf numFmtId="0" fontId="3" fillId="2" borderId="0" xfId="2" applyNumberFormat="1" applyFont="1" applyFill="1" applyBorder="1" applyAlignment="1" applyProtection="1">
      <alignment horizontal="center" vertical="center"/>
      <protection locked="0"/>
    </xf>
    <xf numFmtId="0" fontId="4" fillId="2" borderId="0" xfId="2" applyFont="1" applyFill="1" applyProtection="1">
      <protection locked="0"/>
    </xf>
    <xf numFmtId="37" fontId="4" fillId="2" borderId="0" xfId="2" applyNumberFormat="1" applyFont="1" applyFill="1" applyBorder="1" applyAlignment="1" applyProtection="1">
      <alignment horizontal="center" vertical="center"/>
      <protection locked="0"/>
    </xf>
    <xf numFmtId="167" fontId="4" fillId="2" borderId="0" xfId="2" applyNumberFormat="1" applyFont="1" applyFill="1" applyBorder="1" applyAlignment="1" applyProtection="1">
      <alignment horizontal="center" vertical="center"/>
      <protection locked="0"/>
    </xf>
    <xf numFmtId="14" fontId="4" fillId="2" borderId="0" xfId="2" applyNumberFormat="1" applyFont="1" applyFill="1" applyBorder="1" applyAlignment="1" applyProtection="1">
      <alignment horizontal="center" vertical="center"/>
      <protection locked="0"/>
    </xf>
    <xf numFmtId="0" fontId="3" fillId="2" borderId="0" xfId="2" applyFont="1" applyFill="1" applyProtection="1">
      <protection hidden="1"/>
    </xf>
    <xf numFmtId="0" fontId="13" fillId="2" borderId="0" xfId="0" applyFont="1" applyFill="1" applyAlignment="1"/>
    <xf numFmtId="0" fontId="13" fillId="2" borderId="0" xfId="0" applyFont="1" applyFill="1" applyAlignment="1">
      <alignment horizontal="center" vertical="center"/>
    </xf>
    <xf numFmtId="0" fontId="13" fillId="2" borderId="1" xfId="0" applyFont="1" applyFill="1" applyBorder="1" applyAlignment="1">
      <alignment horizontal="center"/>
    </xf>
    <xf numFmtId="168" fontId="13" fillId="2" borderId="1" xfId="0" applyNumberFormat="1" applyFont="1" applyFill="1" applyBorder="1" applyAlignment="1">
      <alignment horizontal="center"/>
    </xf>
    <xf numFmtId="0" fontId="9" fillId="6" borderId="0" xfId="0" applyFont="1" applyFill="1" applyAlignment="1">
      <alignment horizontal="left"/>
    </xf>
    <xf numFmtId="168" fontId="9" fillId="6" borderId="0" xfId="0" applyNumberFormat="1" applyFont="1" applyFill="1" applyAlignment="1">
      <alignment horizontal="center"/>
    </xf>
    <xf numFmtId="0" fontId="14" fillId="2" borderId="0" xfId="0" applyFont="1" applyFill="1" applyBorder="1" applyAlignment="1">
      <alignment horizontal="left"/>
    </xf>
    <xf numFmtId="168" fontId="14" fillId="2" borderId="0" xfId="0" applyNumberFormat="1" applyFont="1" applyFill="1" applyBorder="1" applyAlignment="1">
      <alignment horizontal="center"/>
    </xf>
    <xf numFmtId="0" fontId="14" fillId="2" borderId="0" xfId="0" applyFont="1" applyFill="1" applyAlignment="1">
      <alignment horizontal="left"/>
    </xf>
    <xf numFmtId="168" fontId="14" fillId="2" borderId="0" xfId="0" applyNumberFormat="1" applyFont="1" applyFill="1" applyAlignment="1">
      <alignment horizontal="center"/>
    </xf>
    <xf numFmtId="0" fontId="14" fillId="2" borderId="0" xfId="0" applyFont="1" applyFill="1" applyBorder="1" applyAlignment="1">
      <alignment horizontal="center"/>
    </xf>
    <xf numFmtId="167" fontId="14" fillId="2" borderId="0" xfId="8" applyNumberFormat="1" applyFont="1" applyFill="1" applyAlignment="1">
      <alignment horizontal="center"/>
    </xf>
    <xf numFmtId="168" fontId="13" fillId="2" borderId="1" xfId="8" applyNumberFormat="1" applyFont="1" applyFill="1" applyBorder="1" applyAlignment="1">
      <alignment horizontal="center"/>
    </xf>
    <xf numFmtId="167" fontId="13" fillId="2" borderId="1" xfId="8" applyNumberFormat="1" applyFont="1" applyFill="1" applyBorder="1" applyAlignment="1">
      <alignment horizontal="center"/>
    </xf>
    <xf numFmtId="0" fontId="13" fillId="2" borderId="0" xfId="0" applyFont="1" applyFill="1"/>
    <xf numFmtId="167" fontId="13" fillId="2" borderId="0" xfId="8" applyNumberFormat="1" applyFont="1" applyFill="1" applyBorder="1" applyAlignment="1">
      <alignment horizontal="center"/>
    </xf>
    <xf numFmtId="0" fontId="14" fillId="2" borderId="0" xfId="0" applyFont="1" applyFill="1" applyBorder="1"/>
    <xf numFmtId="43" fontId="14" fillId="2" borderId="0" xfId="0" applyNumberFormat="1" applyFont="1" applyFill="1" applyBorder="1" applyAlignment="1">
      <alignment horizontal="center"/>
    </xf>
    <xf numFmtId="0" fontId="13" fillId="2" borderId="0" xfId="0" applyFont="1" applyFill="1" applyAlignment="1">
      <alignment horizontal="center"/>
    </xf>
    <xf numFmtId="0" fontId="13" fillId="2" borderId="1" xfId="0" applyFont="1" applyFill="1" applyBorder="1" applyAlignment="1">
      <alignment horizontal="left"/>
    </xf>
    <xf numFmtId="0" fontId="13" fillId="2" borderId="0" xfId="0" applyFont="1" applyFill="1" applyAlignment="1">
      <alignment horizontal="left"/>
    </xf>
    <xf numFmtId="167" fontId="13" fillId="2" borderId="0" xfId="8" applyNumberFormat="1" applyFont="1" applyFill="1" applyAlignment="1">
      <alignment horizontal="center"/>
    </xf>
    <xf numFmtId="0" fontId="14" fillId="2" borderId="0" xfId="0" applyFont="1" applyFill="1" applyBorder="1" applyAlignment="1">
      <alignment wrapText="1"/>
    </xf>
    <xf numFmtId="43" fontId="14" fillId="2" borderId="0" xfId="8" applyFont="1" applyFill="1" applyBorder="1" applyAlignment="1">
      <alignment horizontal="center" vertical="center"/>
    </xf>
    <xf numFmtId="0" fontId="13" fillId="2" borderId="1" xfId="0" applyFont="1" applyFill="1" applyBorder="1"/>
    <xf numFmtId="0" fontId="13" fillId="2" borderId="0" xfId="0" applyFont="1" applyFill="1" applyBorder="1"/>
    <xf numFmtId="0" fontId="13" fillId="2" borderId="0" xfId="0" applyFont="1" applyFill="1" applyBorder="1" applyAlignment="1">
      <alignment horizontal="center"/>
    </xf>
    <xf numFmtId="164" fontId="3" fillId="2" borderId="0" xfId="1" applyFont="1" applyFill="1" applyBorder="1" applyAlignment="1" applyProtection="1">
      <alignment vertical="center"/>
      <protection locked="0"/>
    </xf>
    <xf numFmtId="164" fontId="4" fillId="2" borderId="0" xfId="1" applyFont="1" applyFill="1" applyAlignment="1" applyProtection="1">
      <alignment horizontal="center" vertical="center"/>
      <protection locked="0"/>
    </xf>
    <xf numFmtId="164" fontId="3" fillId="2" borderId="0" xfId="1" applyFont="1" applyFill="1" applyAlignment="1" applyProtection="1">
      <alignment vertical="center"/>
      <protection locked="0"/>
    </xf>
    <xf numFmtId="164" fontId="3" fillId="2" borderId="0" xfId="1" applyFont="1" applyFill="1" applyBorder="1" applyAlignment="1" applyProtection="1">
      <alignment horizontal="center" vertical="center"/>
      <protection locked="0"/>
    </xf>
    <xf numFmtId="164" fontId="4" fillId="2" borderId="0" xfId="1" applyFont="1" applyFill="1" applyBorder="1" applyAlignment="1" applyProtection="1">
      <alignment vertical="center"/>
      <protection locked="0"/>
    </xf>
    <xf numFmtId="164" fontId="14" fillId="2" borderId="0" xfId="1" applyFont="1" applyFill="1" applyBorder="1" applyAlignment="1">
      <alignment wrapText="1"/>
    </xf>
    <xf numFmtId="164" fontId="14" fillId="2" borderId="0" xfId="1" applyFont="1" applyFill="1" applyAlignment="1"/>
    <xf numFmtId="164" fontId="0" fillId="0" borderId="0" xfId="1" applyFont="1"/>
    <xf numFmtId="164" fontId="14" fillId="2" borderId="0" xfId="1" applyFont="1" applyFill="1"/>
    <xf numFmtId="14" fontId="11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164" fontId="4" fillId="2" borderId="1" xfId="1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165" fontId="3" fillId="2" borderId="1" xfId="6" applyFont="1" applyFill="1" applyBorder="1" applyAlignment="1">
      <alignment horizontal="center"/>
    </xf>
    <xf numFmtId="0" fontId="11" fillId="2" borderId="0" xfId="0" applyFont="1" applyFill="1" applyAlignment="1"/>
    <xf numFmtId="37" fontId="3" fillId="2" borderId="0" xfId="2" applyNumberFormat="1" applyFont="1" applyFill="1" applyBorder="1" applyAlignment="1" applyProtection="1">
      <alignment horizontal="left" vertical="center"/>
      <protection locked="0"/>
    </xf>
    <xf numFmtId="37" fontId="4" fillId="2" borderId="0" xfId="2" applyNumberFormat="1" applyFont="1" applyFill="1" applyAlignment="1" applyProtection="1">
      <alignment vertical="center"/>
      <protection locked="0"/>
    </xf>
    <xf numFmtId="37" fontId="4" fillId="2" borderId="1" xfId="2" applyNumberFormat="1" applyFont="1" applyFill="1" applyBorder="1" applyAlignment="1" applyProtection="1">
      <alignment horizontal="left" vertical="center"/>
      <protection locked="0"/>
    </xf>
    <xf numFmtId="167" fontId="4" fillId="2" borderId="0" xfId="2" applyNumberFormat="1" applyFont="1" applyFill="1" applyBorder="1" applyAlignment="1" applyProtection="1">
      <alignment horizontal="left" vertical="center"/>
      <protection locked="0"/>
    </xf>
    <xf numFmtId="167" fontId="3" fillId="2" borderId="0" xfId="2" applyNumberFormat="1" applyFont="1" applyFill="1" applyBorder="1" applyAlignment="1" applyProtection="1">
      <alignment horizontal="left" vertical="center"/>
      <protection locked="0"/>
    </xf>
    <xf numFmtId="167" fontId="3" fillId="2" borderId="0" xfId="7" applyNumberFormat="1" applyFont="1" applyFill="1" applyBorder="1" applyAlignment="1" applyProtection="1">
      <alignment horizontal="left" vertical="center"/>
      <protection locked="0"/>
    </xf>
    <xf numFmtId="37" fontId="4" fillId="2" borderId="0" xfId="2" applyNumberFormat="1" applyFont="1" applyFill="1" applyBorder="1" applyAlignment="1" applyProtection="1">
      <alignment horizontal="left" vertical="center"/>
      <protection locked="0"/>
    </xf>
    <xf numFmtId="167" fontId="4" fillId="2" borderId="0" xfId="7" applyNumberFormat="1" applyFont="1" applyFill="1" applyBorder="1" applyAlignment="1" applyProtection="1">
      <alignment horizontal="left" vertical="center"/>
      <protection locked="0"/>
    </xf>
    <xf numFmtId="0" fontId="3" fillId="2" borderId="0" xfId="2" applyNumberFormat="1" applyFont="1" applyFill="1" applyBorder="1" applyAlignment="1" applyProtection="1">
      <alignment horizontal="left" vertical="center"/>
      <protection locked="0"/>
    </xf>
    <xf numFmtId="167" fontId="4" fillId="2" borderId="1" xfId="7" applyNumberFormat="1" applyFont="1" applyFill="1" applyBorder="1" applyAlignment="1" applyProtection="1">
      <alignment horizontal="left" vertical="center"/>
      <protection locked="0"/>
    </xf>
    <xf numFmtId="37" fontId="3" fillId="2" borderId="0" xfId="2" applyNumberFormat="1" applyFont="1" applyFill="1" applyAlignment="1" applyProtection="1">
      <alignment horizontal="left" vertical="center"/>
      <protection locked="0"/>
    </xf>
    <xf numFmtId="167" fontId="3" fillId="2" borderId="0" xfId="2" applyNumberFormat="1" applyFont="1" applyFill="1" applyAlignment="1" applyProtection="1">
      <alignment horizontal="left" vertical="center"/>
      <protection locked="0"/>
    </xf>
    <xf numFmtId="167" fontId="3" fillId="2" borderId="0" xfId="7" applyNumberFormat="1" applyFont="1" applyFill="1" applyAlignment="1" applyProtection="1">
      <alignment horizontal="left" vertical="center"/>
      <protection locked="0"/>
    </xf>
    <xf numFmtId="167" fontId="4" fillId="2" borderId="0" xfId="2" applyNumberFormat="1" applyFont="1" applyFill="1" applyAlignment="1" applyProtection="1">
      <alignment horizontal="left" vertical="center"/>
      <protection locked="0"/>
    </xf>
    <xf numFmtId="0" fontId="4" fillId="2" borderId="1" xfId="2" applyFont="1" applyFill="1" applyBorder="1" applyAlignment="1" applyProtection="1">
      <alignment horizontal="left"/>
      <protection locked="0"/>
    </xf>
    <xf numFmtId="167" fontId="4" fillId="2" borderId="1" xfId="7" applyNumberFormat="1" applyFont="1" applyFill="1" applyBorder="1" applyAlignment="1" applyProtection="1">
      <alignment horizontal="left"/>
      <protection locked="0"/>
    </xf>
    <xf numFmtId="0" fontId="14" fillId="2" borderId="0" xfId="2" applyFont="1" applyFill="1" applyBorder="1" applyAlignment="1" applyProtection="1">
      <alignment horizontal="left"/>
      <protection locked="0"/>
    </xf>
    <xf numFmtId="167" fontId="14" fillId="2" borderId="0" xfId="2" applyNumberFormat="1" applyFont="1" applyFill="1" applyBorder="1" applyAlignment="1" applyProtection="1">
      <alignment horizontal="left"/>
      <protection locked="0"/>
    </xf>
    <xf numFmtId="167" fontId="3" fillId="2" borderId="0" xfId="7" applyNumberFormat="1" applyFont="1" applyFill="1" applyBorder="1" applyAlignment="1" applyProtection="1">
      <alignment horizontal="left"/>
      <protection locked="0"/>
    </xf>
    <xf numFmtId="0" fontId="14" fillId="2" borderId="0" xfId="2" applyFont="1" applyFill="1" applyAlignment="1" applyProtection="1">
      <alignment horizontal="left"/>
      <protection locked="0"/>
    </xf>
    <xf numFmtId="167" fontId="14" fillId="2" borderId="0" xfId="2" applyNumberFormat="1" applyFont="1" applyFill="1" applyAlignment="1" applyProtection="1">
      <alignment horizontal="left"/>
      <protection locked="0"/>
    </xf>
    <xf numFmtId="167" fontId="3" fillId="2" borderId="0" xfId="7" applyNumberFormat="1" applyFont="1" applyFill="1" applyAlignment="1" applyProtection="1">
      <alignment horizontal="left"/>
      <protection locked="0"/>
    </xf>
    <xf numFmtId="37" fontId="4" fillId="2" borderId="4" xfId="2" applyNumberFormat="1" applyFont="1" applyFill="1" applyBorder="1" applyAlignment="1" applyProtection="1">
      <alignment vertical="center"/>
      <protection locked="0"/>
    </xf>
    <xf numFmtId="37" fontId="4" fillId="2" borderId="8" xfId="2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left"/>
    </xf>
    <xf numFmtId="0" fontId="13" fillId="3" borderId="4" xfId="0" applyFont="1" applyFill="1" applyBorder="1" applyAlignment="1"/>
    <xf numFmtId="0" fontId="13" fillId="3" borderId="8" xfId="0" applyFont="1" applyFill="1" applyBorder="1" applyAlignment="1"/>
    <xf numFmtId="164" fontId="7" fillId="2" borderId="0" xfId="1" applyFont="1" applyFill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/>
    </xf>
    <xf numFmtId="0" fontId="17" fillId="2" borderId="0" xfId="0" applyFont="1" applyFill="1" applyBorder="1" applyAlignment="1">
      <alignment horizontal="center"/>
    </xf>
    <xf numFmtId="164" fontId="7" fillId="2" borderId="0" xfId="1" applyFont="1" applyFill="1" applyBorder="1" applyAlignment="1">
      <alignment horizontal="center"/>
    </xf>
    <xf numFmtId="0" fontId="17" fillId="0" borderId="0" xfId="0" applyFont="1"/>
    <xf numFmtId="0" fontId="17" fillId="2" borderId="1" xfId="0" applyFont="1" applyFill="1" applyBorder="1" applyAlignment="1">
      <alignment horizontal="center"/>
    </xf>
    <xf numFmtId="164" fontId="17" fillId="0" borderId="0" xfId="1" applyFont="1"/>
    <xf numFmtId="0" fontId="7" fillId="2" borderId="1" xfId="0" applyFont="1" applyFill="1" applyBorder="1" applyAlignment="1">
      <alignment horizontal="center"/>
    </xf>
    <xf numFmtId="0" fontId="17" fillId="0" borderId="0" xfId="0" applyFont="1" applyAlignment="1">
      <alignment horizontal="center"/>
    </xf>
    <xf numFmtId="0" fontId="7" fillId="2" borderId="2" xfId="0" applyFont="1" applyFill="1" applyBorder="1" applyAlignment="1">
      <alignment horizontal="center"/>
    </xf>
    <xf numFmtId="164" fontId="18" fillId="2" borderId="1" xfId="1" applyFont="1" applyFill="1" applyBorder="1" applyAlignment="1">
      <alignment horizontal="center" vertical="center"/>
    </xf>
    <xf numFmtId="164" fontId="18" fillId="2" borderId="0" xfId="1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164" fontId="19" fillId="2" borderId="0" xfId="1" applyFont="1" applyFill="1" applyBorder="1" applyAlignment="1">
      <alignment horizontal="center" vertical="center"/>
    </xf>
    <xf numFmtId="164" fontId="16" fillId="2" borderId="0" xfId="1" applyFont="1" applyFill="1" applyAlignment="1">
      <alignment horizontal="center"/>
    </xf>
    <xf numFmtId="164" fontId="16" fillId="2" borderId="0" xfId="1" applyFont="1" applyFill="1" applyBorder="1" applyAlignment="1">
      <alignment horizontal="center"/>
    </xf>
    <xf numFmtId="166" fontId="18" fillId="4" borderId="1" xfId="0" applyNumberFormat="1" applyFont="1" applyFill="1" applyBorder="1" applyAlignment="1">
      <alignment horizontal="center"/>
    </xf>
    <xf numFmtId="0" fontId="19" fillId="5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center" vertical="center" wrapText="1"/>
    </xf>
    <xf numFmtId="164" fontId="17" fillId="2" borderId="0" xfId="1" applyFont="1" applyFill="1" applyAlignment="1">
      <alignment horizontal="center" vertical="center" wrapText="1"/>
    </xf>
    <xf numFmtId="0" fontId="17" fillId="0" borderId="0" xfId="0" applyFont="1" applyBorder="1"/>
    <xf numFmtId="0" fontId="18" fillId="4" borderId="1" xfId="0" applyFont="1" applyFill="1" applyBorder="1" applyAlignment="1">
      <alignment horizontal="center"/>
    </xf>
    <xf numFmtId="14" fontId="19" fillId="0" borderId="1" xfId="0" applyNumberFormat="1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7" fillId="2" borderId="0" xfId="0" applyFont="1" applyFill="1" applyAlignment="1">
      <alignment horizontal="center" vertical="center" wrapText="1"/>
    </xf>
    <xf numFmtId="0" fontId="18" fillId="2" borderId="0" xfId="0" applyFont="1" applyFill="1" applyBorder="1" applyAlignment="1">
      <alignment vertical="center"/>
    </xf>
    <xf numFmtId="0" fontId="19" fillId="2" borderId="1" xfId="0" applyFont="1" applyFill="1" applyBorder="1" applyAlignment="1">
      <alignment vertical="center"/>
    </xf>
    <xf numFmtId="0" fontId="17" fillId="0" borderId="3" xfId="0" applyFont="1" applyBorder="1"/>
    <xf numFmtId="0" fontId="7" fillId="2" borderId="1" xfId="0" applyFont="1" applyFill="1" applyBorder="1" applyAlignment="1">
      <alignment horizontal="center" vertical="top"/>
    </xf>
    <xf numFmtId="14" fontId="18" fillId="2" borderId="1" xfId="0" applyNumberFormat="1" applyFont="1" applyFill="1" applyBorder="1" applyAlignment="1">
      <alignment horizontal="center" vertical="center" wrapText="1"/>
    </xf>
    <xf numFmtId="14" fontId="18" fillId="2" borderId="0" xfId="0" applyNumberFormat="1" applyFont="1" applyFill="1" applyBorder="1" applyAlignment="1">
      <alignment horizontal="center" vertical="center" wrapText="1"/>
    </xf>
    <xf numFmtId="164" fontId="21" fillId="2" borderId="0" xfId="1" applyFont="1" applyFill="1" applyBorder="1" applyAlignment="1" applyProtection="1">
      <alignment horizontal="center" vertical="center"/>
    </xf>
    <xf numFmtId="0" fontId="16" fillId="2" borderId="0" xfId="0" applyFont="1" applyFill="1" applyAlignment="1">
      <alignment horizontal="center"/>
    </xf>
    <xf numFmtId="0" fontId="18" fillId="2" borderId="1" xfId="0" applyFont="1" applyFill="1" applyBorder="1" applyAlignment="1">
      <alignment horizontal="center" vertical="center" wrapText="1"/>
    </xf>
    <xf numFmtId="164" fontId="18" fillId="2" borderId="1" xfId="1" applyFont="1" applyFill="1" applyBorder="1" applyAlignment="1">
      <alignment horizontal="center" vertical="center" wrapText="1"/>
    </xf>
    <xf numFmtId="164" fontId="18" fillId="2" borderId="0" xfId="1" applyFont="1" applyFill="1" applyBorder="1" applyAlignment="1">
      <alignment horizontal="center" vertical="center" wrapText="1"/>
    </xf>
    <xf numFmtId="164" fontId="20" fillId="2" borderId="0" xfId="1" applyFont="1" applyFill="1" applyBorder="1" applyAlignment="1">
      <alignment horizontal="center" vertical="center"/>
    </xf>
    <xf numFmtId="164" fontId="7" fillId="2" borderId="2" xfId="1" applyFont="1" applyFill="1" applyBorder="1" applyAlignment="1">
      <alignment horizontal="center"/>
    </xf>
    <xf numFmtId="164" fontId="16" fillId="0" borderId="0" xfId="1" applyFont="1" applyAlignment="1">
      <alignment horizontal="center" wrapText="1"/>
    </xf>
    <xf numFmtId="164" fontId="7" fillId="2" borderId="0" xfId="0" applyNumberFormat="1" applyFont="1" applyFill="1" applyBorder="1" applyAlignment="1">
      <alignment horizontal="center"/>
    </xf>
    <xf numFmtId="9" fontId="17" fillId="0" borderId="0" xfId="4" applyFont="1"/>
    <xf numFmtId="44" fontId="17" fillId="0" borderId="0" xfId="0" applyNumberFormat="1" applyFont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5" fontId="3" fillId="0" borderId="5" xfId="6" applyFont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4" fontId="18" fillId="2" borderId="1" xfId="1" applyNumberFormat="1" applyFont="1" applyFill="1" applyBorder="1" applyAlignment="1">
      <alignment horizontal="center" vertical="center"/>
    </xf>
    <xf numFmtId="4" fontId="19" fillId="2" borderId="1" xfId="1" applyNumberFormat="1" applyFont="1" applyFill="1" applyBorder="1" applyAlignment="1">
      <alignment horizontal="center" vertical="center"/>
    </xf>
    <xf numFmtId="4" fontId="16" fillId="2" borderId="1" xfId="1" applyNumberFormat="1" applyFont="1" applyFill="1" applyBorder="1" applyAlignment="1">
      <alignment horizontal="center" vertical="center"/>
    </xf>
    <xf numFmtId="4" fontId="18" fillId="2" borderId="5" xfId="1" applyNumberFormat="1" applyFont="1" applyFill="1" applyBorder="1" applyAlignment="1">
      <alignment horizontal="center" vertical="center"/>
    </xf>
    <xf numFmtId="169" fontId="17" fillId="5" borderId="1" xfId="0" applyNumberFormat="1" applyFont="1" applyFill="1" applyBorder="1" applyAlignment="1">
      <alignment horizontal="center" vertical="center"/>
    </xf>
    <xf numFmtId="169" fontId="7" fillId="2" borderId="1" xfId="0" applyNumberFormat="1" applyFont="1" applyFill="1" applyBorder="1" applyAlignment="1">
      <alignment horizontal="center" vertical="center"/>
    </xf>
    <xf numFmtId="4" fontId="19" fillId="2" borderId="1" xfId="0" applyNumberFormat="1" applyFont="1" applyFill="1" applyBorder="1" applyAlignment="1">
      <alignment horizontal="center"/>
    </xf>
    <xf numFmtId="4" fontId="7" fillId="0" borderId="1" xfId="0" applyNumberFormat="1" applyFont="1" applyBorder="1" applyAlignment="1">
      <alignment horizontal="center"/>
    </xf>
    <xf numFmtId="4" fontId="20" fillId="2" borderId="1" xfId="1" applyNumberFormat="1" applyFont="1" applyFill="1" applyBorder="1" applyAlignment="1">
      <alignment horizontal="center" vertical="center"/>
    </xf>
    <xf numFmtId="0" fontId="22" fillId="0" borderId="0" xfId="0" applyFont="1"/>
    <xf numFmtId="14" fontId="24" fillId="2" borderId="0" xfId="0" applyNumberFormat="1" applyFont="1" applyFill="1" applyBorder="1" applyAlignment="1">
      <alignment horizontal="center"/>
    </xf>
    <xf numFmtId="0" fontId="24" fillId="2" borderId="0" xfId="0" applyFont="1" applyFill="1" applyBorder="1" applyAlignment="1">
      <alignment horizontal="center"/>
    </xf>
    <xf numFmtId="0" fontId="23" fillId="2" borderId="0" xfId="0" applyFont="1" applyFill="1" applyBorder="1" applyAlignment="1">
      <alignment horizontal="center"/>
    </xf>
    <xf numFmtId="4" fontId="24" fillId="2" borderId="0" xfId="1" applyNumberFormat="1" applyFont="1" applyFill="1" applyBorder="1" applyAlignment="1">
      <alignment horizontal="center"/>
    </xf>
    <xf numFmtId="4" fontId="23" fillId="2" borderId="0" xfId="1" applyNumberFormat="1" applyFont="1" applyFill="1" applyBorder="1" applyAlignment="1">
      <alignment horizontal="center"/>
    </xf>
    <xf numFmtId="0" fontId="25" fillId="2" borderId="0" xfId="0" applyFont="1" applyFill="1" applyAlignment="1">
      <alignment horizontal="center" vertical="center" wrapText="1"/>
    </xf>
    <xf numFmtId="0" fontId="23" fillId="2" borderId="0" xfId="0" applyFont="1" applyFill="1" applyAlignment="1">
      <alignment horizontal="center"/>
    </xf>
    <xf numFmtId="0" fontId="26" fillId="2" borderId="0" xfId="0" applyFont="1" applyFill="1" applyAlignment="1">
      <alignment horizontal="center" vertical="center" wrapText="1"/>
    </xf>
    <xf numFmtId="4" fontId="24" fillId="2" borderId="0" xfId="1" applyNumberFormat="1" applyFont="1" applyFill="1" applyAlignment="1">
      <alignment horizontal="center" vertical="center" wrapText="1"/>
    </xf>
    <xf numFmtId="4" fontId="25" fillId="2" borderId="0" xfId="1" applyNumberFormat="1" applyFont="1" applyFill="1" applyAlignment="1">
      <alignment horizontal="center" vertical="center" wrapText="1"/>
    </xf>
    <xf numFmtId="4" fontId="23" fillId="2" borderId="0" xfId="1" applyNumberFormat="1" applyFont="1" applyFill="1" applyAlignment="1">
      <alignment horizontal="center"/>
    </xf>
    <xf numFmtId="4" fontId="26" fillId="2" borderId="0" xfId="1" applyNumberFormat="1" applyFont="1" applyFill="1" applyAlignment="1">
      <alignment horizontal="center" vertical="center" wrapText="1"/>
    </xf>
    <xf numFmtId="4" fontId="24" fillId="2" borderId="0" xfId="1" applyNumberFormat="1" applyFont="1" applyFill="1" applyAlignment="1">
      <alignment horizontal="center"/>
    </xf>
    <xf numFmtId="0" fontId="24" fillId="3" borderId="0" xfId="0" applyFont="1" applyFill="1" applyBorder="1" applyAlignment="1">
      <alignment horizontal="center"/>
    </xf>
    <xf numFmtId="4" fontId="24" fillId="3" borderId="0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4" fontId="6" fillId="2" borderId="1" xfId="1" applyNumberFormat="1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4" fontId="1" fillId="2" borderId="1" xfId="0" applyNumberFormat="1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4" fontId="6" fillId="2" borderId="0" xfId="0" applyNumberFormat="1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4" fontId="1" fillId="2" borderId="1" xfId="1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27" fillId="2" borderId="2" xfId="0" applyFont="1" applyFill="1" applyBorder="1" applyAlignment="1">
      <alignment horizontal="center"/>
    </xf>
    <xf numFmtId="4" fontId="27" fillId="2" borderId="2" xfId="0" applyNumberFormat="1" applyFont="1" applyFill="1" applyBorder="1" applyAlignment="1">
      <alignment horizontal="right"/>
    </xf>
    <xf numFmtId="4" fontId="27" fillId="2" borderId="2" xfId="0" applyNumberFormat="1" applyFont="1" applyFill="1" applyBorder="1" applyAlignment="1">
      <alignment horizontal="center"/>
    </xf>
    <xf numFmtId="0" fontId="28" fillId="0" borderId="0" xfId="0" applyFont="1"/>
    <xf numFmtId="4" fontId="28" fillId="0" borderId="0" xfId="0" applyNumberFormat="1" applyFont="1"/>
    <xf numFmtId="4" fontId="27" fillId="2" borderId="2" xfId="0" quotePrefix="1" applyNumberFormat="1" applyFont="1" applyFill="1" applyBorder="1" applyAlignment="1">
      <alignment horizontal="right"/>
    </xf>
    <xf numFmtId="4" fontId="27" fillId="2" borderId="2" xfId="1" applyNumberFormat="1" applyFont="1" applyFill="1" applyBorder="1" applyAlignment="1">
      <alignment horizontal="center"/>
    </xf>
    <xf numFmtId="0" fontId="29" fillId="0" borderId="0" xfId="0" applyFont="1" applyAlignment="1">
      <alignment horizontal="right"/>
    </xf>
    <xf numFmtId="4" fontId="29" fillId="0" borderId="0" xfId="1" applyNumberFormat="1" applyFont="1" applyAlignment="1">
      <alignment horizontal="center"/>
    </xf>
    <xf numFmtId="0" fontId="27" fillId="2" borderId="2" xfId="0" applyFont="1" applyFill="1" applyBorder="1" applyAlignment="1">
      <alignment horizontal="center" wrapText="1"/>
    </xf>
    <xf numFmtId="4" fontId="27" fillId="2" borderId="2" xfId="0" applyNumberFormat="1" applyFont="1" applyFill="1" applyBorder="1" applyAlignment="1">
      <alignment horizontal="right" vertical="center"/>
    </xf>
    <xf numFmtId="4" fontId="27" fillId="2" borderId="2" xfId="1" applyNumberFormat="1" applyFont="1" applyFill="1" applyBorder="1" applyAlignment="1">
      <alignment horizontal="center" vertical="center"/>
    </xf>
    <xf numFmtId="0" fontId="27" fillId="2" borderId="0" xfId="0" applyFont="1" applyFill="1" applyAlignment="1">
      <alignment horizontal="center"/>
    </xf>
    <xf numFmtId="4" fontId="27" fillId="2" borderId="0" xfId="0" applyNumberFormat="1" applyFont="1" applyFill="1" applyAlignment="1">
      <alignment horizontal="right"/>
    </xf>
    <xf numFmtId="4" fontId="27" fillId="2" borderId="0" xfId="1" applyNumberFormat="1" applyFont="1" applyFill="1" applyAlignment="1">
      <alignment horizontal="center"/>
    </xf>
    <xf numFmtId="0" fontId="27" fillId="8" borderId="2" xfId="0" applyFont="1" applyFill="1" applyBorder="1" applyAlignment="1">
      <alignment horizontal="center"/>
    </xf>
    <xf numFmtId="4" fontId="27" fillId="8" borderId="2" xfId="0" applyNumberFormat="1" applyFont="1" applyFill="1" applyBorder="1" applyAlignment="1">
      <alignment horizontal="right"/>
    </xf>
    <xf numFmtId="4" fontId="27" fillId="8" borderId="2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4" fontId="6" fillId="2" borderId="5" xfId="1" applyNumberFormat="1" applyFont="1" applyFill="1" applyBorder="1" applyAlignment="1">
      <alignment horizontal="center"/>
    </xf>
    <xf numFmtId="4" fontId="6" fillId="2" borderId="1" xfId="1" applyNumberFormat="1" applyFont="1" applyFill="1" applyBorder="1" applyAlignment="1">
      <alignment horizontal="center" vertical="top"/>
    </xf>
    <xf numFmtId="4" fontId="1" fillId="2" borderId="1" xfId="1" applyNumberFormat="1" applyFont="1" applyFill="1" applyBorder="1" applyAlignment="1">
      <alignment horizontal="center" vertical="top"/>
    </xf>
    <xf numFmtId="4" fontId="6" fillId="2" borderId="0" xfId="0" applyNumberFormat="1" applyFont="1" applyFill="1" applyAlignment="1">
      <alignment horizontal="center"/>
    </xf>
    <xf numFmtId="0" fontId="1" fillId="2" borderId="0" xfId="0" applyFont="1" applyFill="1" applyBorder="1" applyAlignment="1">
      <alignment horizontal="center"/>
    </xf>
    <xf numFmtId="4" fontId="1" fillId="2" borderId="0" xfId="1" applyNumberFormat="1" applyFont="1" applyFill="1" applyBorder="1" applyAlignment="1">
      <alignment horizontal="center" vertical="top"/>
    </xf>
    <xf numFmtId="0" fontId="30" fillId="0" borderId="0" xfId="0" applyFont="1" applyAlignment="1">
      <alignment horizontal="center"/>
    </xf>
    <xf numFmtId="4" fontId="6" fillId="0" borderId="0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4" fontId="6" fillId="0" borderId="1" xfId="1" applyNumberFormat="1" applyFont="1" applyBorder="1" applyAlignment="1">
      <alignment horizontal="center" vertical="top"/>
    </xf>
    <xf numFmtId="4" fontId="6" fillId="0" borderId="1" xfId="1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/>
    </xf>
    <xf numFmtId="4" fontId="1" fillId="3" borderId="1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4" fontId="1" fillId="0" borderId="0" xfId="0" applyNumberFormat="1" applyFont="1" applyBorder="1" applyAlignment="1">
      <alignment horizontal="center"/>
    </xf>
    <xf numFmtId="4" fontId="6" fillId="0" borderId="7" xfId="1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4" fontId="1" fillId="0" borderId="1" xfId="1" applyNumberFormat="1" applyFont="1" applyBorder="1" applyAlignment="1">
      <alignment horizontal="center" vertical="top"/>
    </xf>
    <xf numFmtId="4" fontId="6" fillId="2" borderId="1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4" fontId="1" fillId="2" borderId="5" xfId="1" applyNumberFormat="1" applyFont="1" applyFill="1" applyBorder="1" applyAlignment="1">
      <alignment horizontal="center" vertical="top"/>
    </xf>
    <xf numFmtId="4" fontId="1" fillId="3" borderId="1" xfId="1" applyNumberFormat="1" applyFont="1" applyFill="1" applyBorder="1" applyAlignment="1">
      <alignment horizontal="center" vertical="top"/>
    </xf>
    <xf numFmtId="4" fontId="1" fillId="3" borderId="0" xfId="1" applyNumberFormat="1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4" fontId="1" fillId="3" borderId="2" xfId="0" applyNumberFormat="1" applyFont="1" applyFill="1" applyBorder="1" applyAlignment="1">
      <alignment horizontal="center"/>
    </xf>
    <xf numFmtId="4" fontId="1" fillId="2" borderId="0" xfId="0" applyNumberFormat="1" applyFont="1" applyFill="1" applyBorder="1" applyAlignment="1">
      <alignment horizontal="center"/>
    </xf>
    <xf numFmtId="0" fontId="31" fillId="2" borderId="1" xfId="0" applyFont="1" applyFill="1" applyBorder="1" applyAlignment="1">
      <alignment horizontal="center" vertical="center"/>
    </xf>
    <xf numFmtId="4" fontId="31" fillId="2" borderId="1" xfId="1" applyNumberFormat="1" applyFont="1" applyFill="1" applyBorder="1" applyAlignment="1">
      <alignment horizontal="center" vertical="center"/>
    </xf>
    <xf numFmtId="0" fontId="30" fillId="2" borderId="1" xfId="0" applyFont="1" applyFill="1" applyBorder="1" applyAlignment="1">
      <alignment horizontal="center" vertical="center"/>
    </xf>
    <xf numFmtId="4" fontId="30" fillId="2" borderId="1" xfId="1" applyNumberFormat="1" applyFont="1" applyFill="1" applyBorder="1" applyAlignment="1">
      <alignment horizontal="center" vertical="center"/>
    </xf>
    <xf numFmtId="0" fontId="30" fillId="2" borderId="0" xfId="0" applyFont="1" applyFill="1" applyBorder="1" applyAlignment="1">
      <alignment horizontal="center" vertical="center"/>
    </xf>
    <xf numFmtId="4" fontId="30" fillId="2" borderId="0" xfId="1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4" fontId="12" fillId="2" borderId="1" xfId="1" applyNumberFormat="1" applyFont="1" applyFill="1" applyBorder="1" applyAlignment="1">
      <alignment horizontal="center" vertical="center"/>
    </xf>
    <xf numFmtId="0" fontId="31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wrapText="1"/>
    </xf>
    <xf numFmtId="4" fontId="6" fillId="2" borderId="1" xfId="1" applyNumberFormat="1" applyFont="1" applyFill="1" applyBorder="1" applyAlignment="1">
      <alignment horizontal="center" wrapText="1"/>
    </xf>
    <xf numFmtId="0" fontId="31" fillId="3" borderId="1" xfId="0" applyFont="1" applyFill="1" applyBorder="1" applyAlignment="1">
      <alignment horizontal="center" vertical="center"/>
    </xf>
    <xf numFmtId="4" fontId="31" fillId="2" borderId="1" xfId="0" applyNumberFormat="1" applyFont="1" applyFill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4" fontId="6" fillId="0" borderId="0" xfId="1" applyNumberFormat="1" applyFont="1" applyAlignment="1">
      <alignment horizontal="center" vertical="center" wrapText="1"/>
    </xf>
    <xf numFmtId="4" fontId="1" fillId="0" borderId="0" xfId="1" applyNumberFormat="1" applyFont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32" fillId="2" borderId="1" xfId="0" applyFont="1" applyFill="1" applyBorder="1" applyAlignment="1">
      <alignment horizontal="center"/>
    </xf>
    <xf numFmtId="4" fontId="32" fillId="2" borderId="1" xfId="1" applyNumberFormat="1" applyFont="1" applyFill="1" applyBorder="1" applyAlignment="1">
      <alignment horizontal="center"/>
    </xf>
    <xf numFmtId="4" fontId="32" fillId="2" borderId="5" xfId="1" applyNumberFormat="1" applyFont="1" applyFill="1" applyBorder="1" applyAlignment="1">
      <alignment horizontal="center" vertical="top"/>
    </xf>
    <xf numFmtId="4" fontId="32" fillId="2" borderId="1" xfId="1" applyNumberFormat="1" applyFont="1" applyFill="1" applyBorder="1" applyAlignment="1">
      <alignment horizontal="center" vertical="top"/>
    </xf>
    <xf numFmtId="0" fontId="32" fillId="2" borderId="0" xfId="0" applyFont="1" applyFill="1" applyAlignment="1">
      <alignment horizontal="center"/>
    </xf>
    <xf numFmtId="4" fontId="32" fillId="2" borderId="0" xfId="0" applyNumberFormat="1" applyFont="1" applyFill="1" applyAlignment="1">
      <alignment horizontal="center"/>
    </xf>
    <xf numFmtId="4" fontId="32" fillId="2" borderId="3" xfId="1" applyNumberFormat="1" applyFont="1" applyFill="1" applyBorder="1" applyAlignment="1">
      <alignment horizontal="center" vertical="top"/>
    </xf>
    <xf numFmtId="0" fontId="33" fillId="7" borderId="4" xfId="0" applyFont="1" applyFill="1" applyBorder="1" applyAlignment="1">
      <alignment horizontal="center"/>
    </xf>
    <xf numFmtId="14" fontId="33" fillId="7" borderId="1" xfId="0" applyNumberFormat="1" applyFont="1" applyFill="1" applyBorder="1" applyAlignment="1">
      <alignment horizontal="center"/>
    </xf>
    <xf numFmtId="0" fontId="33" fillId="7" borderId="1" xfId="0" applyFont="1" applyFill="1" applyBorder="1" applyAlignment="1">
      <alignment horizontal="center"/>
    </xf>
    <xf numFmtId="4" fontId="33" fillId="7" borderId="1" xfId="1" applyNumberFormat="1" applyFont="1" applyFill="1" applyBorder="1" applyAlignment="1">
      <alignment horizontal="center" vertical="top"/>
    </xf>
    <xf numFmtId="0" fontId="32" fillId="9" borderId="1" xfId="0" applyFont="1" applyFill="1" applyBorder="1" applyAlignment="1">
      <alignment horizontal="center"/>
    </xf>
    <xf numFmtId="4" fontId="32" fillId="9" borderId="1" xfId="1" applyNumberFormat="1" applyFont="1" applyFill="1" applyBorder="1" applyAlignment="1">
      <alignment horizontal="center"/>
    </xf>
    <xf numFmtId="4" fontId="32" fillId="9" borderId="1" xfId="1" applyNumberFormat="1" applyFont="1" applyFill="1" applyBorder="1" applyAlignment="1">
      <alignment horizontal="center" vertical="top"/>
    </xf>
    <xf numFmtId="0" fontId="32" fillId="0" borderId="0" xfId="0" applyFont="1"/>
    <xf numFmtId="14" fontId="35" fillId="2" borderId="1" xfId="1" applyNumberFormat="1" applyFont="1" applyFill="1" applyBorder="1" applyAlignment="1">
      <alignment horizontal="center"/>
    </xf>
    <xf numFmtId="164" fontId="36" fillId="2" borderId="1" xfId="1" applyFont="1" applyFill="1" applyBorder="1" applyAlignment="1">
      <alignment horizontal="center"/>
    </xf>
    <xf numFmtId="164" fontId="34" fillId="2" borderId="1" xfId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167" fontId="11" fillId="3" borderId="1" xfId="8" applyNumberFormat="1" applyFont="1" applyFill="1" applyBorder="1" applyAlignment="1">
      <alignment horizontal="center"/>
    </xf>
    <xf numFmtId="0" fontId="14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37" fontId="4" fillId="2" borderId="0" xfId="2" applyNumberFormat="1" applyFont="1" applyFill="1" applyAlignment="1" applyProtection="1">
      <alignment horizontal="center" vertical="center"/>
      <protection locked="0"/>
    </xf>
    <xf numFmtId="14" fontId="13" fillId="3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2" borderId="0" xfId="0" applyFont="1" applyFill="1" applyBorder="1" applyAlignment="1">
      <alignment vertical="center"/>
    </xf>
    <xf numFmtId="43" fontId="4" fillId="2" borderId="0" xfId="0" applyNumberFormat="1" applyFont="1" applyFill="1" applyAlignment="1"/>
    <xf numFmtId="4" fontId="3" fillId="2" borderId="0" xfId="0" applyNumberFormat="1" applyFont="1" applyFill="1" applyAlignment="1"/>
    <xf numFmtId="168" fontId="3" fillId="2" borderId="0" xfId="0" applyNumberFormat="1" applyFont="1" applyFill="1" applyAlignment="1"/>
    <xf numFmtId="167" fontId="3" fillId="2" borderId="0" xfId="8" applyNumberFormat="1" applyFont="1" applyFill="1" applyBorder="1" applyAlignment="1"/>
    <xf numFmtId="0" fontId="3" fillId="2" borderId="0" xfId="0" applyFont="1" applyFill="1" applyAlignment="1"/>
    <xf numFmtId="167" fontId="4" fillId="2" borderId="0" xfId="0" applyNumberFormat="1" applyFont="1" applyFill="1" applyAlignment="1"/>
    <xf numFmtId="167" fontId="4" fillId="2" borderId="0" xfId="8" applyNumberFormat="1" applyFont="1" applyFill="1" applyBorder="1" applyAlignment="1"/>
    <xf numFmtId="0" fontId="3" fillId="2" borderId="0" xfId="0" applyFont="1" applyFill="1" applyBorder="1" applyAlignment="1"/>
    <xf numFmtId="168" fontId="3" fillId="2" borderId="0" xfId="0" applyNumberFormat="1" applyFont="1" applyFill="1" applyBorder="1" applyAlignment="1"/>
    <xf numFmtId="167" fontId="4" fillId="3" borderId="1" xfId="0" applyNumberFormat="1" applyFont="1" applyFill="1" applyBorder="1" applyAlignment="1"/>
    <xf numFmtId="0" fontId="3" fillId="2" borderId="0" xfId="0" applyFont="1" applyFill="1" applyAlignment="1">
      <alignment wrapText="1"/>
    </xf>
    <xf numFmtId="0" fontId="0" fillId="0" borderId="0" xfId="0" applyAlignment="1"/>
    <xf numFmtId="14" fontId="33" fillId="7" borderId="4" xfId="0" applyNumberFormat="1" applyFont="1" applyFill="1" applyBorder="1" applyAlignment="1">
      <alignment horizontal="center"/>
    </xf>
    <xf numFmtId="4" fontId="32" fillId="2" borderId="1" xfId="0" applyNumberFormat="1" applyFont="1" applyFill="1" applyBorder="1" applyAlignment="1">
      <alignment horizontal="center"/>
    </xf>
    <xf numFmtId="4" fontId="32" fillId="9" borderId="1" xfId="0" applyNumberFormat="1" applyFont="1" applyFill="1" applyBorder="1" applyAlignment="1">
      <alignment horizontal="center"/>
    </xf>
    <xf numFmtId="0" fontId="30" fillId="0" borderId="1" xfId="0" applyFont="1" applyBorder="1" applyAlignment="1">
      <alignment horizontal="center"/>
    </xf>
    <xf numFmtId="43" fontId="3" fillId="2" borderId="0" xfId="0" applyNumberFormat="1" applyFont="1" applyFill="1" applyBorder="1" applyAlignment="1">
      <alignment horizontal="center" wrapText="1"/>
    </xf>
    <xf numFmtId="168" fontId="4" fillId="2" borderId="0" xfId="0" applyNumberFormat="1" applyFont="1" applyFill="1" applyAlignment="1"/>
    <xf numFmtId="167" fontId="3" fillId="2" borderId="0" xfId="0" applyNumberFormat="1" applyFont="1" applyFill="1" applyAlignment="1"/>
    <xf numFmtId="4" fontId="10" fillId="2" borderId="0" xfId="0" applyNumberFormat="1" applyFont="1" applyFill="1" applyBorder="1" applyAlignment="1">
      <alignment horizontal="center"/>
    </xf>
    <xf numFmtId="4" fontId="11" fillId="2" borderId="1" xfId="8" applyNumberFormat="1" applyFont="1" applyFill="1" applyBorder="1" applyAlignment="1">
      <alignment horizontal="center"/>
    </xf>
    <xf numFmtId="4" fontId="10" fillId="2" borderId="0" xfId="0" applyNumberFormat="1" applyFont="1" applyFill="1" applyAlignment="1">
      <alignment horizontal="center"/>
    </xf>
    <xf numFmtId="4" fontId="11" fillId="2" borderId="0" xfId="0" applyNumberFormat="1" applyFont="1" applyFill="1" applyBorder="1" applyAlignment="1">
      <alignment horizontal="center"/>
    </xf>
    <xf numFmtId="4" fontId="11" fillId="2" borderId="8" xfId="0" applyNumberFormat="1" applyFont="1" applyFill="1" applyBorder="1" applyAlignment="1">
      <alignment horizontal="center"/>
    </xf>
    <xf numFmtId="4" fontId="11" fillId="3" borderId="1" xfId="8" applyNumberFormat="1" applyFont="1" applyFill="1" applyBorder="1" applyAlignment="1">
      <alignment horizontal="center"/>
    </xf>
    <xf numFmtId="4" fontId="13" fillId="2" borderId="1" xfId="0" applyNumberFormat="1" applyFont="1" applyFill="1" applyBorder="1" applyAlignment="1">
      <alignment horizontal="center"/>
    </xf>
    <xf numFmtId="0" fontId="14" fillId="2" borderId="0" xfId="0" applyFont="1" applyFill="1" applyBorder="1" applyAlignment="1">
      <alignment horizontal="center" wrapText="1"/>
    </xf>
    <xf numFmtId="168" fontId="13" fillId="2" borderId="1" xfId="6" applyNumberFormat="1" applyFont="1" applyFill="1" applyBorder="1" applyAlignment="1">
      <alignment horizontal="center"/>
    </xf>
    <xf numFmtId="14" fontId="13" fillId="3" borderId="8" xfId="0" applyNumberFormat="1" applyFont="1" applyFill="1" applyBorder="1" applyAlignment="1">
      <alignment horizontal="center"/>
    </xf>
    <xf numFmtId="43" fontId="0" fillId="0" borderId="0" xfId="0" applyNumberFormat="1"/>
    <xf numFmtId="167" fontId="4" fillId="2" borderId="1" xfId="7" applyNumberFormat="1" applyFont="1" applyFill="1" applyBorder="1" applyAlignment="1" applyProtection="1">
      <alignment vertical="center"/>
      <protection locked="0"/>
    </xf>
    <xf numFmtId="4" fontId="3" fillId="2" borderId="0" xfId="2" applyNumberFormat="1" applyFont="1" applyFill="1" applyAlignment="1" applyProtection="1">
      <alignment vertical="center"/>
      <protection locked="0"/>
    </xf>
    <xf numFmtId="4" fontId="4" fillId="2" borderId="0" xfId="2" applyNumberFormat="1" applyFont="1" applyFill="1" applyBorder="1" applyAlignment="1" applyProtection="1">
      <alignment vertical="center"/>
      <protection locked="0"/>
    </xf>
    <xf numFmtId="167" fontId="4" fillId="2" borderId="1" xfId="7" applyNumberFormat="1" applyFont="1" applyFill="1" applyBorder="1" applyAlignment="1" applyProtection="1">
      <protection locked="0"/>
    </xf>
    <xf numFmtId="4" fontId="14" fillId="2" borderId="0" xfId="2" applyNumberFormat="1" applyFont="1" applyFill="1" applyBorder="1" applyAlignment="1" applyProtection="1">
      <protection locked="0"/>
    </xf>
    <xf numFmtId="4" fontId="14" fillId="2" borderId="0" xfId="2" applyNumberFormat="1" applyFont="1" applyFill="1" applyAlignment="1" applyProtection="1">
      <protection locked="0"/>
    </xf>
    <xf numFmtId="4" fontId="3" fillId="2" borderId="0" xfId="2" applyNumberFormat="1" applyFont="1" applyFill="1" applyBorder="1" applyAlignment="1" applyProtection="1">
      <alignment horizontal="right" vertical="center"/>
      <protection locked="0"/>
    </xf>
    <xf numFmtId="167" fontId="4" fillId="2" borderId="0" xfId="7" applyNumberFormat="1" applyFont="1" applyFill="1" applyBorder="1" applyAlignment="1" applyProtection="1">
      <alignment horizontal="right" vertical="center"/>
      <protection locked="0"/>
    </xf>
    <xf numFmtId="167" fontId="3" fillId="2" borderId="0" xfId="2" applyNumberFormat="1" applyFont="1" applyFill="1" applyBorder="1" applyAlignment="1" applyProtection="1">
      <alignment horizontal="right" vertical="center"/>
      <protection locked="0"/>
    </xf>
    <xf numFmtId="167" fontId="4" fillId="2" borderId="1" xfId="7" applyNumberFormat="1" applyFont="1" applyFill="1" applyBorder="1" applyAlignment="1" applyProtection="1">
      <alignment horizontal="right" vertical="center"/>
      <protection locked="0"/>
    </xf>
    <xf numFmtId="0" fontId="18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4" fontId="19" fillId="2" borderId="0" xfId="0" applyNumberFormat="1" applyFont="1" applyFill="1" applyBorder="1" applyAlignment="1">
      <alignment horizontal="center"/>
    </xf>
    <xf numFmtId="4" fontId="7" fillId="0" borderId="0" xfId="0" applyNumberFormat="1" applyFont="1" applyBorder="1" applyAlignment="1">
      <alignment horizontal="center"/>
    </xf>
    <xf numFmtId="4" fontId="27" fillId="8" borderId="0" xfId="0" applyNumberFormat="1" applyFont="1" applyFill="1" applyBorder="1" applyAlignment="1">
      <alignment horizontal="center"/>
    </xf>
    <xf numFmtId="4" fontId="27" fillId="2" borderId="0" xfId="1" applyNumberFormat="1" applyFont="1" applyFill="1" applyBorder="1" applyAlignment="1">
      <alignment horizontal="center"/>
    </xf>
    <xf numFmtId="4" fontId="27" fillId="2" borderId="0" xfId="1" applyNumberFormat="1" applyFont="1" applyFill="1" applyBorder="1" applyAlignment="1">
      <alignment horizontal="center" vertical="center"/>
    </xf>
    <xf numFmtId="4" fontId="27" fillId="2" borderId="0" xfId="0" applyNumberFormat="1" applyFont="1" applyFill="1" applyBorder="1" applyAlignment="1">
      <alignment horizontal="center"/>
    </xf>
    <xf numFmtId="4" fontId="1" fillId="11" borderId="1" xfId="1" applyNumberFormat="1" applyFont="1" applyFill="1" applyBorder="1" applyAlignment="1">
      <alignment horizontal="center" vertical="top"/>
    </xf>
    <xf numFmtId="43" fontId="4" fillId="2" borderId="0" xfId="0" applyNumberFormat="1" applyFont="1" applyFill="1" applyBorder="1" applyAlignment="1"/>
    <xf numFmtId="4" fontId="17" fillId="0" borderId="0" xfId="0" applyNumberFormat="1" applyFont="1"/>
    <xf numFmtId="14" fontId="24" fillId="2" borderId="0" xfId="0" applyNumberFormat="1" applyFont="1" applyFill="1" applyAlignment="1">
      <alignment horizontal="center"/>
    </xf>
    <xf numFmtId="4" fontId="25" fillId="2" borderId="0" xfId="0" applyNumberFormat="1" applyFont="1" applyFill="1" applyAlignment="1">
      <alignment horizontal="center" vertical="center" wrapText="1"/>
    </xf>
    <xf numFmtId="4" fontId="23" fillId="2" borderId="0" xfId="0" applyNumberFormat="1" applyFont="1" applyFill="1" applyAlignment="1">
      <alignment horizontal="center"/>
    </xf>
    <xf numFmtId="4" fontId="23" fillId="2" borderId="0" xfId="0" applyNumberFormat="1" applyFont="1" applyFill="1" applyBorder="1" applyAlignment="1">
      <alignment horizontal="center"/>
    </xf>
    <xf numFmtId="0" fontId="35" fillId="0" borderId="0" xfId="0" applyFont="1" applyAlignment="1">
      <alignment horizontal="center"/>
    </xf>
    <xf numFmtId="0" fontId="3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8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23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33" fillId="10" borderId="0" xfId="0" applyFont="1" applyFill="1" applyBorder="1" applyAlignment="1">
      <alignment horizontal="center"/>
    </xf>
    <xf numFmtId="0" fontId="33" fillId="10" borderId="9" xfId="0" applyFont="1" applyFill="1" applyBorder="1" applyAlignment="1">
      <alignment horizontal="center"/>
    </xf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5" fillId="3" borderId="1" xfId="3" applyFont="1" applyFill="1" applyBorder="1" applyAlignment="1">
      <alignment horizontal="center" vertical="center"/>
    </xf>
    <xf numFmtId="167" fontId="11" fillId="3" borderId="1" xfId="8" applyNumberFormat="1" applyFont="1" applyFill="1" applyBorder="1" applyAlignment="1">
      <alignment horizontal="center"/>
    </xf>
    <xf numFmtId="0" fontId="5" fillId="3" borderId="1" xfId="3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/>
    </xf>
    <xf numFmtId="0" fontId="4" fillId="2" borderId="0" xfId="0" applyFont="1" applyFill="1" applyBorder="1" applyAlignment="1">
      <alignment horizontal="center" wrapText="1"/>
    </xf>
    <xf numFmtId="0" fontId="5" fillId="3" borderId="1" xfId="3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wrapText="1"/>
    </xf>
    <xf numFmtId="0" fontId="11" fillId="3" borderId="1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/>
    </xf>
    <xf numFmtId="0" fontId="11" fillId="2" borderId="8" xfId="0" applyFont="1" applyFill="1" applyBorder="1" applyAlignment="1">
      <alignment horizontal="center"/>
    </xf>
    <xf numFmtId="0" fontId="10" fillId="2" borderId="0" xfId="0" applyFont="1" applyFill="1" applyAlignment="1">
      <alignment horizontal="center"/>
    </xf>
    <xf numFmtId="0" fontId="13" fillId="2" borderId="0" xfId="0" applyFont="1" applyFill="1" applyBorder="1" applyAlignment="1">
      <alignment horizontal="center" wrapText="1"/>
    </xf>
    <xf numFmtId="0" fontId="13" fillId="2" borderId="0" xfId="0" applyFont="1" applyFill="1" applyAlignment="1">
      <alignment horizontal="center"/>
    </xf>
    <xf numFmtId="37" fontId="4" fillId="2" borderId="0" xfId="2" applyNumberFormat="1" applyFont="1" applyFill="1" applyAlignment="1" applyProtection="1">
      <alignment horizontal="center" vertical="center"/>
      <protection locked="0"/>
    </xf>
    <xf numFmtId="37" fontId="4" fillId="2" borderId="4" xfId="2" applyNumberFormat="1" applyFont="1" applyFill="1" applyBorder="1" applyAlignment="1" applyProtection="1">
      <alignment horizontal="left" vertical="center"/>
      <protection locked="0"/>
    </xf>
    <xf numFmtId="37" fontId="4" fillId="2" borderId="8" xfId="2" applyNumberFormat="1" applyFont="1" applyFill="1" applyBorder="1" applyAlignment="1" applyProtection="1">
      <alignment horizontal="left" vertical="center"/>
      <protection locked="0"/>
    </xf>
    <xf numFmtId="37" fontId="4" fillId="3" borderId="0" xfId="2" applyNumberFormat="1" applyFont="1" applyFill="1" applyBorder="1" applyAlignment="1" applyProtection="1">
      <alignment horizontal="center" vertical="center"/>
      <protection locked="0"/>
    </xf>
    <xf numFmtId="0" fontId="13" fillId="3" borderId="0" xfId="0" applyFont="1" applyFill="1" applyBorder="1" applyAlignment="1">
      <alignment horizontal="center" vertical="center"/>
    </xf>
  </cellXfs>
  <cellStyles count="9">
    <cellStyle name="Moeda" xfId="1" builtinId="4"/>
    <cellStyle name="Normal" xfId="0" builtinId="0"/>
    <cellStyle name="Normal 2" xfId="2"/>
    <cellStyle name="Normal 3" xfId="3"/>
    <cellStyle name="Porcentagem" xfId="4" builtinId="5"/>
    <cellStyle name="Porcentagem 2" xfId="5"/>
    <cellStyle name="Vírgula" xfId="6" builtinId="3"/>
    <cellStyle name="Vírgula 2" xfId="7"/>
    <cellStyle name="Vírgula 2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76200</xdr:colOff>
      <xdr:row>6</xdr:row>
      <xdr:rowOff>0</xdr:rowOff>
    </xdr:from>
    <xdr:to>
      <xdr:col>3</xdr:col>
      <xdr:colOff>76200</xdr:colOff>
      <xdr:row>12</xdr:row>
      <xdr:rowOff>47625</xdr:rowOff>
    </xdr:to>
    <xdr:pic>
      <xdr:nvPicPr>
        <xdr:cNvPr id="19512" name="Imagem 1">
          <a:extLst>
            <a:ext uri="{FF2B5EF4-FFF2-40B4-BE49-F238E27FC236}">
              <a16:creationId xmlns:a16="http://schemas.microsoft.com/office/drawing/2014/main" id="{00000000-0008-0000-0800-0000384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6400" y="304800"/>
          <a:ext cx="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4</xdr:row>
      <xdr:rowOff>95250</xdr:rowOff>
    </xdr:from>
    <xdr:to>
      <xdr:col>1</xdr:col>
      <xdr:colOff>38100</xdr:colOff>
      <xdr:row>11</xdr:row>
      <xdr:rowOff>19050</xdr:rowOff>
    </xdr:to>
    <xdr:pic>
      <xdr:nvPicPr>
        <xdr:cNvPr id="16126" name="Imagem 1">
          <a:extLst>
            <a:ext uri="{FF2B5EF4-FFF2-40B4-BE49-F238E27FC236}">
              <a16:creationId xmlns:a16="http://schemas.microsoft.com/office/drawing/2014/main" id="{00000000-0008-0000-0A00-0000FE3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95250"/>
          <a:ext cx="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6"/>
  <sheetViews>
    <sheetView showGridLines="0" topLeftCell="A180" zoomScale="85" zoomScaleNormal="85" workbookViewId="0">
      <selection activeCell="A51" sqref="A51"/>
    </sheetView>
  </sheetViews>
  <sheetFormatPr defaultColWidth="43.33203125" defaultRowHeight="14.25" x14ac:dyDescent="0.2"/>
  <cols>
    <col min="1" max="1" width="43.33203125" style="243"/>
    <col min="2" max="2" width="77.6640625" style="243" customWidth="1"/>
    <col min="3" max="3" width="18.1640625" style="243" bestFit="1" customWidth="1"/>
    <col min="4" max="4" width="17" style="307" bestFit="1" customWidth="1"/>
    <col min="5" max="6" width="17" style="307" hidden="1" customWidth="1"/>
    <col min="7" max="7" width="17" style="307" bestFit="1" customWidth="1"/>
    <col min="8" max="8" width="43.33203125" style="243"/>
    <col min="9" max="9" width="43.33203125" style="311"/>
    <col min="10" max="12" width="18.6640625" style="311" bestFit="1" customWidth="1"/>
    <col min="13" max="16384" width="43.33203125" style="243"/>
  </cols>
  <sheetData>
    <row r="1" spans="2:12" x14ac:dyDescent="0.2">
      <c r="B1" s="262"/>
      <c r="C1" s="234">
        <v>46112</v>
      </c>
      <c r="D1" s="234">
        <v>46022</v>
      </c>
      <c r="E1" s="234">
        <v>45930</v>
      </c>
      <c r="F1" s="234">
        <v>45838</v>
      </c>
      <c r="G1" s="234">
        <v>45747</v>
      </c>
    </row>
    <row r="2" spans="2:12" x14ac:dyDescent="0.2">
      <c r="B2" s="235" t="s">
        <v>46</v>
      </c>
      <c r="C2" s="236">
        <f>350956.33+72457.8+316661.58+104911.46</f>
        <v>844987.16999999993</v>
      </c>
      <c r="D2" s="236">
        <f>410780.31+84032.35+390787.34+104911.46</f>
        <v>990511.46</v>
      </c>
      <c r="E2" s="236">
        <f>360564.16+98+55555.08+379166.74</f>
        <v>795383.98</v>
      </c>
      <c r="F2" s="263">
        <f>477022.6+58.81+36112.1+136551.85+98</f>
        <v>649843.36</v>
      </c>
      <c r="G2" s="263">
        <f>385227.45+98+28970.5+65844.53</f>
        <v>480140.48</v>
      </c>
    </row>
    <row r="3" spans="2:12" x14ac:dyDescent="0.2">
      <c r="B3" s="235" t="s">
        <v>106</v>
      </c>
      <c r="C3" s="236">
        <v>123633352.73999999</v>
      </c>
      <c r="D3" s="236">
        <v>221281850.53</v>
      </c>
      <c r="E3" s="236">
        <v>27976772.149999999</v>
      </c>
      <c r="F3" s="236">
        <v>45306809.719999999</v>
      </c>
      <c r="G3" s="236">
        <v>80918622.689999998</v>
      </c>
    </row>
    <row r="4" spans="2:12" x14ac:dyDescent="0.2">
      <c r="B4" s="233" t="s">
        <v>42</v>
      </c>
      <c r="C4" s="242">
        <f>C3+C2</f>
        <v>124478339.91</v>
      </c>
      <c r="D4" s="242">
        <f t="shared" ref="D4:G4" si="0">D3+D2</f>
        <v>222272361.99000001</v>
      </c>
      <c r="E4" s="242">
        <f t="shared" si="0"/>
        <v>28772156.129999999</v>
      </c>
      <c r="F4" s="242">
        <f t="shared" si="0"/>
        <v>45956653.079999998</v>
      </c>
      <c r="G4" s="242">
        <f t="shared" si="0"/>
        <v>81398763.170000002</v>
      </c>
    </row>
    <row r="5" spans="2:12" x14ac:dyDescent="0.2">
      <c r="B5" s="235" t="s">
        <v>365</v>
      </c>
      <c r="C5" s="236">
        <v>42307004.850000001</v>
      </c>
      <c r="D5" s="236">
        <v>54040954.159999996</v>
      </c>
      <c r="E5" s="236">
        <v>62905248.380000003</v>
      </c>
      <c r="F5" s="236">
        <v>63642478.659999996</v>
      </c>
      <c r="G5" s="236">
        <v>12040589.609999999</v>
      </c>
    </row>
    <row r="6" spans="2:12" ht="18" customHeight="1" x14ac:dyDescent="0.25">
      <c r="B6" s="233" t="s">
        <v>42</v>
      </c>
      <c r="C6" s="265">
        <f>C4+C5</f>
        <v>166785344.75999999</v>
      </c>
      <c r="D6" s="265">
        <f t="shared" ref="D6:G6" si="1">D4+D5</f>
        <v>276313316.14999998</v>
      </c>
      <c r="E6" s="265">
        <f t="shared" si="1"/>
        <v>91677404.510000005</v>
      </c>
      <c r="F6" s="265">
        <f t="shared" si="1"/>
        <v>109599131.73999999</v>
      </c>
      <c r="G6" s="265">
        <f t="shared" si="1"/>
        <v>93439352.780000001</v>
      </c>
      <c r="I6" s="319" t="s">
        <v>0</v>
      </c>
      <c r="J6" s="353">
        <v>46112</v>
      </c>
      <c r="K6" s="320">
        <v>46022</v>
      </c>
      <c r="L6" s="320">
        <v>45747</v>
      </c>
    </row>
    <row r="7" spans="2:12" ht="18" customHeight="1" x14ac:dyDescent="0.2">
      <c r="B7" s="237"/>
      <c r="C7" s="266"/>
      <c r="D7" s="266"/>
      <c r="E7" s="266"/>
      <c r="F7" s="266"/>
      <c r="G7" s="266"/>
      <c r="I7" s="312" t="s">
        <v>46</v>
      </c>
      <c r="J7" s="354">
        <f>C2</f>
        <v>844987.16999999993</v>
      </c>
      <c r="K7" s="313">
        <f>410780.31+84032.35+390787.34+104911.46</f>
        <v>990511.46</v>
      </c>
      <c r="L7" s="314">
        <f>G2</f>
        <v>480140.48</v>
      </c>
    </row>
    <row r="8" spans="2:12" ht="18" customHeight="1" x14ac:dyDescent="0.2">
      <c r="B8" s="233" t="s">
        <v>43</v>
      </c>
      <c r="C8" s="234">
        <v>46112</v>
      </c>
      <c r="D8" s="234">
        <v>46022</v>
      </c>
      <c r="E8" s="234">
        <v>45930</v>
      </c>
      <c r="F8" s="234">
        <v>45838</v>
      </c>
      <c r="G8" s="234">
        <v>45747</v>
      </c>
      <c r="I8" s="323" t="s">
        <v>106</v>
      </c>
      <c r="J8" s="355">
        <f>C3</f>
        <v>123633352.73999999</v>
      </c>
      <c r="K8" s="324">
        <v>221281850.53</v>
      </c>
      <c r="L8" s="325">
        <f>G3</f>
        <v>80918622.689999998</v>
      </c>
    </row>
    <row r="9" spans="2:12" ht="18" customHeight="1" x14ac:dyDescent="0.2">
      <c r="B9" s="235" t="s">
        <v>47</v>
      </c>
      <c r="C9" s="236">
        <f>1055596.55+1732406.57-80+93.72</f>
        <v>2788016.8400000003</v>
      </c>
      <c r="D9" s="236">
        <f>1571520.77+259302.74+93.72</f>
        <v>1830917.23</v>
      </c>
      <c r="E9" s="236">
        <f>1682718.45+259302.74+49+49+38.08</f>
        <v>1942157.27</v>
      </c>
      <c r="F9" s="236">
        <f>1073703.32+7664.69</f>
        <v>1081368.01</v>
      </c>
      <c r="G9" s="236">
        <f>954890.63+259302.74-200+5420.76+2243.93</f>
        <v>1221658.06</v>
      </c>
      <c r="I9" s="312" t="s">
        <v>1</v>
      </c>
      <c r="J9" s="354">
        <f>C5</f>
        <v>42307004.850000001</v>
      </c>
      <c r="K9" s="313">
        <v>54040954.159999996</v>
      </c>
      <c r="L9" s="315">
        <f>G5</f>
        <v>12040589.609999999</v>
      </c>
    </row>
    <row r="10" spans="2:12" ht="18" customHeight="1" x14ac:dyDescent="0.25">
      <c r="B10" s="235" t="s">
        <v>49</v>
      </c>
      <c r="C10" s="236">
        <f>72457.8+316661.58+487147.79+5041461.44</f>
        <v>5917728.6100000003</v>
      </c>
      <c r="D10" s="236">
        <f>84032.35+390787.34+491220.68+5055573.34</f>
        <v>6021613.71</v>
      </c>
      <c r="E10" s="236">
        <f>55555.08+379166.74+600918.34+4656486.22</f>
        <v>5692126.3799999999</v>
      </c>
      <c r="F10" s="236">
        <v>5359614.87</v>
      </c>
      <c r="G10" s="236">
        <f>664491+11020.27+4461111.28+156606.66</f>
        <v>5293229.2100000009</v>
      </c>
      <c r="I10" s="321" t="s">
        <v>42</v>
      </c>
      <c r="J10" s="322">
        <f>SUM(J7:J9)</f>
        <v>166785344.75999999</v>
      </c>
      <c r="K10" s="322">
        <f>SUM(K7:K9)</f>
        <v>276313316.14999998</v>
      </c>
      <c r="L10" s="322">
        <f t="shared" ref="L10" si="2">SUM(L7:L9)</f>
        <v>93439352.780000001</v>
      </c>
    </row>
    <row r="11" spans="2:12" ht="18" customHeight="1" x14ac:dyDescent="0.2">
      <c r="B11" s="235" t="s">
        <v>50</v>
      </c>
      <c r="C11" s="236">
        <f>1381892.58+6443.68+2542.21</f>
        <v>1390878.47</v>
      </c>
      <c r="D11" s="236">
        <f>7511006.17+6443.68+24797.05</f>
        <v>7542246.8999999994</v>
      </c>
      <c r="E11" s="236">
        <f>253774.32+1186476.93+3072325.72+6437.73+938.7</f>
        <v>4519953.4000000013</v>
      </c>
      <c r="F11" s="236">
        <f>5708393.76+6443.68+7722.58</f>
        <v>5722560.0199999996</v>
      </c>
      <c r="G11" s="236">
        <f>654137.48+928126.39+4144711.51+3845.69+6443.68</f>
        <v>5737264.75</v>
      </c>
      <c r="I11" s="316"/>
      <c r="J11" s="316"/>
      <c r="K11" s="317"/>
      <c r="L11" s="318"/>
    </row>
    <row r="12" spans="2:12" ht="18" customHeight="1" x14ac:dyDescent="0.25">
      <c r="B12" s="235" t="s">
        <v>48</v>
      </c>
      <c r="C12" s="236">
        <f>22175.18+453656.2+341876.72+16357593.47</f>
        <v>17175301.57</v>
      </c>
      <c r="D12" s="236">
        <f>52682.52+416963.79+379445.86+8456548.57+7313345.96</f>
        <v>16618986.699999999</v>
      </c>
      <c r="E12" s="236">
        <f>45380.39+416963.79+353149.65+7553252.75+7200000</f>
        <v>15568746.58</v>
      </c>
      <c r="F12" s="236">
        <f>455089.2+7418599.96</f>
        <v>7873689.1600000001</v>
      </c>
      <c r="G12" s="236">
        <f>32094+416963.79+1120331.59+6089215.23</f>
        <v>7658604.6100000003</v>
      </c>
      <c r="I12" s="321" t="s">
        <v>43</v>
      </c>
      <c r="J12" s="353">
        <v>46112</v>
      </c>
      <c r="K12" s="320">
        <v>46022</v>
      </c>
      <c r="L12" s="320">
        <v>45747</v>
      </c>
    </row>
    <row r="13" spans="2:12" ht="18" customHeight="1" x14ac:dyDescent="0.2">
      <c r="B13" s="235" t="s">
        <v>44</v>
      </c>
      <c r="C13" s="236">
        <f>15449006.9+103537888.79+809.97+104911.46+20420802.15</f>
        <v>139513419.27000001</v>
      </c>
      <c r="D13" s="236">
        <f>20744530.81+190725843.73+104911.46+32724265.61</f>
        <v>244299551.61000001</v>
      </c>
      <c r="E13" s="236">
        <f>5479497.85+15580331.96+57647843.82-7553252.75-7200000</f>
        <v>63954420.879999995</v>
      </c>
      <c r="F13" s="236">
        <f>38069682.25+51492217.43</f>
        <v>89561899.680000007</v>
      </c>
      <c r="G13" s="236">
        <f>16965085.63+56563510.52</f>
        <v>73528596.150000006</v>
      </c>
      <c r="I13" s="323" t="s">
        <v>47</v>
      </c>
      <c r="J13" s="355">
        <f>C9</f>
        <v>2788016.8400000003</v>
      </c>
      <c r="K13" s="324">
        <f>1571520.77+259302.74+93.72</f>
        <v>1830917.23</v>
      </c>
      <c r="L13" s="325">
        <f>G9</f>
        <v>1221658.06</v>
      </c>
    </row>
    <row r="14" spans="2:12" ht="18" customHeight="1" x14ac:dyDescent="0.2">
      <c r="B14" s="233" t="s">
        <v>42</v>
      </c>
      <c r="C14" s="265">
        <f>SUM(C9:C13)</f>
        <v>166785344.76000002</v>
      </c>
      <c r="D14" s="265">
        <f>SUM(D9:D13)</f>
        <v>276313316.15000004</v>
      </c>
      <c r="E14" s="265">
        <f>SUM(E9:E13)</f>
        <v>91677404.50999999</v>
      </c>
      <c r="F14" s="265">
        <f t="shared" ref="F14:G14" si="3">SUM(F9:F13)</f>
        <v>109599131.74000001</v>
      </c>
      <c r="G14" s="265">
        <f t="shared" si="3"/>
        <v>93439352.780000001</v>
      </c>
      <c r="I14" s="312" t="s">
        <v>49</v>
      </c>
      <c r="J14" s="354">
        <f>C10</f>
        <v>5917728.6100000003</v>
      </c>
      <c r="K14" s="313">
        <f>84032.35+390787.34+491220.68+5055573.34</f>
        <v>6021613.71</v>
      </c>
      <c r="L14" s="315">
        <f>G10</f>
        <v>5293229.2100000009</v>
      </c>
    </row>
    <row r="15" spans="2:12" ht="18" customHeight="1" x14ac:dyDescent="0.2">
      <c r="B15" s="267"/>
      <c r="C15" s="268"/>
      <c r="D15" s="268"/>
      <c r="E15" s="268"/>
      <c r="F15" s="268"/>
      <c r="G15" s="268"/>
      <c r="I15" s="323" t="s">
        <v>50</v>
      </c>
      <c r="J15" s="355">
        <f>C11</f>
        <v>1390878.47</v>
      </c>
      <c r="K15" s="324">
        <f>7511006.17+6443.68+24797.05</f>
        <v>7542246.8999999994</v>
      </c>
      <c r="L15" s="325">
        <f>G11</f>
        <v>5737264.75</v>
      </c>
    </row>
    <row r="16" spans="2:12" ht="18" customHeight="1" x14ac:dyDescent="0.2">
      <c r="C16" s="234">
        <v>46112</v>
      </c>
      <c r="D16" s="234">
        <v>46022</v>
      </c>
      <c r="E16" s="234">
        <v>45930</v>
      </c>
      <c r="F16" s="234">
        <v>45838</v>
      </c>
      <c r="G16" s="234">
        <v>45747</v>
      </c>
      <c r="I16" s="312" t="s">
        <v>48</v>
      </c>
      <c r="J16" s="354">
        <f>C12</f>
        <v>17175301.57</v>
      </c>
      <c r="K16" s="313">
        <f>52682.52+416963.79+379445.86+8456548.57+7313345.96</f>
        <v>16618986.699999999</v>
      </c>
      <c r="L16" s="315">
        <f>G12</f>
        <v>7658604.6100000003</v>
      </c>
    </row>
    <row r="17" spans="2:12" ht="18" customHeight="1" x14ac:dyDescent="0.2">
      <c r="B17" s="233" t="s">
        <v>157</v>
      </c>
      <c r="C17" s="238">
        <f>C18+C19+C20</f>
        <v>1054360.03</v>
      </c>
      <c r="D17" s="238">
        <f>D18+D19</f>
        <v>1054114.46</v>
      </c>
      <c r="E17" s="238">
        <f t="shared" ref="E17:G17" si="4">E18+E19</f>
        <v>1013686.62</v>
      </c>
      <c r="F17" s="238">
        <f t="shared" si="4"/>
        <v>1013461.2</v>
      </c>
      <c r="G17" s="238">
        <f t="shared" si="4"/>
        <v>1012978.5700000001</v>
      </c>
      <c r="I17" s="312" t="s">
        <v>44</v>
      </c>
      <c r="J17" s="354">
        <f>C13</f>
        <v>139513419.27000001</v>
      </c>
      <c r="K17" s="313">
        <f>20744530.81+190725843.73+104911.46+32724265.61</f>
        <v>244299551.61000001</v>
      </c>
      <c r="L17" s="315">
        <f>G13</f>
        <v>73528596.150000006</v>
      </c>
    </row>
    <row r="18" spans="2:12" ht="18" customHeight="1" x14ac:dyDescent="0.25">
      <c r="B18" s="356" t="s">
        <v>332</v>
      </c>
      <c r="C18" s="236">
        <v>670359.27</v>
      </c>
      <c r="D18" s="236">
        <v>670193.69999999995</v>
      </c>
      <c r="E18" s="236">
        <v>629765.86</v>
      </c>
      <c r="F18" s="236">
        <v>629540.43999999994</v>
      </c>
      <c r="G18" s="236">
        <v>628857.81000000006</v>
      </c>
      <c r="H18" s="307"/>
      <c r="I18" s="321" t="s">
        <v>42</v>
      </c>
      <c r="J18" s="322">
        <f>SUM(J13:J17)</f>
        <v>166785344.76000002</v>
      </c>
      <c r="K18" s="322">
        <f>SUM(K13:K17)</f>
        <v>276313316.15000004</v>
      </c>
      <c r="L18" s="322">
        <f>SUM(L13:L17)</f>
        <v>93439352.780000001</v>
      </c>
    </row>
    <row r="19" spans="2:12" ht="18" customHeight="1" x14ac:dyDescent="0.2">
      <c r="B19" s="235" t="s">
        <v>333</v>
      </c>
      <c r="C19" s="236">
        <v>383920.76</v>
      </c>
      <c r="D19" s="236">
        <v>383920.76</v>
      </c>
      <c r="E19" s="236">
        <v>383920.76</v>
      </c>
      <c r="F19" s="236">
        <v>383920.76</v>
      </c>
      <c r="G19" s="236">
        <f>383920.76+200</f>
        <v>384120.76</v>
      </c>
    </row>
    <row r="20" spans="2:12" ht="18" customHeight="1" x14ac:dyDescent="0.2">
      <c r="B20" s="235" t="s">
        <v>349</v>
      </c>
      <c r="C20" s="236">
        <v>80</v>
      </c>
      <c r="D20" s="236">
        <v>0</v>
      </c>
      <c r="E20" s="236"/>
      <c r="F20" s="236"/>
      <c r="G20" s="236">
        <v>0</v>
      </c>
    </row>
    <row r="21" spans="2:12" x14ac:dyDescent="0.2">
      <c r="B21" s="235"/>
      <c r="C21" s="236"/>
      <c r="D21" s="236"/>
      <c r="E21" s="236"/>
      <c r="F21" s="236"/>
      <c r="G21" s="236"/>
    </row>
    <row r="22" spans="2:12" x14ac:dyDescent="0.2">
      <c r="B22" s="233" t="s">
        <v>330</v>
      </c>
      <c r="C22" s="242">
        <f>C23</f>
        <v>-649971.46</v>
      </c>
      <c r="D22" s="242">
        <f>D23</f>
        <v>-640770.81999999995</v>
      </c>
      <c r="E22" s="242">
        <f t="shared" ref="E22:G22" si="5">E23</f>
        <v>-631255.68000000005</v>
      </c>
      <c r="F22" s="242">
        <f t="shared" si="5"/>
        <v>-621008.01</v>
      </c>
      <c r="G22" s="242">
        <f t="shared" si="5"/>
        <v>-610678.26</v>
      </c>
    </row>
    <row r="23" spans="2:12" x14ac:dyDescent="0.2">
      <c r="B23" s="235" t="s">
        <v>350</v>
      </c>
      <c r="C23" s="236">
        <v>-649971.46</v>
      </c>
      <c r="D23" s="236">
        <v>-640770.81999999995</v>
      </c>
      <c r="E23" s="236">
        <v>-631255.68000000005</v>
      </c>
      <c r="F23" s="236">
        <v>-621008.01</v>
      </c>
      <c r="G23" s="236">
        <v>-610678.26</v>
      </c>
    </row>
    <row r="24" spans="2:12" x14ac:dyDescent="0.2">
      <c r="B24" s="235"/>
      <c r="C24" s="236"/>
      <c r="D24" s="236"/>
      <c r="E24" s="236"/>
      <c r="F24" s="236"/>
      <c r="G24" s="236"/>
    </row>
    <row r="25" spans="2:12" x14ac:dyDescent="0.2">
      <c r="B25" s="233" t="s">
        <v>42</v>
      </c>
      <c r="C25" s="265">
        <f>C17+C22</f>
        <v>404388.57000000007</v>
      </c>
      <c r="D25" s="265">
        <f>D17+D22</f>
        <v>413343.64</v>
      </c>
      <c r="E25" s="265">
        <f t="shared" ref="E25:G25" si="6">E17+E22</f>
        <v>382430.93999999994</v>
      </c>
      <c r="F25" s="265">
        <f t="shared" si="6"/>
        <v>392453.18999999994</v>
      </c>
      <c r="G25" s="265">
        <f t="shared" si="6"/>
        <v>402300.31000000006</v>
      </c>
    </row>
    <row r="26" spans="2:12" ht="19.5" customHeight="1" x14ac:dyDescent="0.2">
      <c r="B26" s="241"/>
      <c r="C26" s="270"/>
      <c r="D26" s="270"/>
      <c r="E26" s="270"/>
      <c r="F26" s="270"/>
      <c r="G26" s="270"/>
    </row>
    <row r="27" spans="2:12" x14ac:dyDescent="0.2">
      <c r="B27" s="233" t="s">
        <v>2</v>
      </c>
      <c r="C27" s="234">
        <v>46112</v>
      </c>
      <c r="D27" s="234">
        <v>46022</v>
      </c>
      <c r="E27" s="234">
        <v>45930</v>
      </c>
      <c r="F27" s="234">
        <v>45838</v>
      </c>
      <c r="G27" s="234">
        <v>45747</v>
      </c>
    </row>
    <row r="28" spans="2:12" x14ac:dyDescent="0.2">
      <c r="B28" s="271" t="s">
        <v>51</v>
      </c>
      <c r="C28" s="272">
        <v>7418857.3600000003</v>
      </c>
      <c r="D28" s="272">
        <v>7418857.3600000003</v>
      </c>
      <c r="E28" s="272">
        <v>7418857.3600000003</v>
      </c>
      <c r="F28" s="272">
        <v>7418857.3600000003</v>
      </c>
      <c r="G28" s="272">
        <v>7418857.3600000003</v>
      </c>
    </row>
    <row r="29" spans="2:12" x14ac:dyDescent="0.2">
      <c r="B29" s="271" t="s">
        <v>52</v>
      </c>
      <c r="C29" s="272">
        <v>225416.51</v>
      </c>
      <c r="D29" s="272">
        <v>225416.51</v>
      </c>
      <c r="E29" s="272">
        <v>225416.51</v>
      </c>
      <c r="F29" s="272">
        <v>225416.51</v>
      </c>
      <c r="G29" s="272">
        <v>225416.51</v>
      </c>
    </row>
    <row r="30" spans="2:12" x14ac:dyDescent="0.2">
      <c r="B30" s="271" t="s">
        <v>53</v>
      </c>
      <c r="C30" s="272">
        <v>0</v>
      </c>
      <c r="D30" s="272">
        <v>0</v>
      </c>
      <c r="E30" s="272">
        <v>929214.59</v>
      </c>
      <c r="F30" s="272">
        <v>929214.59</v>
      </c>
      <c r="G30" s="272">
        <v>929214.59</v>
      </c>
    </row>
    <row r="31" spans="2:12" x14ac:dyDescent="0.2">
      <c r="B31" s="233" t="s">
        <v>42</v>
      </c>
      <c r="C31" s="265">
        <f>SUM(C28:C30)</f>
        <v>7644273.8700000001</v>
      </c>
      <c r="D31" s="265">
        <f>SUM(D28:D30)</f>
        <v>7644273.8700000001</v>
      </c>
      <c r="E31" s="265">
        <f t="shared" ref="E31:G31" si="7">SUM(E28:E30)</f>
        <v>8573488.4600000009</v>
      </c>
      <c r="F31" s="265">
        <f t="shared" si="7"/>
        <v>8573488.4600000009</v>
      </c>
      <c r="G31" s="265">
        <f t="shared" si="7"/>
        <v>8573488.4600000009</v>
      </c>
    </row>
    <row r="32" spans="2:12" x14ac:dyDescent="0.2">
      <c r="B32" s="241"/>
      <c r="C32" s="270"/>
      <c r="D32" s="270"/>
      <c r="E32" s="270"/>
      <c r="F32" s="270"/>
      <c r="G32" s="270"/>
    </row>
    <row r="33" spans="2:7" x14ac:dyDescent="0.2">
      <c r="B33" s="233" t="s">
        <v>3</v>
      </c>
      <c r="C33" s="234">
        <v>46112</v>
      </c>
      <c r="D33" s="234">
        <v>46022</v>
      </c>
      <c r="E33" s="234">
        <v>45930</v>
      </c>
      <c r="F33" s="234">
        <v>45838</v>
      </c>
      <c r="G33" s="234">
        <v>45747</v>
      </c>
    </row>
    <row r="34" spans="2:7" x14ac:dyDescent="0.2">
      <c r="B34" s="271" t="s">
        <v>41</v>
      </c>
      <c r="C34" s="273">
        <v>156298.49</v>
      </c>
      <c r="D34" s="273">
        <v>437076.33</v>
      </c>
      <c r="E34" s="273">
        <v>168429.31</v>
      </c>
      <c r="F34" s="273">
        <v>534290.89</v>
      </c>
      <c r="G34" s="273">
        <v>129951.88</v>
      </c>
    </row>
    <row r="35" spans="2:7" x14ac:dyDescent="0.2">
      <c r="B35" s="271" t="s">
        <v>123</v>
      </c>
      <c r="C35" s="273">
        <v>455565.65</v>
      </c>
      <c r="D35" s="273">
        <v>0</v>
      </c>
      <c r="E35" s="273">
        <v>1275741.56</v>
      </c>
      <c r="F35" s="273">
        <v>853316.5</v>
      </c>
      <c r="G35" s="273">
        <v>427319.68</v>
      </c>
    </row>
    <row r="36" spans="2:7" x14ac:dyDescent="0.2">
      <c r="B36" s="233" t="s">
        <v>42</v>
      </c>
      <c r="C36" s="265">
        <f>C35+C34</f>
        <v>611864.14</v>
      </c>
      <c r="D36" s="265">
        <f>D35+D34</f>
        <v>437076.33</v>
      </c>
      <c r="E36" s="265">
        <f>E35+E34</f>
        <v>1444170.87</v>
      </c>
      <c r="F36" s="265">
        <f t="shared" ref="F36:G36" si="8">F35+F34</f>
        <v>1387607.3900000001</v>
      </c>
      <c r="G36" s="265">
        <f t="shared" si="8"/>
        <v>557271.56000000006</v>
      </c>
    </row>
    <row r="37" spans="2:7" x14ac:dyDescent="0.2">
      <c r="B37" s="267"/>
      <c r="C37" s="268"/>
      <c r="D37" s="268"/>
      <c r="E37" s="268"/>
      <c r="F37" s="268"/>
      <c r="G37" s="268"/>
    </row>
    <row r="38" spans="2:7" x14ac:dyDescent="0.2">
      <c r="B38" s="233" t="s">
        <v>351</v>
      </c>
      <c r="C38" s="234">
        <v>46112</v>
      </c>
      <c r="D38" s="234">
        <v>46022</v>
      </c>
      <c r="E38" s="234">
        <v>45930</v>
      </c>
      <c r="F38" s="234">
        <v>45838</v>
      </c>
      <c r="G38" s="234">
        <v>45747</v>
      </c>
    </row>
    <row r="39" spans="2:7" x14ac:dyDescent="0.2">
      <c r="B39" s="330" t="s">
        <v>352</v>
      </c>
      <c r="C39" s="273">
        <v>503405.46</v>
      </c>
      <c r="D39" s="273">
        <v>0</v>
      </c>
      <c r="E39" s="273">
        <v>168429.31</v>
      </c>
      <c r="F39" s="273">
        <v>534290.89</v>
      </c>
      <c r="G39" s="273">
        <v>0</v>
      </c>
    </row>
    <row r="40" spans="2:7" x14ac:dyDescent="0.2">
      <c r="B40" s="233" t="s">
        <v>42</v>
      </c>
      <c r="C40" s="265">
        <f>C39</f>
        <v>503405.46</v>
      </c>
      <c r="D40" s="265">
        <f t="shared" ref="D40:G40" si="9">D39</f>
        <v>0</v>
      </c>
      <c r="E40" s="265">
        <f t="shared" si="9"/>
        <v>168429.31</v>
      </c>
      <c r="F40" s="265">
        <f t="shared" si="9"/>
        <v>534290.89</v>
      </c>
      <c r="G40" s="265">
        <f t="shared" si="9"/>
        <v>0</v>
      </c>
    </row>
    <row r="41" spans="2:7" x14ac:dyDescent="0.2">
      <c r="B41" s="267"/>
      <c r="C41" s="268"/>
      <c r="D41" s="268"/>
      <c r="E41" s="268"/>
      <c r="F41" s="268"/>
      <c r="G41" s="268"/>
    </row>
    <row r="42" spans="2:7" x14ac:dyDescent="0.2">
      <c r="B42" s="233" t="s">
        <v>4</v>
      </c>
      <c r="C42" s="234">
        <v>46112</v>
      </c>
      <c r="D42" s="234">
        <v>46022</v>
      </c>
      <c r="E42" s="234">
        <v>45930</v>
      </c>
      <c r="F42" s="234">
        <v>45838</v>
      </c>
      <c r="G42" s="234">
        <v>45747</v>
      </c>
    </row>
    <row r="43" spans="2:7" x14ac:dyDescent="0.2">
      <c r="B43" s="271" t="s">
        <v>54</v>
      </c>
      <c r="C43" s="273">
        <v>48732.37</v>
      </c>
      <c r="D43" s="273">
        <v>261070.6</v>
      </c>
      <c r="E43" s="273">
        <v>120520.94</v>
      </c>
      <c r="F43" s="273">
        <v>106770.3</v>
      </c>
      <c r="G43" s="273">
        <v>17991.009999999998</v>
      </c>
    </row>
    <row r="44" spans="2:7" x14ac:dyDescent="0.2">
      <c r="B44" s="271" t="s">
        <v>55</v>
      </c>
      <c r="C44" s="273">
        <v>61291.11</v>
      </c>
      <c r="D44" s="273">
        <v>241751.26</v>
      </c>
      <c r="E44" s="273">
        <v>180460.15</v>
      </c>
      <c r="F44" s="273">
        <v>119169.04</v>
      </c>
      <c r="G44" s="273">
        <v>57877.93</v>
      </c>
    </row>
    <row r="45" spans="2:7" x14ac:dyDescent="0.2">
      <c r="B45" s="233" t="s">
        <v>42</v>
      </c>
      <c r="C45" s="265">
        <f>C44+C43</f>
        <v>110023.48000000001</v>
      </c>
      <c r="D45" s="265">
        <f t="shared" ref="D45:G45" si="10">D44+D43</f>
        <v>502821.86</v>
      </c>
      <c r="E45" s="265">
        <f t="shared" si="10"/>
        <v>300981.08999999997</v>
      </c>
      <c r="F45" s="265">
        <f t="shared" si="10"/>
        <v>225939.34</v>
      </c>
      <c r="G45" s="265">
        <f t="shared" si="10"/>
        <v>75868.94</v>
      </c>
    </row>
    <row r="46" spans="2:7" x14ac:dyDescent="0.2">
      <c r="B46" s="241"/>
      <c r="C46" s="270"/>
      <c r="D46" s="270"/>
      <c r="E46" s="270"/>
      <c r="F46" s="270"/>
      <c r="G46" s="270"/>
    </row>
    <row r="47" spans="2:7" x14ac:dyDescent="0.2">
      <c r="B47" s="233" t="s">
        <v>5</v>
      </c>
      <c r="C47" s="234">
        <v>46112</v>
      </c>
      <c r="D47" s="234">
        <v>46022</v>
      </c>
      <c r="E47" s="234">
        <v>45930</v>
      </c>
      <c r="F47" s="234">
        <v>45838</v>
      </c>
      <c r="G47" s="234">
        <v>45747</v>
      </c>
    </row>
    <row r="48" spans="2:7" x14ac:dyDescent="0.2">
      <c r="B48" s="271" t="s">
        <v>60</v>
      </c>
      <c r="C48" s="236">
        <v>0</v>
      </c>
      <c r="D48" s="236">
        <v>0</v>
      </c>
      <c r="E48" s="236">
        <v>1072.8</v>
      </c>
      <c r="F48" s="236">
        <v>3740.33</v>
      </c>
      <c r="G48" s="236">
        <v>6378.87</v>
      </c>
    </row>
    <row r="49" spans="1:7" x14ac:dyDescent="0.2">
      <c r="B49" s="233" t="s">
        <v>42</v>
      </c>
      <c r="C49" s="265">
        <f>C48</f>
        <v>0</v>
      </c>
      <c r="D49" s="265">
        <f>D48</f>
        <v>0</v>
      </c>
      <c r="E49" s="265">
        <f>E48</f>
        <v>1072.8</v>
      </c>
      <c r="F49" s="265">
        <f t="shared" ref="F49:G49" si="11">F48</f>
        <v>3740.33</v>
      </c>
      <c r="G49" s="265">
        <f t="shared" si="11"/>
        <v>6378.87</v>
      </c>
    </row>
    <row r="50" spans="1:7" x14ac:dyDescent="0.2">
      <c r="B50" s="241"/>
      <c r="C50" s="270"/>
      <c r="D50" s="270"/>
      <c r="E50" s="270"/>
      <c r="F50" s="270"/>
      <c r="G50" s="270"/>
    </row>
    <row r="51" spans="1:7" x14ac:dyDescent="0.2">
      <c r="A51" s="274"/>
      <c r="B51" s="233" t="s">
        <v>346</v>
      </c>
      <c r="C51" s="234">
        <v>46112</v>
      </c>
      <c r="D51" s="234">
        <v>46022</v>
      </c>
      <c r="E51" s="234">
        <v>45930</v>
      </c>
      <c r="F51" s="234">
        <v>45838</v>
      </c>
      <c r="G51" s="234">
        <v>45747</v>
      </c>
    </row>
    <row r="52" spans="1:7" x14ac:dyDescent="0.2">
      <c r="B52" s="271" t="s">
        <v>61</v>
      </c>
      <c r="C52" s="272">
        <v>134950.04999999999</v>
      </c>
      <c r="D52" s="272">
        <v>96078.88</v>
      </c>
      <c r="E52" s="272">
        <f>'Planilhas Complementares'!C20</f>
        <v>134950.04999999999</v>
      </c>
      <c r="F52" s="272">
        <v>85536.3</v>
      </c>
      <c r="G52" s="272">
        <v>93959.27</v>
      </c>
    </row>
    <row r="53" spans="1:7" x14ac:dyDescent="0.2">
      <c r="B53" s="233" t="s">
        <v>42</v>
      </c>
      <c r="C53" s="265">
        <f>C52</f>
        <v>134950.04999999999</v>
      </c>
      <c r="D53" s="265">
        <f>D52</f>
        <v>96078.88</v>
      </c>
      <c r="E53" s="265">
        <f>E52</f>
        <v>134950.04999999999</v>
      </c>
      <c r="F53" s="265">
        <f t="shared" ref="F53:G53" si="12">F52</f>
        <v>85536.3</v>
      </c>
      <c r="G53" s="265">
        <f t="shared" si="12"/>
        <v>93959.27</v>
      </c>
    </row>
    <row r="54" spans="1:7" x14ac:dyDescent="0.2">
      <c r="B54" s="241"/>
      <c r="C54" s="270"/>
      <c r="D54" s="270"/>
      <c r="E54" s="270"/>
      <c r="F54" s="270"/>
      <c r="G54" s="270"/>
    </row>
    <row r="55" spans="1:7" x14ac:dyDescent="0.2">
      <c r="B55" s="275" t="s">
        <v>154</v>
      </c>
      <c r="C55" s="276">
        <f>C6+C25+C31+C36+C45+C49+C53+C40</f>
        <v>176194250.32999998</v>
      </c>
      <c r="D55" s="276">
        <f>D6+D25+D31+D36+D45+D49+D53</f>
        <v>285406910.72999996</v>
      </c>
      <c r="E55" s="276">
        <f>E6+E25+E31+E36+E45+E49+E53</f>
        <v>102514498.72</v>
      </c>
      <c r="F55" s="276">
        <f>F6+F25+F31+F36+F45+F49+F53</f>
        <v>120267896.74999999</v>
      </c>
      <c r="G55" s="276">
        <f>G6+G25+G31+G36+G45+G49+G53</f>
        <v>103148620.19000001</v>
      </c>
    </row>
    <row r="56" spans="1:7" x14ac:dyDescent="0.2">
      <c r="B56" s="277"/>
      <c r="C56" s="278"/>
      <c r="D56" s="278"/>
      <c r="E56" s="278"/>
      <c r="F56" s="278"/>
      <c r="G56" s="278"/>
    </row>
    <row r="57" spans="1:7" x14ac:dyDescent="0.2">
      <c r="B57" s="233" t="s">
        <v>331</v>
      </c>
      <c r="C57" s="234">
        <v>46112</v>
      </c>
      <c r="D57" s="234">
        <v>46022</v>
      </c>
      <c r="E57" s="234">
        <v>45930</v>
      </c>
      <c r="F57" s="234">
        <v>45838</v>
      </c>
      <c r="G57" s="234">
        <v>45747</v>
      </c>
    </row>
    <row r="58" spans="1:7" x14ac:dyDescent="0.2">
      <c r="B58" s="269" t="s">
        <v>332</v>
      </c>
      <c r="C58" s="264">
        <v>51327.44</v>
      </c>
      <c r="D58" s="264">
        <v>51327.44</v>
      </c>
      <c r="E58" s="264">
        <v>91991.72</v>
      </c>
      <c r="F58" s="264">
        <v>91991.72</v>
      </c>
      <c r="G58" s="264">
        <v>91991.72</v>
      </c>
    </row>
    <row r="59" spans="1:7" x14ac:dyDescent="0.2">
      <c r="B59" s="233" t="s">
        <v>42</v>
      </c>
      <c r="C59" s="265">
        <f>C58</f>
        <v>51327.44</v>
      </c>
      <c r="D59" s="265">
        <f>D58</f>
        <v>51327.44</v>
      </c>
      <c r="E59" s="265">
        <f>E58</f>
        <v>91991.72</v>
      </c>
      <c r="F59" s="265">
        <f t="shared" ref="F59:G59" si="13">F58</f>
        <v>91991.72</v>
      </c>
      <c r="G59" s="265">
        <f t="shared" si="13"/>
        <v>91991.72</v>
      </c>
    </row>
    <row r="60" spans="1:7" x14ac:dyDescent="0.2">
      <c r="B60" s="241"/>
      <c r="C60" s="279"/>
      <c r="D60" s="279"/>
      <c r="E60" s="279"/>
      <c r="F60" s="279"/>
      <c r="G60" s="279"/>
    </row>
    <row r="61" spans="1:7" x14ac:dyDescent="0.2">
      <c r="B61" s="233" t="s">
        <v>6</v>
      </c>
      <c r="C61" s="234">
        <v>46112</v>
      </c>
      <c r="D61" s="234">
        <v>46022</v>
      </c>
      <c r="E61" s="234">
        <v>45930</v>
      </c>
      <c r="F61" s="234">
        <v>45838</v>
      </c>
      <c r="G61" s="234">
        <v>45747</v>
      </c>
    </row>
    <row r="62" spans="1:7" x14ac:dyDescent="0.2">
      <c r="B62" s="280" t="s">
        <v>7</v>
      </c>
      <c r="C62" s="281">
        <v>0</v>
      </c>
      <c r="D62" s="281">
        <v>0</v>
      </c>
      <c r="E62" s="281">
        <v>6862253.8799999999</v>
      </c>
      <c r="F62" s="281">
        <v>6862253.8799999999</v>
      </c>
      <c r="G62" s="281">
        <v>6862253.8799999999</v>
      </c>
    </row>
    <row r="63" spans="1:7" x14ac:dyDescent="0.2">
      <c r="B63" s="271" t="s">
        <v>8</v>
      </c>
      <c r="C63" s="272">
        <v>0</v>
      </c>
      <c r="D63" s="272">
        <v>0</v>
      </c>
      <c r="E63" s="272">
        <v>-6862253.8799999999</v>
      </c>
      <c r="F63" s="272">
        <v>-6862253.8799999999</v>
      </c>
      <c r="G63" s="272">
        <v>-6862253.8799999999</v>
      </c>
    </row>
    <row r="64" spans="1:7" x14ac:dyDescent="0.2">
      <c r="B64" s="233" t="s">
        <v>42</v>
      </c>
      <c r="C64" s="265">
        <f>C62+C63</f>
        <v>0</v>
      </c>
      <c r="D64" s="265">
        <f>D62+D63</f>
        <v>0</v>
      </c>
      <c r="E64" s="265">
        <f>E62+E63</f>
        <v>0</v>
      </c>
      <c r="F64" s="265">
        <f t="shared" ref="F64:G64" si="14">F62+F63</f>
        <v>0</v>
      </c>
      <c r="G64" s="265">
        <f t="shared" si="14"/>
        <v>0</v>
      </c>
    </row>
    <row r="65" spans="2:7" x14ac:dyDescent="0.2">
      <c r="B65" s="241"/>
      <c r="C65" s="270"/>
      <c r="D65" s="270"/>
      <c r="E65" s="270"/>
      <c r="F65" s="270"/>
      <c r="G65" s="270"/>
    </row>
    <row r="66" spans="2:7" x14ac:dyDescent="0.2">
      <c r="B66" s="233" t="s">
        <v>65</v>
      </c>
      <c r="C66" s="234">
        <v>46112</v>
      </c>
      <c r="D66" s="234">
        <v>46022</v>
      </c>
      <c r="E66" s="234">
        <v>45930</v>
      </c>
      <c r="F66" s="234">
        <v>45838</v>
      </c>
      <c r="G66" s="234">
        <v>45747</v>
      </c>
    </row>
    <row r="67" spans="2:7" x14ac:dyDescent="0.2">
      <c r="B67" s="235" t="s">
        <v>230</v>
      </c>
      <c r="C67" s="264">
        <v>600528.34</v>
      </c>
      <c r="D67" s="264">
        <v>600528.34</v>
      </c>
      <c r="E67" s="264">
        <v>861627.54</v>
      </c>
      <c r="F67" s="264">
        <v>953012.33</v>
      </c>
      <c r="G67" s="264">
        <v>953012.33</v>
      </c>
    </row>
    <row r="68" spans="2:7" x14ac:dyDescent="0.2">
      <c r="B68" s="235" t="s">
        <v>231</v>
      </c>
      <c r="C68" s="264">
        <v>99418.73</v>
      </c>
      <c r="D68" s="264">
        <v>99418.73</v>
      </c>
      <c r="E68" s="264">
        <v>176744.44</v>
      </c>
      <c r="F68" s="264">
        <v>176744.44</v>
      </c>
      <c r="G68" s="264">
        <v>176744.44</v>
      </c>
    </row>
    <row r="69" spans="2:7" x14ac:dyDescent="0.2">
      <c r="B69" s="233" t="s">
        <v>42</v>
      </c>
      <c r="C69" s="265">
        <f>C67+C68</f>
        <v>699947.07</v>
      </c>
      <c r="D69" s="265">
        <f>D67+D68</f>
        <v>699947.07</v>
      </c>
      <c r="E69" s="265">
        <f>E67+E68</f>
        <v>1038371.98</v>
      </c>
      <c r="F69" s="265">
        <f t="shared" ref="F69:G69" si="15">F67+F68</f>
        <v>1129756.77</v>
      </c>
      <c r="G69" s="265">
        <f t="shared" si="15"/>
        <v>1129756.77</v>
      </c>
    </row>
    <row r="70" spans="2:7" x14ac:dyDescent="0.2">
      <c r="B70" s="267"/>
      <c r="C70" s="268"/>
      <c r="D70" s="268"/>
      <c r="E70" s="268"/>
      <c r="F70" s="268"/>
      <c r="G70" s="268"/>
    </row>
    <row r="71" spans="2:7" x14ac:dyDescent="0.2">
      <c r="B71" s="241"/>
      <c r="C71" s="270"/>
      <c r="D71" s="270"/>
      <c r="E71" s="270"/>
      <c r="F71" s="270"/>
      <c r="G71" s="270"/>
    </row>
    <row r="72" spans="2:7" x14ac:dyDescent="0.2">
      <c r="B72" s="233" t="s">
        <v>9</v>
      </c>
      <c r="C72" s="234">
        <v>46112</v>
      </c>
      <c r="D72" s="234">
        <v>46022</v>
      </c>
      <c r="E72" s="234">
        <v>45930</v>
      </c>
      <c r="F72" s="234">
        <v>45838</v>
      </c>
      <c r="G72" s="234">
        <v>45747</v>
      </c>
    </row>
    <row r="73" spans="2:7" x14ac:dyDescent="0.2">
      <c r="B73" s="235" t="s">
        <v>67</v>
      </c>
      <c r="C73" s="236">
        <v>54655.68</v>
      </c>
      <c r="D73" s="236">
        <v>54655.68</v>
      </c>
      <c r="E73" s="236">
        <v>54655.68</v>
      </c>
      <c r="F73" s="236">
        <v>54655.68</v>
      </c>
      <c r="G73" s="236">
        <v>54655.68</v>
      </c>
    </row>
    <row r="74" spans="2:7" x14ac:dyDescent="0.2">
      <c r="B74" s="235" t="s">
        <v>66</v>
      </c>
      <c r="C74" s="236">
        <v>1737076.16</v>
      </c>
      <c r="D74" s="236">
        <v>2065986.29</v>
      </c>
      <c r="E74" s="236">
        <v>2109198.96</v>
      </c>
      <c r="F74" s="236">
        <v>2109198.96</v>
      </c>
      <c r="G74" s="236">
        <v>2109198.96</v>
      </c>
    </row>
    <row r="75" spans="2:7" x14ac:dyDescent="0.2">
      <c r="B75" s="233" t="s">
        <v>42</v>
      </c>
      <c r="C75" s="265">
        <f>SUM(C73:C74)</f>
        <v>1791731.8399999999</v>
      </c>
      <c r="D75" s="265">
        <f>SUM(D73:D74)</f>
        <v>2120641.9700000002</v>
      </c>
      <c r="E75" s="265">
        <f>SUM(E73:E74)</f>
        <v>2163854.64</v>
      </c>
      <c r="F75" s="265">
        <f t="shared" ref="F75:G75" si="16">SUM(F73:F74)</f>
        <v>2163854.64</v>
      </c>
      <c r="G75" s="265">
        <f t="shared" si="16"/>
        <v>2163854.64</v>
      </c>
    </row>
    <row r="76" spans="2:7" x14ac:dyDescent="0.2">
      <c r="B76" s="235"/>
      <c r="C76" s="282"/>
      <c r="D76" s="282"/>
      <c r="E76" s="282"/>
      <c r="F76" s="282"/>
      <c r="G76" s="282"/>
    </row>
    <row r="77" spans="2:7" x14ac:dyDescent="0.2">
      <c r="B77" s="233" t="s">
        <v>4</v>
      </c>
      <c r="C77" s="234">
        <v>46112</v>
      </c>
      <c r="D77" s="234">
        <v>46022</v>
      </c>
      <c r="E77" s="234">
        <v>45930</v>
      </c>
      <c r="F77" s="234">
        <v>45838</v>
      </c>
      <c r="G77" s="234">
        <v>45747</v>
      </c>
    </row>
    <row r="78" spans="2:7" x14ac:dyDescent="0.2">
      <c r="B78" s="235" t="s">
        <v>10</v>
      </c>
      <c r="C78" s="264">
        <v>903458.19</v>
      </c>
      <c r="D78" s="264">
        <v>373527.44</v>
      </c>
      <c r="E78" s="264">
        <v>362820.76</v>
      </c>
      <c r="F78" s="264">
        <v>770734.7</v>
      </c>
      <c r="G78" s="264">
        <v>747771.07</v>
      </c>
    </row>
    <row r="79" spans="2:7" x14ac:dyDescent="0.2">
      <c r="B79" s="233" t="s">
        <v>42</v>
      </c>
      <c r="C79" s="265">
        <f>C78</f>
        <v>903458.19</v>
      </c>
      <c r="D79" s="265">
        <f>D78</f>
        <v>373527.44</v>
      </c>
      <c r="E79" s="265">
        <f>E78</f>
        <v>362820.76</v>
      </c>
      <c r="F79" s="265">
        <f t="shared" ref="F79:G79" si="17">F78</f>
        <v>770734.7</v>
      </c>
      <c r="G79" s="265">
        <f t="shared" si="17"/>
        <v>747771.07</v>
      </c>
    </row>
    <row r="80" spans="2:7" x14ac:dyDescent="0.2">
      <c r="B80" s="241"/>
      <c r="C80" s="270"/>
      <c r="D80" s="270"/>
      <c r="E80" s="270"/>
      <c r="F80" s="270"/>
      <c r="G80" s="270"/>
    </row>
    <row r="81" spans="1:7" x14ac:dyDescent="0.2">
      <c r="A81" s="280" t="s">
        <v>335</v>
      </c>
      <c r="B81" s="233" t="s">
        <v>342</v>
      </c>
      <c r="C81" s="234">
        <v>46112</v>
      </c>
      <c r="D81" s="234">
        <v>46022</v>
      </c>
      <c r="E81" s="234">
        <v>45930</v>
      </c>
      <c r="F81" s="234">
        <v>45838</v>
      </c>
      <c r="G81" s="234">
        <v>45747</v>
      </c>
    </row>
    <row r="82" spans="1:7" x14ac:dyDescent="0.2">
      <c r="A82" s="271" t="s">
        <v>336</v>
      </c>
      <c r="B82" s="235" t="s">
        <v>337</v>
      </c>
      <c r="C82" s="264">
        <v>735654333.66999996</v>
      </c>
      <c r="D82" s="264">
        <v>665989230.16999996</v>
      </c>
      <c r="E82" s="264">
        <v>630514180.12</v>
      </c>
      <c r="F82" s="264">
        <v>582523795.28999996</v>
      </c>
      <c r="G82" s="264">
        <v>531189985.75999999</v>
      </c>
    </row>
    <row r="83" spans="1:7" x14ac:dyDescent="0.2">
      <c r="A83" s="271"/>
      <c r="B83" s="235" t="s">
        <v>343</v>
      </c>
      <c r="C83" s="264">
        <v>0</v>
      </c>
      <c r="D83" s="264">
        <v>0</v>
      </c>
      <c r="E83" s="264">
        <v>3288451.36</v>
      </c>
      <c r="F83" s="264">
        <v>3288451.36</v>
      </c>
      <c r="G83" s="264">
        <v>3288451.36</v>
      </c>
    </row>
    <row r="84" spans="1:7" x14ac:dyDescent="0.2">
      <c r="A84" s="271" t="s">
        <v>339</v>
      </c>
      <c r="B84" s="235" t="s">
        <v>338</v>
      </c>
      <c r="C84" s="264">
        <v>7314279.7300000004</v>
      </c>
      <c r="D84" s="264">
        <v>6981044.4800000004</v>
      </c>
      <c r="E84" s="264">
        <v>12295258.060000001</v>
      </c>
      <c r="F84" s="264">
        <v>10021224.65</v>
      </c>
      <c r="G84" s="264">
        <v>8727215.3599999994</v>
      </c>
    </row>
    <row r="85" spans="1:7" x14ac:dyDescent="0.2">
      <c r="A85" s="271" t="s">
        <v>341</v>
      </c>
      <c r="B85" s="235" t="s">
        <v>340</v>
      </c>
      <c r="C85" s="264">
        <v>34858719.950000003</v>
      </c>
      <c r="D85" s="264">
        <v>22935081.68</v>
      </c>
      <c r="E85" s="264">
        <v>12003380.560000001</v>
      </c>
      <c r="F85" s="264">
        <v>2105996.58</v>
      </c>
      <c r="G85" s="264">
        <v>0</v>
      </c>
    </row>
    <row r="86" spans="1:7" x14ac:dyDescent="0.2">
      <c r="B86" s="283" t="s">
        <v>42</v>
      </c>
      <c r="C86" s="284">
        <f>SUM(C82:C85)</f>
        <v>777827333.35000002</v>
      </c>
      <c r="D86" s="284">
        <f>SUM(D82:D85)</f>
        <v>695905356.32999992</v>
      </c>
      <c r="E86" s="265">
        <f t="shared" ref="E86:G86" si="18">SUM(E82:E85)</f>
        <v>658101270.0999999</v>
      </c>
      <c r="F86" s="265">
        <f t="shared" si="18"/>
        <v>597939467.88</v>
      </c>
      <c r="G86" s="265">
        <f t="shared" si="18"/>
        <v>543205652.48000002</v>
      </c>
    </row>
    <row r="87" spans="1:7" x14ac:dyDescent="0.2">
      <c r="B87" s="267"/>
      <c r="C87" s="268"/>
      <c r="D87" s="268"/>
      <c r="E87" s="268"/>
      <c r="F87" s="268"/>
      <c r="G87" s="268"/>
    </row>
    <row r="88" spans="1:7" x14ac:dyDescent="0.2">
      <c r="A88" s="280" t="s">
        <v>335</v>
      </c>
      <c r="B88" s="233" t="s">
        <v>307</v>
      </c>
      <c r="C88" s="234">
        <v>46112</v>
      </c>
      <c r="D88" s="234">
        <v>46022</v>
      </c>
      <c r="E88" s="234">
        <v>45930</v>
      </c>
      <c r="F88" s="234">
        <v>45838</v>
      </c>
      <c r="G88" s="234">
        <v>45747</v>
      </c>
    </row>
    <row r="89" spans="1:7" x14ac:dyDescent="0.2">
      <c r="A89" s="271" t="s">
        <v>344</v>
      </c>
      <c r="B89" s="235" t="s">
        <v>345</v>
      </c>
      <c r="C89" s="264">
        <v>2292361.5299999998</v>
      </c>
      <c r="D89" s="264">
        <v>2292361.5299999998</v>
      </c>
      <c r="E89" s="264">
        <v>3288451.36</v>
      </c>
      <c r="F89" s="264">
        <v>3288451.36</v>
      </c>
      <c r="G89" s="264">
        <v>3288451.36</v>
      </c>
    </row>
    <row r="90" spans="1:7" x14ac:dyDescent="0.2">
      <c r="B90" s="233" t="s">
        <v>42</v>
      </c>
      <c r="C90" s="265">
        <f>SUM(C89:C89)</f>
        <v>2292361.5299999998</v>
      </c>
      <c r="D90" s="265">
        <f>SUM(D89:D89)</f>
        <v>2292361.5299999998</v>
      </c>
      <c r="E90" s="265">
        <f>SUM(E89:E89)</f>
        <v>3288451.36</v>
      </c>
      <c r="F90" s="265">
        <f>SUM(F89:F89)</f>
        <v>3288451.36</v>
      </c>
      <c r="G90" s="265">
        <f>SUM(G89:G89)</f>
        <v>3288451.36</v>
      </c>
    </row>
    <row r="91" spans="1:7" x14ac:dyDescent="0.2">
      <c r="B91" s="267"/>
      <c r="C91" s="268"/>
      <c r="D91" s="268"/>
      <c r="E91" s="268"/>
      <c r="F91" s="268"/>
      <c r="G91" s="268"/>
    </row>
    <row r="92" spans="1:7" x14ac:dyDescent="0.2">
      <c r="A92" s="398" t="s">
        <v>326</v>
      </c>
      <c r="B92" s="398"/>
      <c r="C92" s="265">
        <f>C86+C90</f>
        <v>780119694.88</v>
      </c>
      <c r="D92" s="265">
        <f t="shared" ref="D92:G92" si="19">D86+D90</f>
        <v>698197717.8599999</v>
      </c>
      <c r="E92" s="265">
        <f t="shared" si="19"/>
        <v>661389721.45999992</v>
      </c>
      <c r="F92" s="265">
        <f t="shared" si="19"/>
        <v>601227919.24000001</v>
      </c>
      <c r="G92" s="265">
        <f t="shared" si="19"/>
        <v>546494103.84000003</v>
      </c>
    </row>
    <row r="93" spans="1:7" x14ac:dyDescent="0.2">
      <c r="B93" s="267"/>
      <c r="C93" s="268"/>
      <c r="D93" s="268"/>
      <c r="E93" s="268"/>
      <c r="F93" s="268"/>
      <c r="G93" s="268"/>
    </row>
    <row r="94" spans="1:7" x14ac:dyDescent="0.2">
      <c r="B94" s="233" t="s">
        <v>316</v>
      </c>
      <c r="C94" s="265">
        <f>D86</f>
        <v>695905356.32999992</v>
      </c>
      <c r="D94" s="265">
        <f>505633074.85</f>
        <v>505633074.85000002</v>
      </c>
      <c r="E94" s="285">
        <f>505633074.85</f>
        <v>505633074.85000002</v>
      </c>
      <c r="F94" s="268"/>
      <c r="G94" s="268"/>
    </row>
    <row r="95" spans="1:7" x14ac:dyDescent="0.2">
      <c r="B95" s="235" t="s">
        <v>228</v>
      </c>
      <c r="C95" s="264">
        <v>107875437.62</v>
      </c>
      <c r="D95" s="264">
        <f>525569630.56+92658.33</f>
        <v>525662288.88999999</v>
      </c>
      <c r="E95" s="264">
        <f>339898561.26-36.86-803.9-734.34-772.27</f>
        <v>339896213.89000005</v>
      </c>
      <c r="F95" s="286">
        <v>186433786.72</v>
      </c>
      <c r="G95" s="268"/>
    </row>
    <row r="96" spans="1:7" x14ac:dyDescent="0.2">
      <c r="B96" s="235" t="s">
        <v>229</v>
      </c>
      <c r="C96" s="264">
        <v>25953460.600000001</v>
      </c>
      <c r="D96" s="264">
        <v>332101556.05000001</v>
      </c>
      <c r="E96" s="264">
        <f>187430366.01-36.86-803.9-734.34-772.27</f>
        <v>187428018.63999996</v>
      </c>
      <c r="F96" s="286">
        <v>94127393.689999998</v>
      </c>
      <c r="G96" s="268"/>
    </row>
    <row r="97" spans="2:7" x14ac:dyDescent="0.2">
      <c r="B97" s="235" t="s">
        <v>309</v>
      </c>
      <c r="C97" s="264">
        <v>0</v>
      </c>
      <c r="D97" s="264">
        <v>3288451.36</v>
      </c>
      <c r="E97" s="264"/>
      <c r="F97" s="286"/>
      <c r="G97" s="268"/>
    </row>
    <row r="98" spans="2:7" x14ac:dyDescent="0.2">
      <c r="B98" s="233" t="s">
        <v>353</v>
      </c>
      <c r="C98" s="265">
        <f>C94+C95-C96-C97</f>
        <v>777827333.3499999</v>
      </c>
      <c r="D98" s="265">
        <f>D94+D95-D96-D97</f>
        <v>695905356.33000004</v>
      </c>
      <c r="E98" s="265">
        <f>E94+E95-E96</f>
        <v>658101270.10000002</v>
      </c>
      <c r="F98" s="268"/>
      <c r="G98" s="268"/>
    </row>
    <row r="99" spans="2:7" x14ac:dyDescent="0.2">
      <c r="B99" s="267"/>
      <c r="C99" s="268"/>
      <c r="D99" s="268"/>
      <c r="E99" s="268"/>
      <c r="F99" s="268"/>
      <c r="G99" s="268"/>
    </row>
    <row r="100" spans="2:7" x14ac:dyDescent="0.2">
      <c r="B100" s="287" t="s">
        <v>173</v>
      </c>
      <c r="C100" s="234">
        <v>46112</v>
      </c>
      <c r="D100" s="234">
        <v>46022</v>
      </c>
      <c r="E100" s="234">
        <v>45930</v>
      </c>
      <c r="F100" s="234">
        <v>45838</v>
      </c>
      <c r="G100" s="234">
        <v>45747</v>
      </c>
    </row>
    <row r="101" spans="2:7" x14ac:dyDescent="0.2">
      <c r="B101" s="235" t="s">
        <v>174</v>
      </c>
      <c r="C101" s="264">
        <v>7117304.8099999996</v>
      </c>
      <c r="D101" s="264">
        <v>6784688.8099999996</v>
      </c>
      <c r="E101" s="264">
        <f>'Planilhas Complementares'!C42</f>
        <v>7117304.8100000005</v>
      </c>
      <c r="F101" s="265"/>
      <c r="G101" s="264">
        <v>5992053.7800000003</v>
      </c>
    </row>
    <row r="102" spans="2:7" x14ac:dyDescent="0.2">
      <c r="B102" s="235" t="s">
        <v>175</v>
      </c>
      <c r="C102" s="264">
        <v>-4649573.51</v>
      </c>
      <c r="D102" s="264">
        <v>-4384602.4800000004</v>
      </c>
      <c r="E102" s="264">
        <f>'Planilhas Complementares'!D42</f>
        <v>-4649573.51</v>
      </c>
      <c r="F102" s="265"/>
      <c r="G102" s="264">
        <v>-3825729.42</v>
      </c>
    </row>
    <row r="103" spans="2:7" x14ac:dyDescent="0.2">
      <c r="B103" s="237"/>
      <c r="C103" s="265">
        <f>C101+C102</f>
        <v>2467731.2999999998</v>
      </c>
      <c r="D103" s="265">
        <f>D101+D102</f>
        <v>2400086.3299999991</v>
      </c>
      <c r="E103" s="265">
        <f>E101+E102</f>
        <v>2467731.3000000007</v>
      </c>
      <c r="F103" s="265">
        <f t="shared" ref="F103:G103" si="20">F101+F102</f>
        <v>0</v>
      </c>
      <c r="G103" s="265">
        <f t="shared" si="20"/>
        <v>2166324.3600000003</v>
      </c>
    </row>
    <row r="104" spans="2:7" x14ac:dyDescent="0.2">
      <c r="B104" s="237"/>
      <c r="C104" s="268"/>
      <c r="D104" s="268"/>
      <c r="E104" s="268"/>
      <c r="F104" s="268"/>
      <c r="G104" s="268"/>
    </row>
    <row r="105" spans="2:7" x14ac:dyDescent="0.2">
      <c r="B105" s="262" t="s">
        <v>178</v>
      </c>
      <c r="C105" s="234">
        <v>46112</v>
      </c>
      <c r="D105" s="234">
        <v>46022</v>
      </c>
      <c r="E105" s="234">
        <v>45930</v>
      </c>
      <c r="F105" s="234">
        <v>45838</v>
      </c>
      <c r="G105" s="234">
        <v>45747</v>
      </c>
    </row>
    <row r="106" spans="2:7" x14ac:dyDescent="0.2">
      <c r="B106" s="288" t="s">
        <v>14</v>
      </c>
      <c r="C106" s="264">
        <v>7840497.5800000001</v>
      </c>
      <c r="D106" s="264">
        <v>7078508.8399999999</v>
      </c>
      <c r="E106" s="264">
        <f>'Planilhas Complementares'!C45</f>
        <v>7840497.5800000001</v>
      </c>
      <c r="F106" s="264"/>
      <c r="G106" s="264">
        <v>5000709.75</v>
      </c>
    </row>
    <row r="107" spans="2:7" x14ac:dyDescent="0.2">
      <c r="B107" s="288" t="s">
        <v>183</v>
      </c>
      <c r="C107" s="264">
        <v>-2782182.81</v>
      </c>
      <c r="D107" s="264">
        <v>-2452144.12</v>
      </c>
      <c r="E107" s="264">
        <f>'Planilhas Complementares'!D45</f>
        <v>-2782182.81</v>
      </c>
      <c r="F107" s="264"/>
      <c r="G107" s="264">
        <v>-1652161.17</v>
      </c>
    </row>
    <row r="108" spans="2:7" x14ac:dyDescent="0.2">
      <c r="B108" s="267"/>
      <c r="C108" s="265">
        <f>C106+C107</f>
        <v>5058314.7699999996</v>
      </c>
      <c r="D108" s="265">
        <f>D106+D107</f>
        <v>4626364.72</v>
      </c>
      <c r="E108" s="265">
        <f>E106+E107</f>
        <v>5058314.7699999996</v>
      </c>
      <c r="F108" s="265">
        <f t="shared" ref="F108:G108" si="21">F106+F107</f>
        <v>0</v>
      </c>
      <c r="G108" s="265">
        <f t="shared" si="21"/>
        <v>3348548.58</v>
      </c>
    </row>
    <row r="109" spans="2:7" x14ac:dyDescent="0.2">
      <c r="B109" s="267"/>
      <c r="C109" s="389">
        <f>C103+C108</f>
        <v>7526046.0699999994</v>
      </c>
      <c r="D109" s="389">
        <f t="shared" ref="D109:G109" si="22">D103+D108</f>
        <v>7026451.0499999989</v>
      </c>
      <c r="E109" s="389">
        <f t="shared" si="22"/>
        <v>7526046.0700000003</v>
      </c>
      <c r="F109" s="389">
        <f t="shared" si="22"/>
        <v>0</v>
      </c>
      <c r="G109" s="389">
        <f t="shared" si="22"/>
        <v>5514872.9400000004</v>
      </c>
    </row>
    <row r="110" spans="2:7" x14ac:dyDescent="0.2">
      <c r="B110" s="267"/>
      <c r="C110" s="268"/>
      <c r="D110" s="268"/>
      <c r="E110" s="268"/>
      <c r="F110" s="268"/>
      <c r="G110" s="268"/>
    </row>
    <row r="111" spans="2:7" x14ac:dyDescent="0.2">
      <c r="B111" s="289" t="s">
        <v>160</v>
      </c>
      <c r="C111" s="290">
        <f>C59+C64+C69+C75+C79+C86+C103+C108+C90</f>
        <v>791092205.48999989</v>
      </c>
      <c r="D111" s="290">
        <f>D59+D64+D69+D75+D79+D86+D103+D108+D90</f>
        <v>708469612.82999992</v>
      </c>
      <c r="E111" s="290">
        <f t="shared" ref="E111:G111" si="23">E59+E64+E69+E75+E79+E86+E103+E108</f>
        <v>669284355.26999986</v>
      </c>
      <c r="F111" s="290">
        <f t="shared" si="23"/>
        <v>602095805.71000004</v>
      </c>
      <c r="G111" s="290">
        <f t="shared" si="23"/>
        <v>552853899.62000012</v>
      </c>
    </row>
    <row r="112" spans="2:7" x14ac:dyDescent="0.2">
      <c r="B112" s="267"/>
      <c r="C112" s="291"/>
      <c r="D112" s="291"/>
      <c r="E112" s="291"/>
      <c r="F112" s="291"/>
      <c r="G112" s="291"/>
    </row>
    <row r="113" spans="2:12" x14ac:dyDescent="0.2">
      <c r="B113" s="289" t="s">
        <v>232</v>
      </c>
      <c r="C113" s="290">
        <f>C55+C111</f>
        <v>967286455.81999993</v>
      </c>
      <c r="D113" s="290">
        <f>D55+D111</f>
        <v>993876523.55999994</v>
      </c>
      <c r="E113" s="290">
        <f t="shared" ref="E113:G113" si="24">E55+E111</f>
        <v>771798853.98999989</v>
      </c>
      <c r="F113" s="290">
        <f t="shared" si="24"/>
        <v>722363702.46000004</v>
      </c>
      <c r="G113" s="290">
        <f t="shared" si="24"/>
        <v>656002519.81000018</v>
      </c>
    </row>
    <row r="114" spans="2:12" s="237" customFormat="1" x14ac:dyDescent="0.2">
      <c r="B114" s="267"/>
      <c r="C114" s="291"/>
      <c r="D114" s="291"/>
      <c r="E114" s="291"/>
      <c r="F114" s="291"/>
      <c r="G114" s="291"/>
      <c r="I114" s="316"/>
      <c r="J114" s="316"/>
      <c r="K114" s="316"/>
      <c r="L114" s="316"/>
    </row>
    <row r="115" spans="2:12" x14ac:dyDescent="0.2">
      <c r="B115" s="292" t="s">
        <v>72</v>
      </c>
      <c r="C115" s="234">
        <v>46112</v>
      </c>
      <c r="D115" s="234">
        <v>46022</v>
      </c>
      <c r="E115" s="234">
        <v>45930</v>
      </c>
      <c r="F115" s="234">
        <v>45838</v>
      </c>
      <c r="G115" s="234">
        <v>45747</v>
      </c>
    </row>
    <row r="116" spans="2:12" x14ac:dyDescent="0.2">
      <c r="B116" s="292" t="s">
        <v>73</v>
      </c>
      <c r="C116" s="293">
        <f>SUM(C117:C124)</f>
        <v>246854.37</v>
      </c>
      <c r="D116" s="293">
        <f t="shared" ref="D116:G116" si="25">SUM(D117:D124)</f>
        <v>207618.72999999998</v>
      </c>
      <c r="E116" s="293">
        <f t="shared" si="25"/>
        <v>246590.51</v>
      </c>
      <c r="F116" s="293">
        <f t="shared" si="25"/>
        <v>228240.01</v>
      </c>
      <c r="G116" s="293">
        <f t="shared" si="25"/>
        <v>162993.03</v>
      </c>
    </row>
    <row r="117" spans="2:12" hidden="1" x14ac:dyDescent="0.2">
      <c r="B117" s="294" t="s">
        <v>111</v>
      </c>
      <c r="C117" s="295">
        <v>0</v>
      </c>
      <c r="D117" s="295">
        <v>0</v>
      </c>
      <c r="E117" s="295">
        <v>22516.6</v>
      </c>
      <c r="F117" s="295">
        <v>22792.94</v>
      </c>
      <c r="G117" s="295">
        <v>4360.7</v>
      </c>
    </row>
    <row r="118" spans="2:12" hidden="1" x14ac:dyDescent="0.2">
      <c r="B118" s="294" t="s">
        <v>113</v>
      </c>
      <c r="C118" s="295">
        <v>0</v>
      </c>
      <c r="D118" s="295">
        <v>0</v>
      </c>
      <c r="E118" s="295">
        <v>0</v>
      </c>
      <c r="F118" s="295">
        <v>25080.59</v>
      </c>
      <c r="G118" s="295">
        <v>0</v>
      </c>
    </row>
    <row r="119" spans="2:12" x14ac:dyDescent="0.2">
      <c r="B119" s="294" t="s">
        <v>111</v>
      </c>
      <c r="C119" s="295">
        <v>1129.02</v>
      </c>
      <c r="D119" s="295">
        <v>0</v>
      </c>
      <c r="E119" s="295"/>
      <c r="F119" s="295"/>
      <c r="G119" s="295">
        <v>0</v>
      </c>
    </row>
    <row r="120" spans="2:12" x14ac:dyDescent="0.2">
      <c r="B120" s="294" t="s">
        <v>233</v>
      </c>
      <c r="C120" s="295">
        <v>0</v>
      </c>
      <c r="D120" s="295">
        <v>6361.11</v>
      </c>
      <c r="E120" s="295">
        <v>9630.01</v>
      </c>
      <c r="F120" s="295"/>
      <c r="G120" s="295">
        <v>0</v>
      </c>
    </row>
    <row r="121" spans="2:12" x14ac:dyDescent="0.2">
      <c r="B121" s="294" t="s">
        <v>355</v>
      </c>
      <c r="C121" s="295">
        <f>15633.2+58330.35</f>
        <v>73963.55</v>
      </c>
      <c r="D121" s="295">
        <v>61785.63</v>
      </c>
      <c r="E121" s="295">
        <v>46599.07</v>
      </c>
      <c r="F121" s="295">
        <v>43701.47</v>
      </c>
      <c r="G121" s="295">
        <v>46465.4</v>
      </c>
    </row>
    <row r="122" spans="2:12" x14ac:dyDescent="0.2">
      <c r="B122" s="294" t="s">
        <v>354</v>
      </c>
      <c r="C122" s="295">
        <v>1507.64</v>
      </c>
      <c r="D122" s="295">
        <v>0</v>
      </c>
      <c r="E122" s="295">
        <v>17595.55</v>
      </c>
      <c r="F122" s="295">
        <v>9913.7199999999993</v>
      </c>
      <c r="G122" s="295">
        <v>0</v>
      </c>
    </row>
    <row r="123" spans="2:12" x14ac:dyDescent="0.2">
      <c r="B123" s="294" t="s">
        <v>128</v>
      </c>
      <c r="C123" s="295">
        <v>20</v>
      </c>
      <c r="D123" s="295">
        <v>0</v>
      </c>
      <c r="E123" s="295">
        <v>0</v>
      </c>
      <c r="F123" s="295">
        <v>20</v>
      </c>
      <c r="G123" s="295">
        <v>0</v>
      </c>
    </row>
    <row r="124" spans="2:12" x14ac:dyDescent="0.2">
      <c r="B124" s="294" t="s">
        <v>74</v>
      </c>
      <c r="C124" s="295">
        <f>155179.29+2332.08+12722.79</f>
        <v>170234.16</v>
      </c>
      <c r="D124" s="295">
        <f>114015.25+23241.78+2214.96</f>
        <v>139471.99</v>
      </c>
      <c r="E124" s="295">
        <f>126003.37+21466.66+2779.25</f>
        <v>150249.28</v>
      </c>
      <c r="F124" s="295">
        <f>103344.9+21393.53+1992.86</f>
        <v>126731.29</v>
      </c>
      <c r="G124" s="295">
        <f>103344.9+8822.03</f>
        <v>112166.93</v>
      </c>
    </row>
    <row r="125" spans="2:12" x14ac:dyDescent="0.2">
      <c r="B125" s="296"/>
      <c r="C125" s="297"/>
      <c r="D125" s="297"/>
      <c r="E125" s="297"/>
      <c r="F125" s="297"/>
      <c r="G125" s="297"/>
    </row>
    <row r="126" spans="2:12" x14ac:dyDescent="0.2">
      <c r="B126" s="292" t="s">
        <v>72</v>
      </c>
      <c r="C126" s="234">
        <v>46112</v>
      </c>
      <c r="D126" s="234">
        <v>46022</v>
      </c>
      <c r="E126" s="234">
        <v>45930</v>
      </c>
      <c r="F126" s="234">
        <v>45838</v>
      </c>
      <c r="G126" s="234">
        <v>45747</v>
      </c>
    </row>
    <row r="127" spans="2:12" x14ac:dyDescent="0.2">
      <c r="B127" s="292" t="s">
        <v>15</v>
      </c>
      <c r="C127" s="293">
        <f>SUM(C128:C130)</f>
        <v>2937385.4899999998</v>
      </c>
      <c r="D127" s="293">
        <f>SUM(D128:D130)</f>
        <v>2423417.7600000002</v>
      </c>
      <c r="E127" s="293">
        <f>SUM(E128:E130)</f>
        <v>2993525.39</v>
      </c>
      <c r="F127" s="293">
        <f t="shared" ref="F127:G127" si="26">SUM(F128:F130)</f>
        <v>2344082.0999999996</v>
      </c>
      <c r="G127" s="293">
        <f t="shared" si="26"/>
        <v>2195471.0300000003</v>
      </c>
    </row>
    <row r="128" spans="2:12" x14ac:dyDescent="0.2">
      <c r="B128" s="294" t="s">
        <v>75</v>
      </c>
      <c r="C128" s="295">
        <v>1061142.44</v>
      </c>
      <c r="D128" s="295">
        <v>1121076.3400000001</v>
      </c>
      <c r="E128" s="295">
        <v>1111950.74</v>
      </c>
      <c r="F128" s="295">
        <v>1092090.5</v>
      </c>
      <c r="G128" s="295">
        <v>1024841.68</v>
      </c>
    </row>
    <row r="129" spans="2:7" x14ac:dyDescent="0.2">
      <c r="B129" s="294" t="s">
        <v>16</v>
      </c>
      <c r="C129" s="295">
        <v>1629950.82</v>
      </c>
      <c r="D129" s="295">
        <v>1035773.36</v>
      </c>
      <c r="E129" s="295">
        <v>1610771.67</v>
      </c>
      <c r="F129" s="295">
        <v>981066.38</v>
      </c>
      <c r="G129" s="295">
        <v>923529.5</v>
      </c>
    </row>
    <row r="130" spans="2:7" x14ac:dyDescent="0.2">
      <c r="B130" s="294" t="s">
        <v>112</v>
      </c>
      <c r="C130" s="295">
        <v>246292.23</v>
      </c>
      <c r="D130" s="295">
        <v>266568.06</v>
      </c>
      <c r="E130" s="295">
        <v>270802.98</v>
      </c>
      <c r="F130" s="295">
        <v>270925.21999999997</v>
      </c>
      <c r="G130" s="295">
        <v>247099.85</v>
      </c>
    </row>
    <row r="131" spans="2:7" x14ac:dyDescent="0.2">
      <c r="B131" s="296"/>
      <c r="C131" s="297"/>
      <c r="D131" s="297"/>
      <c r="E131" s="297"/>
      <c r="F131" s="297"/>
      <c r="G131" s="297"/>
    </row>
    <row r="132" spans="2:7" x14ac:dyDescent="0.2">
      <c r="B132" s="292" t="s">
        <v>72</v>
      </c>
      <c r="C132" s="234">
        <v>46112</v>
      </c>
      <c r="D132" s="234">
        <v>46022</v>
      </c>
      <c r="E132" s="234">
        <v>45930</v>
      </c>
      <c r="F132" s="234">
        <v>45838</v>
      </c>
      <c r="G132" s="234">
        <v>45747</v>
      </c>
    </row>
    <row r="133" spans="2:7" x14ac:dyDescent="0.2">
      <c r="B133" s="292" t="s">
        <v>17</v>
      </c>
      <c r="C133" s="293">
        <f>SUM(C134:C142)</f>
        <v>1048191.02</v>
      </c>
      <c r="D133" s="293">
        <f>SUM(D134:D142)</f>
        <v>1613060.3</v>
      </c>
      <c r="E133" s="293">
        <f t="shared" ref="E133:G133" si="27">SUM(E134:E142)</f>
        <v>1138799.52</v>
      </c>
      <c r="F133" s="293">
        <f t="shared" si="27"/>
        <v>881344.62</v>
      </c>
      <c r="G133" s="293">
        <f t="shared" si="27"/>
        <v>620120.87</v>
      </c>
    </row>
    <row r="134" spans="2:7" x14ac:dyDescent="0.2">
      <c r="B134" s="294" t="s">
        <v>18</v>
      </c>
      <c r="C134" s="295">
        <v>525191.81999999995</v>
      </c>
      <c r="D134" s="295">
        <v>1102084.81</v>
      </c>
      <c r="E134" s="295">
        <v>559175.14</v>
      </c>
      <c r="F134" s="295">
        <v>609329.52</v>
      </c>
      <c r="G134" s="295">
        <v>487306.77</v>
      </c>
    </row>
    <row r="135" spans="2:7" x14ac:dyDescent="0.2">
      <c r="B135" s="294" t="s">
        <v>19</v>
      </c>
      <c r="C135" s="295">
        <v>84636.47</v>
      </c>
      <c r="D135" s="295">
        <v>98092.07</v>
      </c>
      <c r="E135" s="295">
        <v>97856.8</v>
      </c>
      <c r="F135" s="295">
        <v>41382.81</v>
      </c>
      <c r="G135" s="295">
        <v>14386.88</v>
      </c>
    </row>
    <row r="136" spans="2:7" x14ac:dyDescent="0.2">
      <c r="B136" s="294" t="s">
        <v>20</v>
      </c>
      <c r="C136" s="295">
        <v>78</v>
      </c>
      <c r="D136" s="295">
        <v>95.5</v>
      </c>
      <c r="E136" s="295">
        <v>92</v>
      </c>
      <c r="F136" s="295">
        <v>95.5</v>
      </c>
      <c r="G136" s="295">
        <v>76</v>
      </c>
    </row>
    <row r="137" spans="2:7" x14ac:dyDescent="0.2">
      <c r="B137" s="294" t="s">
        <v>21</v>
      </c>
      <c r="C137" s="295">
        <f>35723.62+45949.89</f>
        <v>81673.510000000009</v>
      </c>
      <c r="D137" s="295">
        <v>1379.56</v>
      </c>
      <c r="E137" s="295">
        <v>7541.07</v>
      </c>
      <c r="F137" s="295">
        <v>14085.97</v>
      </c>
      <c r="G137" s="295">
        <v>14816.61</v>
      </c>
    </row>
    <row r="138" spans="2:7" x14ac:dyDescent="0.2">
      <c r="B138" s="294" t="s">
        <v>76</v>
      </c>
      <c r="C138" s="295">
        <v>298759.90999999997</v>
      </c>
      <c r="D138" s="295">
        <v>355160.19</v>
      </c>
      <c r="E138" s="295">
        <v>333126.42</v>
      </c>
      <c r="F138" s="295">
        <v>147852.51999999999</v>
      </c>
      <c r="G138" s="295">
        <v>58019.519999999997</v>
      </c>
    </row>
    <row r="139" spans="2:7" x14ac:dyDescent="0.2">
      <c r="B139" s="294" t="s">
        <v>77</v>
      </c>
      <c r="C139" s="295">
        <v>5184.62</v>
      </c>
      <c r="D139" s="295">
        <v>6851.6</v>
      </c>
      <c r="E139" s="295">
        <v>9527.36</v>
      </c>
      <c r="F139" s="295">
        <v>8241.32</v>
      </c>
      <c r="G139" s="295">
        <v>4911.42</v>
      </c>
    </row>
    <row r="140" spans="2:7" x14ac:dyDescent="0.2">
      <c r="B140" s="294" t="s">
        <v>78</v>
      </c>
      <c r="C140" s="295">
        <v>28488.51</v>
      </c>
      <c r="D140" s="295">
        <v>37317.910000000003</v>
      </c>
      <c r="E140" s="295">
        <v>53220.22</v>
      </c>
      <c r="F140" s="295">
        <v>44976.11</v>
      </c>
      <c r="G140" s="295">
        <v>23740.57</v>
      </c>
    </row>
    <row r="141" spans="2:7" x14ac:dyDescent="0.2">
      <c r="B141" s="294" t="s">
        <v>79</v>
      </c>
      <c r="C141" s="295">
        <f>3978.9+18362.99+1836.29</f>
        <v>24178.180000000004</v>
      </c>
      <c r="D141" s="295">
        <f>1987.74+9173.57+917.35</f>
        <v>12078.66</v>
      </c>
      <c r="E141" s="295">
        <f>1912.03+8824.73+882.47</f>
        <v>11619.23</v>
      </c>
      <c r="F141" s="295">
        <f>2125.04+9807.88+980.79</f>
        <v>12913.71</v>
      </c>
      <c r="G141" s="295">
        <f>2774.93+12807.43+1280.74</f>
        <v>16863.100000000002</v>
      </c>
    </row>
    <row r="142" spans="2:7" hidden="1" x14ac:dyDescent="0.2">
      <c r="B142" s="294" t="s">
        <v>129</v>
      </c>
      <c r="C142" s="295">
        <v>0</v>
      </c>
      <c r="D142" s="295">
        <v>0</v>
      </c>
      <c r="E142" s="295">
        <v>66641.279999999999</v>
      </c>
      <c r="F142" s="295">
        <v>2467.16</v>
      </c>
      <c r="G142" s="295"/>
    </row>
    <row r="143" spans="2:7" hidden="1" x14ac:dyDescent="0.2">
      <c r="B143" s="298"/>
      <c r="C143" s="299"/>
      <c r="D143" s="299"/>
      <c r="E143" s="299"/>
      <c r="F143" s="299"/>
      <c r="G143" s="299"/>
    </row>
    <row r="144" spans="2:7" x14ac:dyDescent="0.2">
      <c r="B144" s="300"/>
      <c r="C144" s="293">
        <f>C127+C133+C116</f>
        <v>4232430.88</v>
      </c>
      <c r="D144" s="293">
        <f>D127+D133+D116</f>
        <v>4244096.790000001</v>
      </c>
      <c r="E144" s="293">
        <f>E127+E133+E116</f>
        <v>4378915.42</v>
      </c>
      <c r="F144" s="293">
        <f>F127+F133+F116</f>
        <v>3453666.7299999995</v>
      </c>
      <c r="G144" s="293">
        <f>G127+G133+G116</f>
        <v>2978584.93</v>
      </c>
    </row>
    <row r="145" spans="2:7" ht="14.25" customHeight="1" x14ac:dyDescent="0.2">
      <c r="B145" s="277"/>
      <c r="C145" s="278"/>
      <c r="D145" s="278"/>
      <c r="E145" s="278"/>
      <c r="F145" s="278"/>
      <c r="G145" s="278"/>
    </row>
    <row r="146" spans="2:7" x14ac:dyDescent="0.2">
      <c r="B146" s="241"/>
      <c r="C146" s="270"/>
      <c r="D146" s="270"/>
      <c r="E146" s="270"/>
      <c r="F146" s="270"/>
      <c r="G146" s="270"/>
    </row>
    <row r="147" spans="2:7" x14ac:dyDescent="0.2">
      <c r="B147" s="233" t="s">
        <v>22</v>
      </c>
      <c r="C147" s="234">
        <v>46112</v>
      </c>
      <c r="D147" s="234">
        <v>46022</v>
      </c>
      <c r="E147" s="234">
        <v>45930</v>
      </c>
      <c r="F147" s="234">
        <v>45838</v>
      </c>
      <c r="G147" s="234">
        <v>45747</v>
      </c>
    </row>
    <row r="148" spans="2:7" x14ac:dyDescent="0.2">
      <c r="B148" s="235" t="s">
        <v>23</v>
      </c>
      <c r="C148" s="264">
        <v>20357231.23</v>
      </c>
      <c r="D148" s="264">
        <v>423503.67</v>
      </c>
      <c r="E148" s="264">
        <v>25432516.390000001</v>
      </c>
      <c r="F148" s="264">
        <f>8473272.54+3313.47</f>
        <v>8476586.0099999998</v>
      </c>
      <c r="G148" s="264">
        <v>9542953.1400000006</v>
      </c>
    </row>
    <row r="149" spans="2:7" x14ac:dyDescent="0.2">
      <c r="B149" s="235" t="s">
        <v>24</v>
      </c>
      <c r="C149" s="264">
        <v>2663653.2999999998</v>
      </c>
      <c r="D149" s="264">
        <v>2562783.08</v>
      </c>
      <c r="E149" s="264">
        <v>1171897.43</v>
      </c>
      <c r="F149" s="264">
        <v>1160039.3</v>
      </c>
      <c r="G149" s="264">
        <v>779821.55</v>
      </c>
    </row>
    <row r="150" spans="2:7" x14ac:dyDescent="0.2">
      <c r="B150" s="235" t="s">
        <v>25</v>
      </c>
      <c r="C150" s="264">
        <v>42387.5</v>
      </c>
      <c r="D150" s="264">
        <v>74990</v>
      </c>
      <c r="E150" s="264">
        <v>47483.75</v>
      </c>
      <c r="F150" s="264">
        <v>38635</v>
      </c>
      <c r="G150" s="264">
        <v>32131.25</v>
      </c>
    </row>
    <row r="151" spans="2:7" x14ac:dyDescent="0.2">
      <c r="B151" s="233" t="s">
        <v>42</v>
      </c>
      <c r="C151" s="265">
        <f>C148+C149+C150</f>
        <v>23063272.030000001</v>
      </c>
      <c r="D151" s="265">
        <f>D148+D149+D150</f>
        <v>3061276.75</v>
      </c>
      <c r="E151" s="265">
        <f>E148+E149+E150</f>
        <v>26651897.57</v>
      </c>
      <c r="F151" s="265">
        <f t="shared" ref="F151:G151" si="28">F148+F149+F150</f>
        <v>9675260.3100000005</v>
      </c>
      <c r="G151" s="265">
        <f t="shared" si="28"/>
        <v>10354905.940000001</v>
      </c>
    </row>
    <row r="152" spans="2:7" x14ac:dyDescent="0.2">
      <c r="B152" s="239"/>
      <c r="C152" s="240"/>
      <c r="D152" s="240"/>
      <c r="E152" s="240"/>
      <c r="F152" s="240"/>
      <c r="G152" s="240"/>
    </row>
    <row r="153" spans="2:7" x14ac:dyDescent="0.2">
      <c r="B153" s="239"/>
      <c r="C153" s="240"/>
      <c r="D153" s="240"/>
      <c r="E153" s="240"/>
      <c r="F153" s="240"/>
      <c r="G153" s="240"/>
    </row>
    <row r="154" spans="2:7" x14ac:dyDescent="0.2">
      <c r="B154" s="233" t="s">
        <v>26</v>
      </c>
      <c r="C154" s="234">
        <v>46112</v>
      </c>
      <c r="D154" s="234">
        <v>46022</v>
      </c>
      <c r="E154" s="234">
        <v>45930</v>
      </c>
      <c r="F154" s="234">
        <v>45838</v>
      </c>
      <c r="G154" s="234">
        <v>45747</v>
      </c>
    </row>
    <row r="155" spans="2:7" x14ac:dyDescent="0.2">
      <c r="B155" s="235" t="s">
        <v>114</v>
      </c>
      <c r="C155" s="236">
        <v>1023345.45</v>
      </c>
      <c r="D155" s="236">
        <v>0</v>
      </c>
      <c r="E155" s="236">
        <v>3137729.01</v>
      </c>
      <c r="F155" s="236">
        <v>2078396.17</v>
      </c>
      <c r="G155" s="236">
        <v>993535.7</v>
      </c>
    </row>
    <row r="156" spans="2:7" x14ac:dyDescent="0.2">
      <c r="B156" s="235" t="s">
        <v>80</v>
      </c>
      <c r="C156" s="236">
        <v>6591153.9299999997</v>
      </c>
      <c r="D156" s="236">
        <v>6920347.4900000002</v>
      </c>
      <c r="E156" s="236">
        <v>6280287.71</v>
      </c>
      <c r="F156" s="236">
        <v>6602903.7000000002</v>
      </c>
      <c r="G156" s="236">
        <v>5877558.8300000001</v>
      </c>
    </row>
    <row r="157" spans="2:7" x14ac:dyDescent="0.2">
      <c r="B157" s="233" t="s">
        <v>42</v>
      </c>
      <c r="C157" s="265">
        <f>C155+C156</f>
        <v>7614499.3799999999</v>
      </c>
      <c r="D157" s="265">
        <f>D155+D156</f>
        <v>6920347.4900000002</v>
      </c>
      <c r="E157" s="265">
        <f>E155+E156</f>
        <v>9418016.7199999988</v>
      </c>
      <c r="F157" s="265">
        <f t="shared" ref="F157:G157" si="29">F155+F156</f>
        <v>8681299.870000001</v>
      </c>
      <c r="G157" s="265">
        <f t="shared" si="29"/>
        <v>6871094.5300000003</v>
      </c>
    </row>
    <row r="158" spans="2:7" x14ac:dyDescent="0.2">
      <c r="B158" s="239"/>
      <c r="C158" s="240"/>
      <c r="D158" s="240"/>
      <c r="E158" s="240"/>
      <c r="F158" s="240"/>
      <c r="G158" s="240"/>
    </row>
    <row r="159" spans="2:7" x14ac:dyDescent="0.2">
      <c r="B159" s="233" t="s">
        <v>90</v>
      </c>
      <c r="C159" s="234">
        <v>46112</v>
      </c>
      <c r="D159" s="234">
        <v>46022</v>
      </c>
      <c r="E159" s="234">
        <v>45930</v>
      </c>
      <c r="F159" s="234">
        <v>45838</v>
      </c>
      <c r="G159" s="234">
        <v>45747</v>
      </c>
    </row>
    <row r="160" spans="2:7" x14ac:dyDescent="0.2">
      <c r="B160" s="235" t="s">
        <v>130</v>
      </c>
      <c r="C160" s="264">
        <v>116629303.37</v>
      </c>
      <c r="D160" s="264">
        <v>211470374.53999999</v>
      </c>
      <c r="E160" s="264">
        <v>21058782.579999998</v>
      </c>
      <c r="F160" s="264">
        <v>38069682.25</v>
      </c>
      <c r="G160" s="264">
        <v>70752230.519999996</v>
      </c>
    </row>
    <row r="161" spans="2:7" x14ac:dyDescent="0.2">
      <c r="B161" s="235" t="s">
        <v>131</v>
      </c>
      <c r="C161" s="264">
        <v>1244151.79</v>
      </c>
      <c r="D161" s="264">
        <v>7511006.1699999999</v>
      </c>
      <c r="E161" s="264">
        <v>4512576.97</v>
      </c>
      <c r="F161" s="264">
        <v>5708393.7599999998</v>
      </c>
      <c r="G161" s="264">
        <v>6232196.8799999999</v>
      </c>
    </row>
    <row r="162" spans="2:7" x14ac:dyDescent="0.2">
      <c r="B162" s="235" t="s">
        <v>132</v>
      </c>
      <c r="C162" s="264">
        <v>20420802.149999999</v>
      </c>
      <c r="D162" s="264">
        <v>32724265.609999999</v>
      </c>
      <c r="E162" s="264">
        <v>42894591.07</v>
      </c>
      <c r="F162" s="264">
        <v>51492217.43</v>
      </c>
      <c r="G162" s="264">
        <v>0</v>
      </c>
    </row>
    <row r="163" spans="2:7" x14ac:dyDescent="0.2">
      <c r="B163" s="233" t="s">
        <v>42</v>
      </c>
      <c r="C163" s="265">
        <f>C160+C161+C162</f>
        <v>138294257.31</v>
      </c>
      <c r="D163" s="265">
        <f>D160+D161+D162</f>
        <v>251705646.31999999</v>
      </c>
      <c r="E163" s="265">
        <f t="shared" ref="E163:G163" si="30">E160+E161+E162</f>
        <v>68465950.620000005</v>
      </c>
      <c r="F163" s="265">
        <f t="shared" si="30"/>
        <v>95270293.439999998</v>
      </c>
      <c r="G163" s="265">
        <f t="shared" si="30"/>
        <v>76984427.399999991</v>
      </c>
    </row>
    <row r="164" spans="2:7" x14ac:dyDescent="0.2">
      <c r="B164" s="239"/>
      <c r="C164" s="240"/>
      <c r="D164" s="240"/>
      <c r="E164" s="240"/>
      <c r="F164" s="240"/>
      <c r="G164" s="240"/>
    </row>
    <row r="165" spans="2:7" x14ac:dyDescent="0.2">
      <c r="B165" s="233" t="s">
        <v>27</v>
      </c>
      <c r="C165" s="234">
        <v>46112</v>
      </c>
      <c r="D165" s="234">
        <v>46022</v>
      </c>
      <c r="E165" s="234">
        <v>45930</v>
      </c>
      <c r="F165" s="234">
        <v>45838</v>
      </c>
      <c r="G165" s="234">
        <v>45747</v>
      </c>
    </row>
    <row r="166" spans="2:7" x14ac:dyDescent="0.2">
      <c r="B166" s="235" t="s">
        <v>117</v>
      </c>
      <c r="C166" s="264">
        <v>0</v>
      </c>
      <c r="D166" s="264">
        <v>0</v>
      </c>
      <c r="E166" s="264">
        <v>0</v>
      </c>
      <c r="F166" s="264">
        <v>0</v>
      </c>
      <c r="G166" s="264">
        <v>0</v>
      </c>
    </row>
    <row r="167" spans="2:7" x14ac:dyDescent="0.2">
      <c r="B167" s="233"/>
      <c r="C167" s="265">
        <f>C166</f>
        <v>0</v>
      </c>
      <c r="D167" s="265">
        <f>D166</f>
        <v>0</v>
      </c>
      <c r="E167" s="265">
        <f>E166</f>
        <v>0</v>
      </c>
      <c r="F167" s="265">
        <f t="shared" ref="F167:G167" si="31">F166</f>
        <v>0</v>
      </c>
      <c r="G167" s="265">
        <f t="shared" si="31"/>
        <v>0</v>
      </c>
    </row>
    <row r="168" spans="2:7" x14ac:dyDescent="0.2">
      <c r="B168" s="239"/>
      <c r="C168" s="240"/>
      <c r="D168" s="240"/>
      <c r="E168" s="240"/>
      <c r="F168" s="240"/>
      <c r="G168" s="240"/>
    </row>
    <row r="169" spans="2:7" x14ac:dyDescent="0.2">
      <c r="B169" s="233" t="s">
        <v>28</v>
      </c>
      <c r="C169" s="234">
        <v>46112</v>
      </c>
      <c r="D169" s="234">
        <v>46022</v>
      </c>
      <c r="E169" s="234">
        <v>45930</v>
      </c>
      <c r="F169" s="234">
        <v>45838</v>
      </c>
      <c r="G169" s="234">
        <v>45747</v>
      </c>
    </row>
    <row r="170" spans="2:7" x14ac:dyDescent="0.2">
      <c r="B170" s="235" t="s">
        <v>29</v>
      </c>
      <c r="C170" s="236">
        <v>4393597.28</v>
      </c>
      <c r="D170" s="236">
        <v>4318869.3</v>
      </c>
      <c r="E170" s="236">
        <v>11828889.77</v>
      </c>
      <c r="F170" s="236">
        <v>4083461.82</v>
      </c>
      <c r="G170" s="236">
        <v>4021572.17</v>
      </c>
    </row>
    <row r="171" spans="2:7" ht="18" customHeight="1" x14ac:dyDescent="0.2">
      <c r="B171" s="301" t="s">
        <v>87</v>
      </c>
      <c r="C171" s="302">
        <v>376131.38</v>
      </c>
      <c r="D171" s="302">
        <v>368598.86</v>
      </c>
      <c r="E171" s="302">
        <v>494470.84</v>
      </c>
      <c r="F171" s="302">
        <v>354039.05</v>
      </c>
      <c r="G171" s="302">
        <v>347141.57</v>
      </c>
    </row>
    <row r="172" spans="2:7" x14ac:dyDescent="0.2">
      <c r="B172" s="233" t="s">
        <v>42</v>
      </c>
      <c r="C172" s="265">
        <f>C170+C171</f>
        <v>4769728.66</v>
      </c>
      <c r="D172" s="265">
        <f>D170+D171</f>
        <v>4687468.16</v>
      </c>
      <c r="E172" s="265">
        <f>E170+E171</f>
        <v>12323360.609999999</v>
      </c>
      <c r="F172" s="265">
        <f t="shared" ref="F172:G172" si="32">F170+F171</f>
        <v>4437500.87</v>
      </c>
      <c r="G172" s="265">
        <f t="shared" si="32"/>
        <v>4368713.74</v>
      </c>
    </row>
    <row r="173" spans="2:7" x14ac:dyDescent="0.2">
      <c r="B173" s="239"/>
      <c r="C173" s="240"/>
      <c r="D173" s="240"/>
      <c r="E173" s="240"/>
      <c r="F173" s="240"/>
      <c r="G173" s="240"/>
    </row>
    <row r="174" spans="2:7" x14ac:dyDescent="0.2">
      <c r="B174" s="289" t="s">
        <v>155</v>
      </c>
      <c r="C174" s="290">
        <f>C144+C151+C157+C163+C167+C172</f>
        <v>177974188.25999999</v>
      </c>
      <c r="D174" s="290">
        <f>D144+D151+D157+D163+D167+D172</f>
        <v>270618835.50999999</v>
      </c>
      <c r="E174" s="290">
        <f>E144+E151+E157+E163+E167+E172</f>
        <v>121238140.94000001</v>
      </c>
      <c r="F174" s="290">
        <f t="shared" ref="F174:G174" si="33">F144+F151+F157+F163+F167+F172</f>
        <v>121518021.22</v>
      </c>
      <c r="G174" s="290">
        <f t="shared" si="33"/>
        <v>101557726.53999999</v>
      </c>
    </row>
    <row r="175" spans="2:7" x14ac:dyDescent="0.2">
      <c r="B175" s="239"/>
      <c r="C175" s="240"/>
      <c r="D175" s="240"/>
      <c r="E175" s="240"/>
      <c r="F175" s="240"/>
      <c r="G175" s="240"/>
    </row>
    <row r="176" spans="2:7" x14ac:dyDescent="0.2">
      <c r="B176" s="267"/>
      <c r="C176" s="291"/>
      <c r="D176" s="291"/>
      <c r="E176" s="291"/>
      <c r="F176" s="291"/>
      <c r="G176" s="291"/>
    </row>
    <row r="177" spans="2:7" x14ac:dyDescent="0.2">
      <c r="B177" s="233" t="s">
        <v>30</v>
      </c>
      <c r="C177" s="234">
        <v>46112</v>
      </c>
      <c r="D177" s="234">
        <v>46022</v>
      </c>
      <c r="E177" s="234">
        <v>45930</v>
      </c>
      <c r="F177" s="234">
        <v>45838</v>
      </c>
      <c r="G177" s="234">
        <v>45747</v>
      </c>
    </row>
    <row r="178" spans="2:7" x14ac:dyDescent="0.2">
      <c r="B178" s="235" t="s">
        <v>31</v>
      </c>
      <c r="C178" s="264">
        <v>807000</v>
      </c>
      <c r="D178" s="264">
        <v>807000</v>
      </c>
      <c r="E178" s="264">
        <v>2084201.26</v>
      </c>
      <c r="F178" s="264">
        <v>2088000</v>
      </c>
      <c r="G178" s="264">
        <v>2088000</v>
      </c>
    </row>
    <row r="179" spans="2:7" x14ac:dyDescent="0.2">
      <c r="B179" s="235" t="s">
        <v>313</v>
      </c>
      <c r="C179" s="264">
        <v>233737.17</v>
      </c>
      <c r="D179" s="264">
        <v>240000</v>
      </c>
      <c r="E179" s="264">
        <v>0</v>
      </c>
      <c r="F179" s="264">
        <v>0</v>
      </c>
      <c r="G179" s="264">
        <v>0</v>
      </c>
    </row>
    <row r="180" spans="2:7" x14ac:dyDescent="0.2">
      <c r="B180" s="233" t="s">
        <v>42</v>
      </c>
      <c r="C180" s="265">
        <f>C179+C178</f>
        <v>1040737.17</v>
      </c>
      <c r="D180" s="265">
        <f>D179+D178</f>
        <v>1047000</v>
      </c>
      <c r="E180" s="265">
        <f>E179+E178</f>
        <v>2084201.26</v>
      </c>
      <c r="F180" s="265">
        <f t="shared" ref="F180:G180" si="34">F179+F178</f>
        <v>2088000</v>
      </c>
      <c r="G180" s="265">
        <f t="shared" si="34"/>
        <v>2088000</v>
      </c>
    </row>
    <row r="181" spans="2:7" x14ac:dyDescent="0.2">
      <c r="B181" s="239"/>
      <c r="C181" s="240"/>
      <c r="D181" s="240"/>
      <c r="E181" s="240"/>
      <c r="F181" s="240"/>
      <c r="G181" s="240"/>
    </row>
    <row r="182" spans="2:7" x14ac:dyDescent="0.2">
      <c r="B182" s="289" t="s">
        <v>164</v>
      </c>
      <c r="C182" s="290">
        <f>C180</f>
        <v>1040737.17</v>
      </c>
      <c r="D182" s="290">
        <f>D180</f>
        <v>1047000</v>
      </c>
      <c r="E182" s="290">
        <f>E180</f>
        <v>2084201.26</v>
      </c>
      <c r="F182" s="290">
        <f t="shared" ref="F182:G182" si="35">F180</f>
        <v>2088000</v>
      </c>
      <c r="G182" s="290">
        <f t="shared" si="35"/>
        <v>2088000</v>
      </c>
    </row>
    <row r="183" spans="2:7" x14ac:dyDescent="0.2">
      <c r="B183" s="267"/>
      <c r="C183" s="291"/>
      <c r="D183" s="291"/>
      <c r="E183" s="291"/>
      <c r="F183" s="291"/>
      <c r="G183" s="291"/>
    </row>
    <row r="184" spans="2:7" x14ac:dyDescent="0.2">
      <c r="B184" s="303" t="s">
        <v>32</v>
      </c>
      <c r="C184" s="234">
        <v>46112</v>
      </c>
      <c r="D184" s="234">
        <v>46022</v>
      </c>
      <c r="E184" s="234">
        <v>45930</v>
      </c>
      <c r="F184" s="234">
        <v>45838</v>
      </c>
      <c r="G184" s="234">
        <v>45747</v>
      </c>
    </row>
    <row r="185" spans="2:7" x14ac:dyDescent="0.2">
      <c r="B185" s="292" t="s">
        <v>33</v>
      </c>
      <c r="C185" s="304">
        <v>187256418.03</v>
      </c>
      <c r="D185" s="304">
        <v>187256418.03</v>
      </c>
      <c r="E185" s="304">
        <v>187256418.03</v>
      </c>
      <c r="F185" s="304">
        <v>187256418.03</v>
      </c>
      <c r="G185" s="304">
        <v>187256418.03</v>
      </c>
    </row>
    <row r="186" spans="2:7" x14ac:dyDescent="0.2">
      <c r="B186" s="292" t="s">
        <v>34</v>
      </c>
      <c r="C186" s="304">
        <v>187256418.03</v>
      </c>
      <c r="D186" s="304">
        <v>187256418.03</v>
      </c>
      <c r="E186" s="304">
        <v>187256418.03</v>
      </c>
      <c r="F186" s="304">
        <v>187256418.03</v>
      </c>
      <c r="G186" s="304">
        <v>187256418.03</v>
      </c>
    </row>
    <row r="187" spans="2:7" x14ac:dyDescent="0.2">
      <c r="B187" s="292" t="s">
        <v>35</v>
      </c>
      <c r="C187" s="304">
        <v>187256418.03</v>
      </c>
      <c r="D187" s="304">
        <v>187256418.03</v>
      </c>
      <c r="E187" s="304">
        <v>187256418.03</v>
      </c>
      <c r="F187" s="304">
        <v>187256418.03</v>
      </c>
      <c r="G187" s="304">
        <v>187256418.03</v>
      </c>
    </row>
    <row r="188" spans="2:7" ht="15" customHeight="1" x14ac:dyDescent="0.2">
      <c r="B188" s="294" t="s">
        <v>36</v>
      </c>
      <c r="C188" s="305">
        <v>196133567.16</v>
      </c>
      <c r="D188" s="305">
        <v>196133567.16</v>
      </c>
      <c r="E188" s="305">
        <v>196133567.16</v>
      </c>
      <c r="F188" s="305">
        <v>196133567.16</v>
      </c>
      <c r="G188" s="305">
        <v>196133567.16</v>
      </c>
    </row>
    <row r="189" spans="2:7" ht="15" customHeight="1" x14ac:dyDescent="0.2">
      <c r="B189" s="294" t="s">
        <v>37</v>
      </c>
      <c r="C189" s="305">
        <v>-8877149.1300000008</v>
      </c>
      <c r="D189" s="305">
        <v>-8877149.1300000008</v>
      </c>
      <c r="E189" s="305">
        <v>-8877149.1300000008</v>
      </c>
      <c r="F189" s="305">
        <v>-8877149.1300000008</v>
      </c>
      <c r="G189" s="305">
        <v>-8877149.1300000008</v>
      </c>
    </row>
    <row r="190" spans="2:7" x14ac:dyDescent="0.2">
      <c r="B190" s="306"/>
      <c r="C190" s="305"/>
      <c r="D190" s="305"/>
      <c r="E190" s="305"/>
      <c r="F190" s="305"/>
      <c r="G190" s="305"/>
    </row>
    <row r="191" spans="2:7" x14ac:dyDescent="0.2">
      <c r="B191" s="292" t="s">
        <v>38</v>
      </c>
      <c r="C191" s="305">
        <f t="shared" ref="C191:G192" si="36">C192</f>
        <v>974381850.53999996</v>
      </c>
      <c r="D191" s="305">
        <f t="shared" si="36"/>
        <v>974381850.53999996</v>
      </c>
      <c r="E191" s="305">
        <f t="shared" si="36"/>
        <v>773787983.70000005</v>
      </c>
      <c r="F191" s="305">
        <f t="shared" si="36"/>
        <v>773787983.70000005</v>
      </c>
      <c r="G191" s="305">
        <f t="shared" si="36"/>
        <v>773787983.70000005</v>
      </c>
    </row>
    <row r="192" spans="2:7" x14ac:dyDescent="0.2">
      <c r="B192" s="292" t="s">
        <v>39</v>
      </c>
      <c r="C192" s="305">
        <f t="shared" si="36"/>
        <v>974381850.53999996</v>
      </c>
      <c r="D192" s="305">
        <f t="shared" si="36"/>
        <v>974381850.53999996</v>
      </c>
      <c r="E192" s="305">
        <f t="shared" si="36"/>
        <v>773787983.70000005</v>
      </c>
      <c r="F192" s="305">
        <f t="shared" si="36"/>
        <v>773787983.70000005</v>
      </c>
      <c r="G192" s="305">
        <f t="shared" si="36"/>
        <v>773787983.70000005</v>
      </c>
    </row>
    <row r="193" spans="2:7" x14ac:dyDescent="0.2">
      <c r="B193" s="294" t="s">
        <v>91</v>
      </c>
      <c r="C193" s="305">
        <v>974381850.53999996</v>
      </c>
      <c r="D193" s="305">
        <v>974381850.53999996</v>
      </c>
      <c r="E193" s="305">
        <v>773787983.70000005</v>
      </c>
      <c r="F193" s="305">
        <v>773787983.70000005</v>
      </c>
      <c r="G193" s="305">
        <v>773787983.70000005</v>
      </c>
    </row>
    <row r="194" spans="2:7" x14ac:dyDescent="0.2">
      <c r="B194" s="235"/>
      <c r="C194" s="305"/>
      <c r="D194" s="305"/>
      <c r="E194" s="305"/>
      <c r="F194" s="305"/>
      <c r="G194" s="305"/>
    </row>
    <row r="195" spans="2:7" x14ac:dyDescent="0.2">
      <c r="B195" s="292" t="s">
        <v>40</v>
      </c>
      <c r="C195" s="305">
        <f t="shared" ref="C195:G195" si="37">C196</f>
        <v>-373365102.18000001</v>
      </c>
      <c r="D195" s="305">
        <f t="shared" si="37"/>
        <v>-439425944.51999998</v>
      </c>
      <c r="E195" s="305">
        <f t="shared" si="37"/>
        <v>-312971877.69</v>
      </c>
      <c r="F195" s="305">
        <f t="shared" si="37"/>
        <v>-355242778.50999999</v>
      </c>
      <c r="G195" s="305">
        <f t="shared" si="37"/>
        <v>-408685972.45999998</v>
      </c>
    </row>
    <row r="196" spans="2:7" x14ac:dyDescent="0.2">
      <c r="B196" s="294" t="s">
        <v>88</v>
      </c>
      <c r="C196" s="305">
        <v>-373365102.18000001</v>
      </c>
      <c r="D196" s="305">
        <v>-439425944.51999998</v>
      </c>
      <c r="E196" s="305">
        <v>-312971877.69</v>
      </c>
      <c r="F196" s="305">
        <v>-355242778.50999999</v>
      </c>
      <c r="G196" s="305">
        <v>-408685972.45999998</v>
      </c>
    </row>
    <row r="197" spans="2:7" x14ac:dyDescent="0.2">
      <c r="B197" s="294"/>
      <c r="C197" s="305"/>
      <c r="D197" s="305"/>
      <c r="E197" s="305"/>
      <c r="F197" s="305"/>
      <c r="G197" s="305"/>
    </row>
    <row r="198" spans="2:7" x14ac:dyDescent="0.2">
      <c r="B198" s="292" t="s">
        <v>89</v>
      </c>
      <c r="C198" s="305">
        <f t="shared" ref="C198:G198" si="38">C199</f>
        <v>-1636</v>
      </c>
      <c r="D198" s="305">
        <f t="shared" si="38"/>
        <v>-1636</v>
      </c>
      <c r="E198" s="305">
        <f t="shared" si="38"/>
        <v>-1636</v>
      </c>
      <c r="F198" s="305">
        <f t="shared" si="38"/>
        <v>-1636</v>
      </c>
      <c r="G198" s="305">
        <f t="shared" si="38"/>
        <v>-1636</v>
      </c>
    </row>
    <row r="199" spans="2:7" x14ac:dyDescent="0.2">
      <c r="B199" s="294" t="s">
        <v>89</v>
      </c>
      <c r="C199" s="305">
        <v>-1636</v>
      </c>
      <c r="D199" s="305">
        <v>-1636</v>
      </c>
      <c r="E199" s="305">
        <v>-1636</v>
      </c>
      <c r="F199" s="305">
        <v>-1636</v>
      </c>
      <c r="G199" s="305">
        <v>-1636</v>
      </c>
    </row>
    <row r="200" spans="2:7" x14ac:dyDescent="0.2">
      <c r="B200" s="235"/>
      <c r="C200" s="264"/>
      <c r="D200" s="264"/>
      <c r="E200" s="264"/>
      <c r="F200" s="264"/>
      <c r="G200" s="264"/>
    </row>
    <row r="201" spans="2:7" x14ac:dyDescent="0.2">
      <c r="B201" s="275" t="s">
        <v>42</v>
      </c>
      <c r="C201" s="285">
        <f>C185+C191+C195+C198</f>
        <v>788271530.38999987</v>
      </c>
      <c r="D201" s="285">
        <f>D185+D191+D195+D198</f>
        <v>722210688.04999995</v>
      </c>
      <c r="E201" s="285">
        <f>E185+E191+E195+E198</f>
        <v>648070888.03999996</v>
      </c>
      <c r="F201" s="285">
        <f>F185+F191+F195+F198</f>
        <v>605799987.22000003</v>
      </c>
      <c r="G201" s="285">
        <f>G185+G191+G195+G198</f>
        <v>552356793.26999998</v>
      </c>
    </row>
    <row r="202" spans="2:7" x14ac:dyDescent="0.2">
      <c r="B202" s="267"/>
      <c r="C202" s="291"/>
      <c r="D202" s="291"/>
      <c r="E202" s="291"/>
      <c r="F202" s="291"/>
      <c r="G202" s="291"/>
    </row>
    <row r="203" spans="2:7" x14ac:dyDescent="0.2">
      <c r="B203" s="267"/>
      <c r="C203" s="291"/>
      <c r="D203" s="291"/>
      <c r="E203" s="291"/>
      <c r="F203" s="291"/>
      <c r="G203" s="291"/>
    </row>
    <row r="204" spans="2:7" x14ac:dyDescent="0.2">
      <c r="B204" s="267"/>
      <c r="C204" s="291"/>
      <c r="D204" s="291"/>
      <c r="E204" s="291"/>
      <c r="F204" s="291"/>
      <c r="G204" s="291"/>
    </row>
    <row r="205" spans="2:7" x14ac:dyDescent="0.2">
      <c r="B205" s="289" t="s">
        <v>122</v>
      </c>
      <c r="C205" s="290">
        <f>C201+C182+C174</f>
        <v>967286455.81999981</v>
      </c>
      <c r="D205" s="290">
        <f>D201+D182+D174</f>
        <v>993876523.55999994</v>
      </c>
      <c r="E205" s="290">
        <f>E201+E182+E174</f>
        <v>771393230.24000001</v>
      </c>
      <c r="F205" s="290">
        <f t="shared" ref="F205:G205" si="39">F201+F182+F174</f>
        <v>729406008.44000006</v>
      </c>
      <c r="G205" s="290">
        <f t="shared" si="39"/>
        <v>656002519.80999994</v>
      </c>
    </row>
    <row r="206" spans="2:7" x14ac:dyDescent="0.2">
      <c r="B206" s="241"/>
      <c r="C206" s="241"/>
      <c r="D206" s="270"/>
      <c r="E206" s="270"/>
      <c r="F206" s="270"/>
      <c r="G206" s="270"/>
    </row>
    <row r="207" spans="2:7" x14ac:dyDescent="0.2">
      <c r="B207" s="241"/>
      <c r="C207" s="270">
        <f>C205-C113</f>
        <v>0</v>
      </c>
      <c r="D207" s="270">
        <f>D205-D113</f>
        <v>0</v>
      </c>
      <c r="E207" s="270">
        <f>E205-E113</f>
        <v>-405623.74999988079</v>
      </c>
      <c r="F207" s="270">
        <f>F205-F113</f>
        <v>7042305.9800000191</v>
      </c>
      <c r="G207" s="270">
        <f>G205-G113</f>
        <v>0</v>
      </c>
    </row>
    <row r="208" spans="2:7" x14ac:dyDescent="0.2">
      <c r="B208" s="241"/>
      <c r="C208" s="241"/>
      <c r="D208" s="270"/>
      <c r="E208" s="270"/>
      <c r="F208" s="270"/>
      <c r="G208" s="270"/>
    </row>
    <row r="210" spans="2:4" x14ac:dyDescent="0.2">
      <c r="B210" s="243" t="s">
        <v>42</v>
      </c>
      <c r="D210" s="307">
        <f>SUM(D211:D215)</f>
        <v>974381850.54000008</v>
      </c>
    </row>
    <row r="211" spans="2:4" x14ac:dyDescent="0.2">
      <c r="B211" s="308">
        <v>2021</v>
      </c>
      <c r="C211" s="308"/>
      <c r="D211" s="309">
        <v>13485425.67</v>
      </c>
    </row>
    <row r="212" spans="2:4" x14ac:dyDescent="0.2">
      <c r="B212" s="308">
        <v>2022</v>
      </c>
      <c r="C212" s="308"/>
      <c r="D212" s="309">
        <v>198835230.06</v>
      </c>
    </row>
    <row r="213" spans="2:4" x14ac:dyDescent="0.2">
      <c r="B213" s="308">
        <v>2023</v>
      </c>
      <c r="C213" s="308"/>
      <c r="D213" s="309">
        <v>414195854.48000002</v>
      </c>
    </row>
    <row r="214" spans="2:4" x14ac:dyDescent="0.2">
      <c r="B214" s="308">
        <v>2024</v>
      </c>
      <c r="C214" s="308"/>
      <c r="D214" s="309">
        <v>147271473.49000001</v>
      </c>
    </row>
    <row r="215" spans="2:4" x14ac:dyDescent="0.2">
      <c r="B215" s="308">
        <v>2025</v>
      </c>
      <c r="C215" s="308"/>
      <c r="D215" s="309">
        <v>200593866.84</v>
      </c>
    </row>
    <row r="216" spans="2:4" x14ac:dyDescent="0.2">
      <c r="B216" s="308"/>
      <c r="C216" s="308"/>
      <c r="D216" s="310"/>
    </row>
  </sheetData>
  <mergeCells count="1">
    <mergeCell ref="A92:B92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H47"/>
  <sheetViews>
    <sheetView showGridLines="0" workbookViewId="0">
      <selection activeCell="G24" sqref="G24"/>
    </sheetView>
  </sheetViews>
  <sheetFormatPr defaultRowHeight="11.25" x14ac:dyDescent="0.2"/>
  <cols>
    <col min="2" max="2" width="85.33203125" bestFit="1" customWidth="1"/>
    <col min="3" max="3" width="6.6640625" bestFit="1" customWidth="1"/>
    <col min="4" max="4" width="20.6640625" bestFit="1" customWidth="1"/>
    <col min="5" max="5" width="20.1640625" bestFit="1" customWidth="1"/>
    <col min="6" max="6" width="19.83203125" bestFit="1" customWidth="1"/>
    <col min="7" max="8" width="15.33203125" bestFit="1" customWidth="1"/>
  </cols>
  <sheetData>
    <row r="5" spans="2:8" ht="15.75" x14ac:dyDescent="0.25">
      <c r="B5" s="423" t="s">
        <v>147</v>
      </c>
      <c r="C5" s="423"/>
      <c r="D5" s="423"/>
      <c r="E5" s="423"/>
      <c r="F5" s="423"/>
      <c r="G5" s="90"/>
      <c r="H5" s="90"/>
    </row>
    <row r="6" spans="2:8" ht="15.75" x14ac:dyDescent="0.25">
      <c r="B6" s="423" t="s">
        <v>148</v>
      </c>
      <c r="C6" s="423"/>
      <c r="D6" s="423"/>
      <c r="E6" s="423"/>
      <c r="F6" s="423"/>
      <c r="G6" s="90"/>
      <c r="H6" s="90"/>
    </row>
    <row r="7" spans="2:8" ht="15.75" x14ac:dyDescent="0.25">
      <c r="B7" s="423" t="s">
        <v>347</v>
      </c>
      <c r="C7" s="423"/>
      <c r="D7" s="423"/>
      <c r="E7" s="423"/>
      <c r="F7" s="423"/>
      <c r="G7" s="90"/>
      <c r="H7" s="90"/>
    </row>
    <row r="8" spans="2:8" ht="15.75" x14ac:dyDescent="0.25">
      <c r="B8" s="423" t="s">
        <v>151</v>
      </c>
      <c r="C8" s="423"/>
      <c r="D8" s="423"/>
      <c r="E8" s="423"/>
      <c r="F8" s="423"/>
      <c r="G8" s="66"/>
      <c r="H8" s="66"/>
    </row>
    <row r="9" spans="2:8" ht="15.75" x14ac:dyDescent="0.25">
      <c r="B9" s="66"/>
      <c r="C9" s="66"/>
      <c r="D9" s="66"/>
      <c r="E9" s="72"/>
      <c r="F9" s="72"/>
      <c r="G9" s="66"/>
      <c r="H9" s="66"/>
    </row>
    <row r="10" spans="2:8" ht="15.75" x14ac:dyDescent="0.25">
      <c r="B10" s="428" t="s">
        <v>272</v>
      </c>
      <c r="C10" s="428"/>
      <c r="D10" s="428"/>
      <c r="E10" s="428"/>
      <c r="F10" s="428"/>
      <c r="G10" s="66"/>
      <c r="H10" s="66"/>
    </row>
    <row r="11" spans="2:8" ht="15.75" x14ac:dyDescent="0.25">
      <c r="B11" s="91"/>
      <c r="C11" s="91"/>
      <c r="D11" s="91"/>
      <c r="E11" s="91"/>
      <c r="F11" s="91"/>
      <c r="G11" s="66"/>
      <c r="H11" s="66"/>
    </row>
    <row r="12" spans="2:8" ht="15.75" x14ac:dyDescent="0.25">
      <c r="B12" s="159" t="s">
        <v>135</v>
      </c>
      <c r="C12" s="160" t="s">
        <v>153</v>
      </c>
      <c r="D12" s="369">
        <v>46112</v>
      </c>
      <c r="E12" s="55">
        <v>46022</v>
      </c>
      <c r="F12" s="55">
        <v>45747</v>
      </c>
      <c r="G12" s="66"/>
      <c r="H12" s="66"/>
    </row>
    <row r="13" spans="2:8" ht="15.75" x14ac:dyDescent="0.25">
      <c r="B13" s="92" t="s">
        <v>273</v>
      </c>
      <c r="C13" s="92" t="s">
        <v>274</v>
      </c>
      <c r="D13" s="93">
        <f>SUM(D14:D19)</f>
        <v>139816891.97</v>
      </c>
      <c r="E13" s="93">
        <f>SUM(E14:E19)</f>
        <v>746207431.37</v>
      </c>
      <c r="F13" s="93">
        <f>SUM(F14:F19)</f>
        <v>120820457.04000001</v>
      </c>
      <c r="G13" s="66"/>
      <c r="H13" s="66"/>
    </row>
    <row r="14" spans="2:8" ht="15.75" x14ac:dyDescent="0.25">
      <c r="B14" s="158" t="s">
        <v>320</v>
      </c>
      <c r="C14" s="94"/>
      <c r="D14" s="95">
        <f>DRE!F14</f>
        <v>1281448.31</v>
      </c>
      <c r="E14" s="95">
        <f>DRE!G14</f>
        <v>5060015.1399999997</v>
      </c>
      <c r="F14" s="95">
        <v>1209598.21</v>
      </c>
      <c r="G14" s="66"/>
      <c r="H14" s="66"/>
    </row>
    <row r="15" spans="2:8" ht="15.75" x14ac:dyDescent="0.25">
      <c r="B15" s="158" t="s">
        <v>275</v>
      </c>
      <c r="C15" s="96"/>
      <c r="D15" s="97">
        <f>DRE!F15</f>
        <v>193263.47</v>
      </c>
      <c r="E15" s="97">
        <f>DRE!G15</f>
        <v>8958667.75</v>
      </c>
      <c r="F15" s="97">
        <v>696477.01</v>
      </c>
      <c r="G15" s="66"/>
      <c r="H15" s="66"/>
    </row>
    <row r="16" spans="2:8" ht="15.75" x14ac:dyDescent="0.25">
      <c r="B16" s="98" t="s">
        <v>276</v>
      </c>
      <c r="C16" s="98"/>
      <c r="D16" s="99">
        <f>DRE!F24</f>
        <v>22019854.5</v>
      </c>
      <c r="E16" s="99">
        <f>DRE!G24</f>
        <v>87791894.099999994</v>
      </c>
      <c r="F16" s="99">
        <v>16094665.82</v>
      </c>
      <c r="G16" s="66"/>
      <c r="H16" s="66"/>
    </row>
    <row r="17" spans="2:8" ht="15.75" x14ac:dyDescent="0.25">
      <c r="B17" s="98" t="s">
        <v>277</v>
      </c>
      <c r="C17" s="98"/>
      <c r="D17" s="99">
        <f>DRE!F25</f>
        <v>115824949.72</v>
      </c>
      <c r="E17" s="99">
        <f>DRE!G25</f>
        <v>642018075.74000001</v>
      </c>
      <c r="F17" s="99">
        <v>102498006.15000001</v>
      </c>
      <c r="G17" s="66"/>
      <c r="H17" s="66"/>
    </row>
    <row r="18" spans="2:8" ht="15.75" x14ac:dyDescent="0.25">
      <c r="B18" s="98" t="s">
        <v>278</v>
      </c>
      <c r="C18" s="98"/>
      <c r="D18" s="99">
        <f>DRE!F26</f>
        <v>19143.3</v>
      </c>
      <c r="E18" s="99">
        <f>DRE!G26</f>
        <v>646890.93000000005</v>
      </c>
      <c r="F18" s="99">
        <v>147282.34</v>
      </c>
      <c r="G18" s="66"/>
      <c r="H18" s="66"/>
    </row>
    <row r="19" spans="2:8" ht="15.75" x14ac:dyDescent="0.25">
      <c r="B19" s="96" t="s">
        <v>279</v>
      </c>
      <c r="C19" s="96"/>
      <c r="D19" s="97">
        <v>478232.67</v>
      </c>
      <c r="E19" s="97">
        <v>1731887.71</v>
      </c>
      <c r="F19" s="97">
        <v>174427.51</v>
      </c>
      <c r="G19" s="66"/>
      <c r="H19" s="66"/>
    </row>
    <row r="20" spans="2:8" ht="15.75" x14ac:dyDescent="0.25">
      <c r="B20" s="100"/>
      <c r="C20" s="100"/>
      <c r="D20" s="97"/>
      <c r="E20" s="97"/>
      <c r="F20" s="97"/>
      <c r="G20" s="66"/>
      <c r="H20" s="66"/>
    </row>
    <row r="21" spans="2:8" ht="15.75" x14ac:dyDescent="0.25">
      <c r="B21" s="72"/>
      <c r="C21" s="72"/>
      <c r="D21" s="99"/>
      <c r="E21" s="99"/>
      <c r="F21" s="99"/>
      <c r="G21" s="66"/>
      <c r="H21" s="66"/>
    </row>
    <row r="22" spans="2:8" ht="15.75" x14ac:dyDescent="0.25">
      <c r="B22" s="92" t="s">
        <v>280</v>
      </c>
      <c r="C22" s="92" t="s">
        <v>281</v>
      </c>
      <c r="D22" s="102">
        <f>SUM(D23:D26)</f>
        <v>55795427.670000009</v>
      </c>
      <c r="E22" s="102">
        <f>SUM(E23:E26)</f>
        <v>472895399.59999996</v>
      </c>
      <c r="F22" s="368">
        <f>SUM(F23:F26)</f>
        <v>74463343.639999986</v>
      </c>
      <c r="G22" s="104"/>
      <c r="H22" s="104"/>
    </row>
    <row r="23" spans="2:8" ht="15.75" x14ac:dyDescent="0.25">
      <c r="B23" s="96" t="s">
        <v>282</v>
      </c>
      <c r="C23" s="96"/>
      <c r="D23" s="97">
        <f>-(DRE!F30+DRE!F37+DRE!F38+DRE!F39+DRE!F47+DRE!F48)</f>
        <v>55462476.900000006</v>
      </c>
      <c r="E23" s="97">
        <f>519752388.82-55841240.93+2613232.59+3228497.41</f>
        <v>469752877.88999999</v>
      </c>
      <c r="F23" s="97">
        <v>73607585.069999993</v>
      </c>
      <c r="G23" s="125"/>
      <c r="H23" s="66"/>
    </row>
    <row r="24" spans="2:8" ht="15.75" x14ac:dyDescent="0.25">
      <c r="B24" s="96" t="s">
        <v>283</v>
      </c>
      <c r="C24" s="96"/>
      <c r="D24" s="97">
        <v>0</v>
      </c>
      <c r="E24" s="97">
        <v>400565.65</v>
      </c>
      <c r="F24" s="97">
        <v>11112.08</v>
      </c>
      <c r="G24" s="66"/>
      <c r="H24" s="66"/>
    </row>
    <row r="25" spans="2:8" ht="15.75" x14ac:dyDescent="0.25">
      <c r="B25" s="96" t="s">
        <v>284</v>
      </c>
      <c r="C25" s="96"/>
      <c r="D25" s="97">
        <f>851502.75-D31-D24</f>
        <v>308705.13</v>
      </c>
      <c r="E25" s="97">
        <f>4854125.27-E31-E24</f>
        <v>2702303.4099999997</v>
      </c>
      <c r="F25" s="97">
        <v>832870.78</v>
      </c>
      <c r="G25" s="66"/>
      <c r="H25" s="66"/>
    </row>
    <row r="26" spans="2:8" ht="15.75" x14ac:dyDescent="0.25">
      <c r="B26" s="96" t="s">
        <v>218</v>
      </c>
      <c r="C26" s="96"/>
      <c r="D26" s="97">
        <f>-DRE!F56</f>
        <v>24245.64</v>
      </c>
      <c r="E26" s="97">
        <f>-DRE!G56</f>
        <v>39652.65</v>
      </c>
      <c r="F26" s="97">
        <v>11775.71</v>
      </c>
      <c r="G26" s="66"/>
      <c r="H26" s="66"/>
    </row>
    <row r="27" spans="2:8" ht="15.75" x14ac:dyDescent="0.25">
      <c r="B27" s="100"/>
      <c r="C27" s="100"/>
      <c r="D27" s="97"/>
      <c r="E27" s="97"/>
      <c r="F27" s="97"/>
      <c r="G27" s="66"/>
      <c r="H27" s="66"/>
    </row>
    <row r="28" spans="2:8" ht="15.75" x14ac:dyDescent="0.25">
      <c r="B28" s="92" t="s">
        <v>285</v>
      </c>
      <c r="C28" s="92" t="s">
        <v>281</v>
      </c>
      <c r="D28" s="102">
        <f>D13-D22</f>
        <v>84021464.299999982</v>
      </c>
      <c r="E28" s="102">
        <f>E13-E22</f>
        <v>273312031.77000004</v>
      </c>
      <c r="F28" s="368">
        <f>F13-F22</f>
        <v>46357113.400000021</v>
      </c>
      <c r="G28" s="104"/>
      <c r="H28" s="104"/>
    </row>
    <row r="29" spans="2:8" ht="15.75" x14ac:dyDescent="0.25">
      <c r="B29" s="72"/>
      <c r="C29" s="72"/>
      <c r="D29" s="99"/>
      <c r="E29" s="99"/>
      <c r="F29" s="99"/>
      <c r="G29" s="66"/>
      <c r="H29" s="66"/>
    </row>
    <row r="30" spans="2:8" ht="15.75" x14ac:dyDescent="0.25">
      <c r="B30" s="92" t="s">
        <v>286</v>
      </c>
      <c r="C30" s="92" t="s">
        <v>281</v>
      </c>
      <c r="D30" s="102">
        <f>SUM(D31:D31)</f>
        <v>542797.62</v>
      </c>
      <c r="E30" s="102">
        <f>SUM(E31:E31)</f>
        <v>1751256.21</v>
      </c>
      <c r="F30" s="368">
        <f>SUM(F31:F31)</f>
        <v>339049</v>
      </c>
      <c r="G30" s="104"/>
      <c r="H30" s="104"/>
    </row>
    <row r="31" spans="2:8" ht="15.75" x14ac:dyDescent="0.25">
      <c r="B31" s="96" t="s">
        <v>287</v>
      </c>
      <c r="C31" s="96"/>
      <c r="D31" s="97">
        <f>542797.62</f>
        <v>542797.62</v>
      </c>
      <c r="E31" s="97">
        <v>1751256.21</v>
      </c>
      <c r="F31" s="97">
        <v>339049</v>
      </c>
      <c r="G31" s="66"/>
      <c r="H31" s="66"/>
    </row>
    <row r="32" spans="2:8" ht="15.75" x14ac:dyDescent="0.25">
      <c r="B32" s="72"/>
      <c r="C32" s="72"/>
      <c r="D32" s="99"/>
      <c r="E32" s="99"/>
      <c r="F32" s="99"/>
      <c r="G32" s="66"/>
      <c r="H32" s="66"/>
    </row>
    <row r="33" spans="2:8" ht="15.75" x14ac:dyDescent="0.25">
      <c r="B33" s="92" t="s">
        <v>288</v>
      </c>
      <c r="C33" s="92" t="s">
        <v>281</v>
      </c>
      <c r="D33" s="102">
        <f>D28-D30</f>
        <v>83478666.679999977</v>
      </c>
      <c r="E33" s="102">
        <f>E28-E30</f>
        <v>271560775.56000006</v>
      </c>
      <c r="F33" s="368">
        <f>F28-F30</f>
        <v>46018064.400000021</v>
      </c>
      <c r="G33" s="66"/>
      <c r="H33" s="66"/>
    </row>
    <row r="34" spans="2:8" ht="15.75" x14ac:dyDescent="0.25">
      <c r="B34" s="72"/>
      <c r="C34" s="72"/>
      <c r="D34" s="99"/>
      <c r="E34" s="99"/>
      <c r="F34" s="99"/>
      <c r="G34" s="66"/>
      <c r="H34" s="66"/>
    </row>
    <row r="35" spans="2:8" ht="15.75" x14ac:dyDescent="0.25">
      <c r="B35" s="92" t="s">
        <v>289</v>
      </c>
      <c r="C35" s="92" t="s">
        <v>281</v>
      </c>
      <c r="D35" s="102">
        <f>D36</f>
        <v>541777.31999999995</v>
      </c>
      <c r="E35" s="102">
        <f>E36</f>
        <v>1612747.01</v>
      </c>
      <c r="F35" s="368">
        <f>F36</f>
        <v>271250.51</v>
      </c>
      <c r="G35" s="104"/>
      <c r="H35" s="104"/>
    </row>
    <row r="36" spans="2:8" ht="15.75" x14ac:dyDescent="0.25">
      <c r="B36" s="96" t="s">
        <v>105</v>
      </c>
      <c r="C36" s="96"/>
      <c r="D36" s="97">
        <f>DRE!F55</f>
        <v>541777.31999999995</v>
      </c>
      <c r="E36" s="97">
        <f>DRE!G55</f>
        <v>1612747.01</v>
      </c>
      <c r="F36" s="97">
        <v>271250.51</v>
      </c>
      <c r="G36" s="66"/>
      <c r="H36" s="66"/>
    </row>
    <row r="37" spans="2:8" ht="15.75" x14ac:dyDescent="0.25">
      <c r="B37" s="72"/>
      <c r="C37" s="72"/>
      <c r="D37" s="99"/>
      <c r="E37" s="99"/>
      <c r="F37" s="99"/>
      <c r="G37" s="66"/>
      <c r="H37" s="66"/>
    </row>
    <row r="38" spans="2:8" ht="15.75" x14ac:dyDescent="0.25">
      <c r="B38" s="92" t="s">
        <v>290</v>
      </c>
      <c r="C38" s="92" t="s">
        <v>281</v>
      </c>
      <c r="D38" s="102">
        <f>D33+D35</f>
        <v>84020443.99999997</v>
      </c>
      <c r="E38" s="102">
        <f>E33+E35</f>
        <v>273173522.57000005</v>
      </c>
      <c r="F38" s="368">
        <f>F33+F35</f>
        <v>46289314.910000019</v>
      </c>
      <c r="G38" s="66"/>
      <c r="H38" s="66"/>
    </row>
    <row r="39" spans="2:8" ht="15.75" x14ac:dyDescent="0.25">
      <c r="B39" s="72"/>
      <c r="C39" s="72"/>
      <c r="D39" s="99"/>
      <c r="E39" s="99"/>
      <c r="F39" s="99"/>
      <c r="G39" s="66"/>
      <c r="H39" s="66"/>
    </row>
    <row r="40" spans="2:8" ht="15.75" x14ac:dyDescent="0.25">
      <c r="B40" s="92" t="s">
        <v>291</v>
      </c>
      <c r="C40" s="92" t="s">
        <v>292</v>
      </c>
      <c r="D40" s="102">
        <f>D41+D42+D43</f>
        <v>84020444</v>
      </c>
      <c r="E40" s="102">
        <f>E41+E42+E43</f>
        <v>273173522.56999999</v>
      </c>
      <c r="F40" s="368">
        <f>F41+F42+F43</f>
        <v>46289314.910000011</v>
      </c>
      <c r="G40" s="66"/>
      <c r="H40" s="66"/>
    </row>
    <row r="41" spans="2:8" ht="15.75" x14ac:dyDescent="0.25">
      <c r="B41" s="96" t="s">
        <v>293</v>
      </c>
      <c r="C41" s="96"/>
      <c r="D41" s="97">
        <f>-DRE!F36-DRE!F46</f>
        <v>17304571.84</v>
      </c>
      <c r="E41" s="97">
        <f>-DRE!G36-DRE!G46</f>
        <v>70818523.390000001</v>
      </c>
      <c r="F41" s="97">
        <v>15895773.529999999</v>
      </c>
      <c r="G41" s="66"/>
      <c r="H41" s="66"/>
    </row>
    <row r="42" spans="2:8" ht="15.75" x14ac:dyDescent="0.25">
      <c r="B42" s="96" t="s">
        <v>294</v>
      </c>
      <c r="C42" s="96"/>
      <c r="D42" s="97">
        <f>-DRE!F18-DRE!F49</f>
        <v>655029.82000000007</v>
      </c>
      <c r="E42" s="97">
        <f>-DRE!G18-DRE!G49</f>
        <v>2348575.94</v>
      </c>
      <c r="F42" s="97">
        <v>241012.92</v>
      </c>
      <c r="G42" s="66"/>
      <c r="H42" s="66"/>
    </row>
    <row r="43" spans="2:8" ht="15.75" x14ac:dyDescent="0.25">
      <c r="B43" s="96" t="s">
        <v>295</v>
      </c>
      <c r="C43" s="96"/>
      <c r="D43" s="97">
        <f>DRE!F64</f>
        <v>66060842.339999996</v>
      </c>
      <c r="E43" s="97">
        <f>DRE!G64</f>
        <v>200006423.24000001</v>
      </c>
      <c r="F43" s="97">
        <f>DRE!H64</f>
        <v>30152528.460000016</v>
      </c>
      <c r="G43" s="66"/>
      <c r="H43" s="66"/>
    </row>
    <row r="44" spans="2:8" ht="15.75" x14ac:dyDescent="0.25">
      <c r="B44" s="106"/>
      <c r="C44" s="106"/>
      <c r="D44" s="106"/>
      <c r="E44" s="107"/>
      <c r="F44" s="107"/>
      <c r="G44" s="66"/>
      <c r="H44" s="66"/>
    </row>
    <row r="45" spans="2:8" ht="15.75" x14ac:dyDescent="0.25">
      <c r="B45" s="414" t="s">
        <v>296</v>
      </c>
      <c r="C45" s="414"/>
      <c r="D45" s="414"/>
      <c r="E45" s="414"/>
      <c r="F45" s="414"/>
      <c r="G45" s="66"/>
      <c r="H45" s="66"/>
    </row>
    <row r="47" spans="2:8" ht="15.75" x14ac:dyDescent="0.25">
      <c r="B47" s="422" t="s">
        <v>348</v>
      </c>
      <c r="C47" s="422"/>
      <c r="D47" s="422"/>
      <c r="E47" s="422"/>
      <c r="F47" s="422"/>
    </row>
  </sheetData>
  <mergeCells count="7">
    <mergeCell ref="B47:F47"/>
    <mergeCell ref="B45:F45"/>
    <mergeCell ref="B5:F5"/>
    <mergeCell ref="B6:F6"/>
    <mergeCell ref="B7:F7"/>
    <mergeCell ref="B8:F8"/>
    <mergeCell ref="B10:F10"/>
  </mergeCells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I24"/>
  <sheetViews>
    <sheetView showGridLines="0" workbookViewId="0">
      <selection activeCell="C21" sqref="C21"/>
    </sheetView>
  </sheetViews>
  <sheetFormatPr defaultRowHeight="11.25" x14ac:dyDescent="0.2"/>
  <cols>
    <col min="2" max="2" width="62.83203125" customWidth="1"/>
    <col min="3" max="3" width="18.5" bestFit="1" customWidth="1"/>
    <col min="4" max="4" width="19.83203125" bestFit="1" customWidth="1"/>
    <col min="5" max="5" width="18.5" bestFit="1" customWidth="1"/>
  </cols>
  <sheetData>
    <row r="5" spans="1:9" ht="15.75" x14ac:dyDescent="0.25">
      <c r="A5" s="90"/>
      <c r="B5" s="423" t="s">
        <v>147</v>
      </c>
      <c r="C5" s="423"/>
      <c r="D5" s="423"/>
      <c r="E5" s="423"/>
      <c r="F5" s="90"/>
      <c r="G5" s="90"/>
      <c r="H5" s="90"/>
      <c r="I5" s="66"/>
    </row>
    <row r="6" spans="1:9" ht="15.75" x14ac:dyDescent="0.25">
      <c r="A6" s="90"/>
      <c r="B6" s="423" t="s">
        <v>148</v>
      </c>
      <c r="C6" s="423"/>
      <c r="D6" s="423"/>
      <c r="E6" s="423"/>
      <c r="F6" s="90"/>
      <c r="G6" s="90"/>
      <c r="H6" s="90"/>
      <c r="I6" s="66"/>
    </row>
    <row r="7" spans="1:9" ht="15.75" x14ac:dyDescent="0.25">
      <c r="A7" s="423" t="s">
        <v>347</v>
      </c>
      <c r="B7" s="423"/>
      <c r="C7" s="423"/>
      <c r="D7" s="423"/>
      <c r="E7" s="423"/>
      <c r="F7" s="423"/>
      <c r="G7" s="90"/>
      <c r="H7" s="90"/>
      <c r="I7" s="66"/>
    </row>
    <row r="8" spans="1:9" ht="15.75" x14ac:dyDescent="0.25">
      <c r="A8" s="423" t="s">
        <v>151</v>
      </c>
      <c r="B8" s="423"/>
      <c r="C8" s="423"/>
      <c r="D8" s="423"/>
      <c r="E8" s="423"/>
      <c r="F8" s="423"/>
      <c r="G8" s="66"/>
      <c r="H8" s="66"/>
      <c r="I8" s="66"/>
    </row>
    <row r="9" spans="1:9" ht="15.75" x14ac:dyDescent="0.25">
      <c r="A9" s="66"/>
      <c r="B9" s="104"/>
      <c r="C9" s="104"/>
      <c r="D9" s="108"/>
      <c r="E9" s="72"/>
      <c r="F9" s="66"/>
      <c r="G9" s="66"/>
      <c r="H9" s="66"/>
      <c r="I9" s="66"/>
    </row>
    <row r="10" spans="1:9" ht="15.75" x14ac:dyDescent="0.25">
      <c r="A10" s="66"/>
      <c r="B10" s="104"/>
      <c r="C10" s="104"/>
      <c r="D10" s="108"/>
      <c r="E10" s="72"/>
      <c r="F10" s="66"/>
      <c r="G10" s="66"/>
      <c r="H10" s="66"/>
      <c r="I10" s="66"/>
    </row>
    <row r="11" spans="1:9" ht="15.75" x14ac:dyDescent="0.25">
      <c r="A11" s="66"/>
      <c r="B11" s="66"/>
      <c r="C11" s="66"/>
      <c r="D11" s="72"/>
      <c r="E11" s="72"/>
      <c r="F11" s="66"/>
      <c r="G11" s="66"/>
      <c r="H11" s="66"/>
      <c r="I11" s="66"/>
    </row>
    <row r="12" spans="1:9" ht="15.75" x14ac:dyDescent="0.25">
      <c r="A12" s="66"/>
      <c r="B12" s="428" t="s">
        <v>297</v>
      </c>
      <c r="C12" s="428"/>
      <c r="D12" s="428"/>
      <c r="E12" s="428"/>
      <c r="F12" s="66"/>
      <c r="G12" s="66"/>
      <c r="H12" s="66"/>
      <c r="I12" s="66"/>
    </row>
    <row r="13" spans="1:9" ht="15.75" x14ac:dyDescent="0.25">
      <c r="A13" s="66"/>
      <c r="B13" s="91"/>
      <c r="C13" s="91"/>
      <c r="D13" s="91"/>
      <c r="E13" s="91"/>
      <c r="F13" s="66"/>
      <c r="G13" s="66"/>
      <c r="H13" s="66"/>
      <c r="I13" s="66"/>
    </row>
    <row r="14" spans="1:9" ht="15.75" x14ac:dyDescent="0.25">
      <c r="A14" s="66"/>
      <c r="B14" s="59" t="s">
        <v>135</v>
      </c>
      <c r="C14" s="338">
        <v>46112</v>
      </c>
      <c r="D14" s="55">
        <v>46022</v>
      </c>
      <c r="E14" s="55">
        <v>45747</v>
      </c>
      <c r="F14" s="66"/>
      <c r="G14" s="66"/>
      <c r="H14" s="66"/>
      <c r="I14" s="66"/>
    </row>
    <row r="15" spans="1:9" ht="15.75" x14ac:dyDescent="0.25">
      <c r="A15" s="66"/>
      <c r="B15" s="109" t="s">
        <v>298</v>
      </c>
      <c r="C15" s="366">
        <f>DRE!F64</f>
        <v>66060842.339999996</v>
      </c>
      <c r="D15" s="103">
        <f>DRE!G64</f>
        <v>200006423.24000001</v>
      </c>
      <c r="E15" s="103">
        <f>DRE!H64</f>
        <v>30152528.460000016</v>
      </c>
      <c r="F15" s="66"/>
      <c r="G15" s="66"/>
      <c r="H15" s="66"/>
      <c r="I15" s="66"/>
    </row>
    <row r="16" spans="1:9" ht="15.75" x14ac:dyDescent="0.25">
      <c r="A16" s="66"/>
      <c r="B16" s="110"/>
      <c r="C16" s="336"/>
      <c r="D16" s="111"/>
      <c r="E16" s="111"/>
      <c r="F16" s="66"/>
      <c r="G16" s="66"/>
      <c r="H16" s="66"/>
      <c r="I16" s="66"/>
    </row>
    <row r="17" spans="1:9" ht="42.75" customHeight="1" x14ac:dyDescent="0.25">
      <c r="A17" s="66"/>
      <c r="B17" s="112" t="s">
        <v>299</v>
      </c>
      <c r="C17" s="367"/>
      <c r="D17" s="113">
        <v>0</v>
      </c>
      <c r="E17" s="113">
        <v>0</v>
      </c>
      <c r="F17" s="66"/>
      <c r="G17" s="66"/>
      <c r="H17" s="66"/>
      <c r="I17" s="66"/>
    </row>
    <row r="18" spans="1:9" ht="60.75" customHeight="1" x14ac:dyDescent="0.25">
      <c r="A18" s="66"/>
      <c r="B18" s="112" t="s">
        <v>300</v>
      </c>
      <c r="C18" s="367"/>
      <c r="D18" s="113">
        <v>0</v>
      </c>
      <c r="E18" s="113">
        <v>0</v>
      </c>
      <c r="F18" s="66"/>
      <c r="G18" s="66"/>
      <c r="H18" s="66"/>
      <c r="I18" s="66"/>
    </row>
    <row r="19" spans="1:9" ht="15.75" x14ac:dyDescent="0.25">
      <c r="A19" s="66"/>
      <c r="B19" s="66"/>
      <c r="C19" s="334"/>
      <c r="D19" s="101"/>
      <c r="E19" s="101"/>
      <c r="F19" s="66"/>
      <c r="G19" s="66"/>
      <c r="H19" s="66"/>
      <c r="I19" s="66"/>
    </row>
    <row r="20" spans="1:9" ht="15.75" x14ac:dyDescent="0.25">
      <c r="A20" s="66"/>
      <c r="B20" s="114" t="s">
        <v>301</v>
      </c>
      <c r="C20" s="103">
        <f>SUM(C15:C18)</f>
        <v>66060842.339999996</v>
      </c>
      <c r="D20" s="103">
        <f>SUM(D15:D18)</f>
        <v>200006423.24000001</v>
      </c>
      <c r="E20" s="103">
        <f>SUM(E15:E18)</f>
        <v>30152528.460000016</v>
      </c>
      <c r="F20" s="66"/>
      <c r="G20" s="66"/>
      <c r="H20" s="66"/>
      <c r="I20" s="66"/>
    </row>
    <row r="21" spans="1:9" ht="15.75" x14ac:dyDescent="0.25">
      <c r="A21" s="66"/>
      <c r="B21" s="115"/>
      <c r="C21" s="115"/>
      <c r="D21" s="116"/>
      <c r="E21" s="105"/>
      <c r="F21" s="66"/>
      <c r="G21" s="66"/>
      <c r="H21" s="66"/>
      <c r="I21" s="66"/>
    </row>
    <row r="22" spans="1:9" ht="15.75" x14ac:dyDescent="0.25">
      <c r="A22" s="66"/>
      <c r="B22" s="414" t="s">
        <v>302</v>
      </c>
      <c r="C22" s="414"/>
      <c r="D22" s="414"/>
      <c r="E22" s="414"/>
      <c r="F22" s="73"/>
      <c r="G22" s="73"/>
      <c r="H22" s="66"/>
      <c r="I22" s="66"/>
    </row>
    <row r="23" spans="1:9" ht="15.75" x14ac:dyDescent="0.25">
      <c r="A23" s="66"/>
      <c r="B23" s="72"/>
      <c r="C23" s="334"/>
      <c r="D23" s="72"/>
      <c r="E23" s="72"/>
      <c r="F23" s="72"/>
      <c r="G23" s="72"/>
      <c r="H23" s="66"/>
      <c r="I23" s="66"/>
    </row>
    <row r="24" spans="1:9" ht="15.75" x14ac:dyDescent="0.25">
      <c r="B24" s="422" t="s">
        <v>348</v>
      </c>
      <c r="C24" s="422"/>
      <c r="D24" s="422"/>
      <c r="E24" s="422"/>
    </row>
  </sheetData>
  <mergeCells count="7">
    <mergeCell ref="B24:E24"/>
    <mergeCell ref="B22:E22"/>
    <mergeCell ref="B5:E5"/>
    <mergeCell ref="B6:E6"/>
    <mergeCell ref="A7:F7"/>
    <mergeCell ref="A8:F8"/>
    <mergeCell ref="B12:E12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79"/>
  <sheetViews>
    <sheetView showGridLines="0" topLeftCell="A49" zoomScaleNormal="100" workbookViewId="0">
      <selection activeCell="B78" sqref="B78"/>
    </sheetView>
  </sheetViews>
  <sheetFormatPr defaultRowHeight="12.75" x14ac:dyDescent="0.2"/>
  <cols>
    <col min="1" max="1" width="9.33203125" style="165"/>
    <col min="2" max="2" width="71.6640625" style="165" bestFit="1" customWidth="1"/>
    <col min="3" max="3" width="25.1640625" style="165" customWidth="1"/>
    <col min="4" max="4" width="24" style="165" bestFit="1" customWidth="1"/>
    <col min="5" max="5" width="24" style="165" customWidth="1"/>
    <col min="6" max="6" width="24.5" style="165" customWidth="1"/>
    <col min="7" max="7" width="25.33203125" style="167" bestFit="1" customWidth="1"/>
    <col min="8" max="8" width="23.33203125" style="165" bestFit="1" customWidth="1"/>
    <col min="9" max="16384" width="9.33203125" style="165"/>
  </cols>
  <sheetData>
    <row r="2" spans="2:8" x14ac:dyDescent="0.2">
      <c r="B2" s="168" t="s">
        <v>62</v>
      </c>
      <c r="C2" s="162">
        <v>46112</v>
      </c>
    </row>
    <row r="3" spans="2:8" x14ac:dyDescent="0.2">
      <c r="B3" s="168" t="s">
        <v>56</v>
      </c>
      <c r="C3" s="177" t="s">
        <v>59</v>
      </c>
      <c r="D3" s="163"/>
      <c r="E3" s="163"/>
    </row>
    <row r="4" spans="2:8" x14ac:dyDescent="0.2">
      <c r="B4" s="178" t="s">
        <v>126</v>
      </c>
      <c r="C4" s="212">
        <f>33289.99</f>
        <v>33289.99</v>
      </c>
    </row>
    <row r="5" spans="2:8" x14ac:dyDescent="0.2">
      <c r="B5" s="178" t="s">
        <v>127</v>
      </c>
      <c r="C5" s="212">
        <v>15442.38</v>
      </c>
      <c r="G5" s="400"/>
      <c r="H5" s="400"/>
    </row>
    <row r="6" spans="2:8" x14ac:dyDescent="0.2">
      <c r="B6" s="179" t="s">
        <v>42</v>
      </c>
      <c r="C6" s="213">
        <f>SUM(C4:C5)</f>
        <v>48732.369999999995</v>
      </c>
      <c r="G6" s="180"/>
      <c r="H6" s="181"/>
    </row>
    <row r="7" spans="2:8" x14ac:dyDescent="0.2">
      <c r="B7" s="182"/>
      <c r="C7" s="182"/>
      <c r="G7" s="180"/>
      <c r="H7" s="181"/>
    </row>
    <row r="8" spans="2:8" x14ac:dyDescent="0.2">
      <c r="G8" s="180"/>
      <c r="H8" s="181"/>
    </row>
    <row r="9" spans="2:8" x14ac:dyDescent="0.2">
      <c r="B9" s="183" t="s">
        <v>57</v>
      </c>
      <c r="C9" s="183" t="s">
        <v>58</v>
      </c>
      <c r="D9" s="166" t="s">
        <v>59</v>
      </c>
      <c r="E9" s="163"/>
      <c r="G9" s="180"/>
      <c r="H9" s="181"/>
    </row>
    <row r="10" spans="2:8" x14ac:dyDescent="0.2">
      <c r="B10" s="184">
        <v>46051</v>
      </c>
      <c r="C10" s="185" t="s">
        <v>362</v>
      </c>
      <c r="D10" s="214">
        <v>20430.37</v>
      </c>
      <c r="E10" s="383"/>
      <c r="G10" s="186"/>
      <c r="H10" s="161"/>
    </row>
    <row r="11" spans="2:8" x14ac:dyDescent="0.2">
      <c r="B11" s="184">
        <v>46080</v>
      </c>
      <c r="C11" s="185" t="s">
        <v>363</v>
      </c>
      <c r="D11" s="214">
        <v>20430.37</v>
      </c>
      <c r="E11" s="383"/>
    </row>
    <row r="12" spans="2:8" x14ac:dyDescent="0.2">
      <c r="B12" s="184">
        <v>46111</v>
      </c>
      <c r="C12" s="185" t="s">
        <v>364</v>
      </c>
      <c r="D12" s="214">
        <v>20430.37</v>
      </c>
      <c r="E12" s="383"/>
    </row>
    <row r="13" spans="2:8" x14ac:dyDescent="0.2">
      <c r="B13" s="401" t="s">
        <v>42</v>
      </c>
      <c r="C13" s="401"/>
      <c r="D13" s="215">
        <f>SUM(D10:D12)</f>
        <v>61291.11</v>
      </c>
      <c r="E13" s="384"/>
    </row>
    <row r="15" spans="2:8" x14ac:dyDescent="0.2">
      <c r="B15" s="399" t="s">
        <v>62</v>
      </c>
      <c r="C15" s="399"/>
      <c r="D15" s="187"/>
      <c r="E15" s="187"/>
    </row>
    <row r="16" spans="2:8" x14ac:dyDescent="0.2">
      <c r="B16" s="188" t="s">
        <v>107</v>
      </c>
      <c r="C16" s="209">
        <v>42762.3</v>
      </c>
      <c r="D16" s="174"/>
      <c r="E16" s="174"/>
    </row>
    <row r="17" spans="2:5" x14ac:dyDescent="0.2">
      <c r="B17" s="188" t="s">
        <v>108</v>
      </c>
      <c r="C17" s="209">
        <v>6811.19</v>
      </c>
      <c r="D17" s="174"/>
      <c r="E17" s="174"/>
    </row>
    <row r="18" spans="2:5" x14ac:dyDescent="0.2">
      <c r="B18" s="188" t="s">
        <v>109</v>
      </c>
      <c r="C18" s="209">
        <v>43451.29</v>
      </c>
      <c r="D18" s="174"/>
      <c r="E18" s="174"/>
    </row>
    <row r="19" spans="2:5" x14ac:dyDescent="0.2">
      <c r="B19" s="188" t="s">
        <v>110</v>
      </c>
      <c r="C19" s="209">
        <v>41925.269999999997</v>
      </c>
      <c r="D19" s="174"/>
      <c r="E19" s="174"/>
    </row>
    <row r="20" spans="2:5" x14ac:dyDescent="0.2">
      <c r="B20" s="179" t="s">
        <v>42</v>
      </c>
      <c r="C20" s="208">
        <f>C19+C18+C17+C16</f>
        <v>134950.04999999999</v>
      </c>
      <c r="D20" s="163"/>
      <c r="E20" s="163"/>
    </row>
    <row r="21" spans="2:5" x14ac:dyDescent="0.2">
      <c r="C21" s="189"/>
    </row>
    <row r="25" spans="2:5" x14ac:dyDescent="0.2">
      <c r="B25" s="399" t="s">
        <v>157</v>
      </c>
      <c r="C25" s="399"/>
    </row>
    <row r="26" spans="2:5" x14ac:dyDescent="0.2">
      <c r="B26" s="188" t="s">
        <v>63</v>
      </c>
      <c r="C26" s="209">
        <v>670359.27</v>
      </c>
    </row>
    <row r="27" spans="2:5" x14ac:dyDescent="0.2">
      <c r="B27" s="188" t="s">
        <v>64</v>
      </c>
      <c r="C27" s="209">
        <v>51327.44</v>
      </c>
    </row>
    <row r="28" spans="2:5" x14ac:dyDescent="0.2">
      <c r="B28" s="190" t="s">
        <v>42</v>
      </c>
      <c r="C28" s="211">
        <f>C27+C26</f>
        <v>721686.71</v>
      </c>
    </row>
    <row r="33" spans="2:8" x14ac:dyDescent="0.2">
      <c r="B33" s="381" t="s">
        <v>72</v>
      </c>
      <c r="C33" s="381" t="s">
        <v>71</v>
      </c>
      <c r="D33" s="381" t="s">
        <v>68</v>
      </c>
      <c r="E33" s="191" t="s">
        <v>366</v>
      </c>
      <c r="F33" s="191" t="s">
        <v>310</v>
      </c>
      <c r="G33" s="191" t="s">
        <v>367</v>
      </c>
      <c r="H33" s="192"/>
    </row>
    <row r="34" spans="2:8" x14ac:dyDescent="0.2">
      <c r="B34" s="173" t="s">
        <v>368</v>
      </c>
      <c r="C34" s="209">
        <v>1127705.8600000001</v>
      </c>
      <c r="D34" s="209">
        <v>-761719.69</v>
      </c>
      <c r="E34" s="209">
        <f>C34+D34</f>
        <v>365986.17000000016</v>
      </c>
      <c r="F34" s="209">
        <v>400955.21</v>
      </c>
      <c r="G34" s="209">
        <v>438865.16</v>
      </c>
      <c r="H34" s="193"/>
    </row>
    <row r="35" spans="2:8" x14ac:dyDescent="0.2">
      <c r="B35" s="173" t="s">
        <v>11</v>
      </c>
      <c r="C35" s="209">
        <v>122050.94</v>
      </c>
      <c r="D35" s="209">
        <v>-107664.28</v>
      </c>
      <c r="E35" s="209">
        <f t="shared" ref="E35:E42" si="0">C35+D35</f>
        <v>14386.660000000003</v>
      </c>
      <c r="F35" s="209">
        <v>21813.279999999999</v>
      </c>
      <c r="G35" s="209">
        <v>44093.14</v>
      </c>
      <c r="H35" s="193"/>
    </row>
    <row r="36" spans="2:8" x14ac:dyDescent="0.2">
      <c r="B36" s="173" t="s">
        <v>369</v>
      </c>
      <c r="C36" s="209">
        <v>4900251.7300000004</v>
      </c>
      <c r="D36" s="209">
        <v>-3166317.72</v>
      </c>
      <c r="E36" s="209">
        <f t="shared" si="0"/>
        <v>1733934.0100000002</v>
      </c>
      <c r="F36" s="209">
        <v>1587318.37</v>
      </c>
      <c r="G36" s="209">
        <v>1404302.86</v>
      </c>
      <c r="H36" s="193"/>
    </row>
    <row r="37" spans="2:8" x14ac:dyDescent="0.2">
      <c r="B37" s="173" t="s">
        <v>370</v>
      </c>
      <c r="C37" s="209">
        <v>245593.47</v>
      </c>
      <c r="D37" s="209">
        <v>-195533.67</v>
      </c>
      <c r="E37" s="209">
        <f t="shared" si="0"/>
        <v>50059.799999999988</v>
      </c>
      <c r="F37" s="209">
        <v>57379.62</v>
      </c>
      <c r="G37" s="209">
        <v>83554.960000000006</v>
      </c>
      <c r="H37" s="193"/>
    </row>
    <row r="38" spans="2:8" x14ac:dyDescent="0.2">
      <c r="B38" s="173" t="s">
        <v>371</v>
      </c>
      <c r="C38" s="209">
        <v>421399.99</v>
      </c>
      <c r="D38" s="209">
        <v>-208692.18</v>
      </c>
      <c r="E38" s="209">
        <f t="shared" si="0"/>
        <v>212707.81</v>
      </c>
      <c r="F38" s="209">
        <v>240427.39</v>
      </c>
      <c r="G38" s="209">
        <v>98708.95</v>
      </c>
      <c r="H38" s="193"/>
    </row>
    <row r="39" spans="2:8" x14ac:dyDescent="0.2">
      <c r="B39" s="173" t="s">
        <v>12</v>
      </c>
      <c r="C39" s="209">
        <v>30134.7</v>
      </c>
      <c r="D39" s="209">
        <v>0</v>
      </c>
      <c r="E39" s="209">
        <f t="shared" si="0"/>
        <v>30134.7</v>
      </c>
      <c r="F39" s="209">
        <v>30134.7</v>
      </c>
      <c r="G39" s="209">
        <v>30134.7</v>
      </c>
      <c r="H39" s="193"/>
    </row>
    <row r="40" spans="2:8" x14ac:dyDescent="0.2">
      <c r="B40" s="173" t="s">
        <v>13</v>
      </c>
      <c r="C40" s="209">
        <v>123309.16</v>
      </c>
      <c r="D40" s="209">
        <v>-85207.679999999993</v>
      </c>
      <c r="E40" s="209">
        <f t="shared" si="0"/>
        <v>38101.48000000001</v>
      </c>
      <c r="F40" s="209">
        <v>38675.86</v>
      </c>
      <c r="G40" s="209">
        <v>40399</v>
      </c>
      <c r="H40" s="193"/>
    </row>
    <row r="41" spans="2:8" x14ac:dyDescent="0.2">
      <c r="B41" s="173" t="s">
        <v>69</v>
      </c>
      <c r="C41" s="209">
        <v>146858.96</v>
      </c>
      <c r="D41" s="209">
        <v>-124438.29</v>
      </c>
      <c r="E41" s="209">
        <f t="shared" si="0"/>
        <v>22420.67</v>
      </c>
      <c r="F41" s="209">
        <v>23381.9</v>
      </c>
      <c r="G41" s="209">
        <v>26265.59</v>
      </c>
      <c r="H41" s="193"/>
    </row>
    <row r="42" spans="2:8" x14ac:dyDescent="0.2">
      <c r="B42" s="381" t="s">
        <v>42</v>
      </c>
      <c r="C42" s="208">
        <f>SUM(C34:C41)</f>
        <v>7117304.8100000005</v>
      </c>
      <c r="D42" s="208">
        <f>SUM(D34:D41)</f>
        <v>-4649573.51</v>
      </c>
      <c r="E42" s="208">
        <f t="shared" si="0"/>
        <v>2467731.3000000007</v>
      </c>
      <c r="F42" s="208">
        <f>SUM(F34:F41)</f>
        <v>2400086.33</v>
      </c>
      <c r="G42" s="208">
        <f>SUM(G34:G41)</f>
        <v>2166324.36</v>
      </c>
      <c r="H42" s="172"/>
    </row>
    <row r="43" spans="2:8" x14ac:dyDescent="0.2">
      <c r="B43" s="194"/>
      <c r="C43" s="175"/>
      <c r="D43" s="175"/>
      <c r="E43" s="175"/>
      <c r="F43" s="175"/>
      <c r="G43" s="175"/>
      <c r="H43" s="176"/>
    </row>
    <row r="44" spans="2:8" x14ac:dyDescent="0.2">
      <c r="B44" s="195" t="s">
        <v>72</v>
      </c>
      <c r="C44" s="171" t="s">
        <v>71</v>
      </c>
      <c r="D44" s="196" t="s">
        <v>70</v>
      </c>
      <c r="E44" s="191" t="s">
        <v>366</v>
      </c>
      <c r="F44" s="191" t="s">
        <v>310</v>
      </c>
      <c r="G44" s="191" t="s">
        <v>367</v>
      </c>
      <c r="H44" s="197"/>
    </row>
    <row r="45" spans="2:8" x14ac:dyDescent="0.2">
      <c r="B45" s="173" t="s">
        <v>14</v>
      </c>
      <c r="C45" s="210">
        <v>7840497.5800000001</v>
      </c>
      <c r="D45" s="210">
        <v>-2782182.81</v>
      </c>
      <c r="E45" s="216">
        <f>C45+D45</f>
        <v>5058314.7699999996</v>
      </c>
      <c r="F45" s="210">
        <v>4626364.72</v>
      </c>
      <c r="G45" s="210">
        <v>3348548.58</v>
      </c>
      <c r="H45" s="193"/>
    </row>
    <row r="46" spans="2:8" x14ac:dyDescent="0.2">
      <c r="B46" s="381" t="s">
        <v>42</v>
      </c>
      <c r="C46" s="216">
        <f>C45</f>
        <v>7840497.5800000001</v>
      </c>
      <c r="D46" s="216">
        <f>D45</f>
        <v>-2782182.81</v>
      </c>
      <c r="E46" s="216">
        <f>C45+D45</f>
        <v>5058314.7699999996</v>
      </c>
      <c r="F46" s="216">
        <f>F45</f>
        <v>4626364.72</v>
      </c>
      <c r="G46" s="216">
        <f>G45</f>
        <v>3348548.58</v>
      </c>
      <c r="H46" s="198"/>
    </row>
    <row r="47" spans="2:8" x14ac:dyDescent="0.2">
      <c r="B47" s="194"/>
      <c r="C47" s="175"/>
      <c r="D47" s="175"/>
      <c r="E47" s="175"/>
      <c r="F47" s="175"/>
      <c r="G47" s="175"/>
      <c r="H47" s="176"/>
    </row>
    <row r="48" spans="2:8" x14ac:dyDescent="0.2">
      <c r="B48" s="170" t="s">
        <v>42</v>
      </c>
      <c r="C48" s="199">
        <f>C42+C46</f>
        <v>14957802.390000001</v>
      </c>
      <c r="D48" s="199">
        <f>D46+D42</f>
        <v>-7431756.3200000003</v>
      </c>
      <c r="E48" s="199">
        <f>E42+E46</f>
        <v>7526046.0700000003</v>
      </c>
      <c r="F48" s="199">
        <f>F46+F42</f>
        <v>7026451.0499999998</v>
      </c>
      <c r="G48" s="199">
        <f>G42+G46</f>
        <v>5514872.9399999995</v>
      </c>
      <c r="H48" s="164"/>
    </row>
    <row r="50" spans="2:8" x14ac:dyDescent="0.2">
      <c r="G50" s="169"/>
      <c r="H50" s="200"/>
    </row>
    <row r="51" spans="2:8" x14ac:dyDescent="0.2">
      <c r="G51" s="169"/>
      <c r="H51" s="200"/>
    </row>
    <row r="52" spans="2:8" ht="15.75" x14ac:dyDescent="0.25">
      <c r="B52" s="259" t="s">
        <v>86</v>
      </c>
      <c r="C52" s="260" t="s">
        <v>84</v>
      </c>
      <c r="D52" s="261">
        <v>153391841.62</v>
      </c>
      <c r="E52" s="385"/>
      <c r="G52" s="169"/>
      <c r="H52" s="200"/>
    </row>
    <row r="53" spans="2:8" ht="15.75" x14ac:dyDescent="0.25">
      <c r="B53" s="247"/>
      <c r="C53" s="248"/>
      <c r="D53" s="248"/>
      <c r="E53" s="248"/>
      <c r="G53" s="169"/>
      <c r="H53" s="201"/>
    </row>
    <row r="54" spans="2:8" ht="15.75" x14ac:dyDescent="0.25">
      <c r="B54" s="244" t="s">
        <v>311</v>
      </c>
      <c r="C54" s="249" t="s">
        <v>81</v>
      </c>
      <c r="D54" s="250">
        <f>SUM(C55:C58)</f>
        <v>141670082.22</v>
      </c>
      <c r="E54" s="386"/>
      <c r="F54" s="202"/>
    </row>
    <row r="55" spans="2:8" ht="15.75" x14ac:dyDescent="0.25">
      <c r="B55" s="251" t="s">
        <v>82</v>
      </c>
      <c r="C55" s="252">
        <v>92356898.030000001</v>
      </c>
      <c r="D55" s="248"/>
      <c r="E55" s="248"/>
    </row>
    <row r="56" spans="2:8" ht="15.75" x14ac:dyDescent="0.25">
      <c r="B56" s="251" t="s">
        <v>45</v>
      </c>
      <c r="C56" s="252">
        <v>566168.71</v>
      </c>
      <c r="D56" s="248"/>
      <c r="E56" s="248"/>
    </row>
    <row r="57" spans="2:8" ht="15.75" x14ac:dyDescent="0.25">
      <c r="B57" s="251" t="s">
        <v>133</v>
      </c>
      <c r="C57" s="252">
        <v>218800</v>
      </c>
      <c r="D57" s="248"/>
      <c r="E57" s="248"/>
    </row>
    <row r="58" spans="2:8" ht="15.75" x14ac:dyDescent="0.25">
      <c r="B58" s="251" t="s">
        <v>85</v>
      </c>
      <c r="C58" s="252">
        <v>48528215.479999997</v>
      </c>
      <c r="D58" s="248"/>
      <c r="E58" s="248"/>
      <c r="F58" s="202"/>
    </row>
    <row r="59" spans="2:8" ht="15.75" x14ac:dyDescent="0.25">
      <c r="B59" s="247"/>
      <c r="C59" s="248"/>
      <c r="D59" s="248"/>
      <c r="E59" s="248"/>
    </row>
    <row r="60" spans="2:8" ht="31.5" x14ac:dyDescent="0.25">
      <c r="B60" s="253" t="s">
        <v>116</v>
      </c>
      <c r="C60" s="254" t="s">
        <v>83</v>
      </c>
      <c r="D60" s="255">
        <f>16751694.84+182996920.3</f>
        <v>199748615.14000002</v>
      </c>
      <c r="E60" s="387"/>
    </row>
    <row r="61" spans="2:8" ht="15.75" x14ac:dyDescent="0.25">
      <c r="B61" s="256"/>
      <c r="C61" s="257"/>
      <c r="D61" s="258"/>
      <c r="E61" s="258"/>
    </row>
    <row r="62" spans="2:8" ht="15.75" x14ac:dyDescent="0.25">
      <c r="B62" s="244" t="s">
        <v>312</v>
      </c>
      <c r="C62" s="245" t="s">
        <v>84</v>
      </c>
      <c r="D62" s="246">
        <f>D52-D54+D60</f>
        <v>211470374.54000002</v>
      </c>
      <c r="E62" s="388"/>
      <c r="F62" s="202"/>
    </row>
    <row r="65" spans="2:6" x14ac:dyDescent="0.2">
      <c r="F65" s="203"/>
    </row>
    <row r="67" spans="2:6" ht="15.75" x14ac:dyDescent="0.25">
      <c r="B67" s="259" t="s">
        <v>312</v>
      </c>
      <c r="C67" s="260" t="s">
        <v>84</v>
      </c>
      <c r="D67" s="261">
        <f>D62</f>
        <v>211470374.54000002</v>
      </c>
    </row>
    <row r="68" spans="2:6" ht="15.75" x14ac:dyDescent="0.25">
      <c r="B68" s="247"/>
      <c r="C68" s="248"/>
      <c r="D68" s="248"/>
    </row>
    <row r="69" spans="2:6" ht="15.75" x14ac:dyDescent="0.25">
      <c r="B69" s="244" t="s">
        <v>373</v>
      </c>
      <c r="C69" s="249" t="s">
        <v>81</v>
      </c>
      <c r="D69" s="250">
        <f>SUM(C70:C73)</f>
        <v>64694037.629999995</v>
      </c>
    </row>
    <row r="70" spans="2:6" ht="15.75" x14ac:dyDescent="0.25">
      <c r="B70" s="251" t="s">
        <v>82</v>
      </c>
      <c r="C70" s="252">
        <v>60772607.25</v>
      </c>
      <c r="D70" s="248"/>
    </row>
    <row r="71" spans="2:6" ht="15.75" x14ac:dyDescent="0.25">
      <c r="B71" s="251" t="s">
        <v>45</v>
      </c>
      <c r="C71" s="252">
        <v>27486.55</v>
      </c>
      <c r="D71" s="248"/>
    </row>
    <row r="72" spans="2:6" ht="15.75" x14ac:dyDescent="0.25">
      <c r="B72" s="251" t="s">
        <v>327</v>
      </c>
      <c r="C72" s="252">
        <v>839999</v>
      </c>
      <c r="D72" s="248"/>
    </row>
    <row r="73" spans="2:6" ht="15.75" x14ac:dyDescent="0.25">
      <c r="B73" s="251" t="s">
        <v>85</v>
      </c>
      <c r="C73" s="252">
        <v>3053944.83</v>
      </c>
      <c r="D73" s="248"/>
    </row>
    <row r="74" spans="2:6" ht="15.75" x14ac:dyDescent="0.25">
      <c r="B74" s="247"/>
      <c r="C74" s="248"/>
      <c r="D74" s="248"/>
    </row>
    <row r="75" spans="2:6" ht="15.75" x14ac:dyDescent="0.25">
      <c r="B75" s="253" t="s">
        <v>374</v>
      </c>
      <c r="C75" s="254" t="s">
        <v>81</v>
      </c>
      <c r="D75" s="255">
        <f>30147033.54</f>
        <v>30147033.539999999</v>
      </c>
      <c r="F75" s="167"/>
    </row>
    <row r="76" spans="2:6" ht="15.75" x14ac:dyDescent="0.25">
      <c r="B76" s="256"/>
      <c r="C76" s="257"/>
      <c r="D76" s="258"/>
    </row>
    <row r="77" spans="2:6" ht="15.75" x14ac:dyDescent="0.25">
      <c r="B77" s="244" t="s">
        <v>375</v>
      </c>
      <c r="C77" s="245" t="s">
        <v>84</v>
      </c>
      <c r="D77" s="246">
        <f>D67-D69-D75</f>
        <v>116629303.37000003</v>
      </c>
    </row>
    <row r="79" spans="2:6" x14ac:dyDescent="0.2">
      <c r="D79" s="391"/>
    </row>
  </sheetData>
  <mergeCells count="4">
    <mergeCell ref="B15:C15"/>
    <mergeCell ref="B25:C25"/>
    <mergeCell ref="G5:H5"/>
    <mergeCell ref="B13:C13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showGridLines="0" workbookViewId="0">
      <selection activeCell="G25" sqref="G25"/>
    </sheetView>
  </sheetViews>
  <sheetFormatPr defaultRowHeight="12" x14ac:dyDescent="0.2"/>
  <cols>
    <col min="1" max="1" width="59.5" style="217" customWidth="1"/>
    <col min="2" max="2" width="21.83203125" style="217" customWidth="1"/>
    <col min="3" max="4" width="15.6640625" style="217" bestFit="1" customWidth="1"/>
    <col min="5" max="5" width="23.1640625" style="217" bestFit="1" customWidth="1"/>
    <col min="6" max="16384" width="9.33203125" style="217"/>
  </cols>
  <sheetData>
    <row r="1" spans="1:4" x14ac:dyDescent="0.2">
      <c r="A1" s="224"/>
      <c r="B1" s="392">
        <v>46112</v>
      </c>
      <c r="C1" s="218">
        <v>46022</v>
      </c>
      <c r="D1" s="218">
        <v>45747</v>
      </c>
    </row>
    <row r="2" spans="1:4" x14ac:dyDescent="0.2">
      <c r="A2" s="225" t="s">
        <v>118</v>
      </c>
      <c r="B2" s="226">
        <f>B3+B5</f>
        <v>137844804.21999997</v>
      </c>
      <c r="C2" s="226">
        <f>C3+C5</f>
        <v>729809969.83999991</v>
      </c>
      <c r="D2" s="226">
        <f>D3+D5</f>
        <v>118592671.97</v>
      </c>
    </row>
    <row r="3" spans="1:4" x14ac:dyDescent="0.2">
      <c r="A3" s="223" t="s">
        <v>115</v>
      </c>
      <c r="B3" s="227">
        <v>22019854.5</v>
      </c>
      <c r="C3" s="227">
        <v>87791894.099999994</v>
      </c>
      <c r="D3" s="228">
        <v>16094665.82</v>
      </c>
    </row>
    <row r="4" spans="1:4" x14ac:dyDescent="0.2">
      <c r="A4" s="223"/>
      <c r="B4" s="393"/>
      <c r="C4" s="227"/>
      <c r="D4" s="228"/>
    </row>
    <row r="5" spans="1:4" x14ac:dyDescent="0.2">
      <c r="A5" s="225" t="s">
        <v>226</v>
      </c>
      <c r="B5" s="229">
        <f>B6+B8+B9+B10+B7</f>
        <v>115824949.71999998</v>
      </c>
      <c r="C5" s="229">
        <f>C6+C8+C9+C10+C7</f>
        <v>642018075.73999989</v>
      </c>
      <c r="D5" s="229">
        <f>D6+D8+D9</f>
        <v>102498006.15000001</v>
      </c>
    </row>
    <row r="6" spans="1:4" x14ac:dyDescent="0.2">
      <c r="A6" s="223" t="s">
        <v>321</v>
      </c>
      <c r="B6" s="393">
        <f>18450852.72+59280118.26+328773.97</f>
        <v>78059744.949999988</v>
      </c>
      <c r="C6" s="227">
        <f>496487962.87+6000022.85+218800</f>
        <v>502706785.72000003</v>
      </c>
      <c r="D6" s="228">
        <v>71276056.180000007</v>
      </c>
    </row>
    <row r="7" spans="1:4" x14ac:dyDescent="0.2">
      <c r="A7" s="223" t="s">
        <v>322</v>
      </c>
      <c r="B7" s="393">
        <v>11946226.99</v>
      </c>
      <c r="C7" s="227">
        <v>22348361.550000001</v>
      </c>
      <c r="D7" s="228">
        <v>0</v>
      </c>
    </row>
    <row r="8" spans="1:4" x14ac:dyDescent="0.2">
      <c r="A8" s="223" t="s">
        <v>98</v>
      </c>
      <c r="B8" s="393">
        <v>24806623.870000001</v>
      </c>
      <c r="C8" s="227">
        <v>114625117.16</v>
      </c>
      <c r="D8" s="228">
        <v>31211394.870000001</v>
      </c>
    </row>
    <row r="9" spans="1:4" x14ac:dyDescent="0.2">
      <c r="A9" s="223" t="s">
        <v>45</v>
      </c>
      <c r="B9" s="393">
        <f>144868.36+27486.55</f>
        <v>172354.90999999997</v>
      </c>
      <c r="C9" s="227">
        <v>657811.31000000006</v>
      </c>
      <c r="D9" s="228">
        <v>10555.1</v>
      </c>
    </row>
    <row r="10" spans="1:4" x14ac:dyDescent="0.2">
      <c r="A10" s="223" t="s">
        <v>104</v>
      </c>
      <c r="B10" s="393">
        <v>839999</v>
      </c>
      <c r="C10" s="227">
        <v>1680000</v>
      </c>
      <c r="D10" s="228">
        <v>0</v>
      </c>
    </row>
    <row r="11" spans="1:4" x14ac:dyDescent="0.2">
      <c r="A11" s="223"/>
      <c r="B11" s="393"/>
      <c r="C11" s="227"/>
      <c r="D11" s="228"/>
    </row>
    <row r="12" spans="1:4" x14ac:dyDescent="0.2">
      <c r="A12" s="224"/>
      <c r="B12" s="394"/>
      <c r="C12" s="228"/>
      <c r="D12" s="228"/>
    </row>
    <row r="13" spans="1:4" x14ac:dyDescent="0.2">
      <c r="A13" s="225" t="s">
        <v>119</v>
      </c>
      <c r="B13" s="229">
        <f>B14</f>
        <v>19143.3</v>
      </c>
      <c r="C13" s="229">
        <f>C14</f>
        <v>646890.93000000005</v>
      </c>
      <c r="D13" s="229">
        <f>D14</f>
        <v>147282.34</v>
      </c>
    </row>
    <row r="14" spans="1:4" x14ac:dyDescent="0.2">
      <c r="A14" s="224" t="s">
        <v>120</v>
      </c>
      <c r="B14" s="394">
        <v>19143.3</v>
      </c>
      <c r="C14" s="228">
        <v>646890.93000000005</v>
      </c>
      <c r="D14" s="228">
        <v>147282.34</v>
      </c>
    </row>
    <row r="15" spans="1:4" x14ac:dyDescent="0.2">
      <c r="A15" s="224"/>
      <c r="B15" s="394"/>
      <c r="C15" s="228"/>
      <c r="D15" s="228"/>
    </row>
    <row r="16" spans="1:4" x14ac:dyDescent="0.2">
      <c r="A16" s="224"/>
      <c r="B16" s="230">
        <f>B2+B13</f>
        <v>137863947.51999998</v>
      </c>
      <c r="C16" s="230">
        <f>C2+C13</f>
        <v>730456860.76999986</v>
      </c>
      <c r="D16" s="230">
        <f>D2+D13</f>
        <v>118739954.31</v>
      </c>
    </row>
    <row r="17" spans="1:5" x14ac:dyDescent="0.2">
      <c r="A17" s="224"/>
      <c r="B17" s="224"/>
      <c r="C17" s="230"/>
      <c r="D17" s="230"/>
    </row>
    <row r="18" spans="1:5" x14ac:dyDescent="0.2">
      <c r="A18" s="224"/>
      <c r="B18" s="224"/>
      <c r="C18" s="230"/>
      <c r="D18" s="230"/>
    </row>
    <row r="19" spans="1:5" x14ac:dyDescent="0.2">
      <c r="A19" s="224"/>
      <c r="B19" s="224"/>
      <c r="C19" s="230"/>
      <c r="D19" s="230"/>
    </row>
    <row r="22" spans="1:5" x14ac:dyDescent="0.2">
      <c r="B22" s="392">
        <v>46112</v>
      </c>
      <c r="C22" s="218">
        <v>46022</v>
      </c>
      <c r="D22" s="218">
        <v>45747</v>
      </c>
    </row>
    <row r="23" spans="1:5" x14ac:dyDescent="0.2">
      <c r="A23" s="231" t="s">
        <v>100</v>
      </c>
      <c r="B23" s="232">
        <f>B24+B27</f>
        <v>51600083.469999999</v>
      </c>
      <c r="C23" s="232">
        <f>C24+C27</f>
        <v>451094659.12</v>
      </c>
      <c r="D23" s="232">
        <f>D24+D27</f>
        <v>71672685.969999999</v>
      </c>
      <c r="E23" s="218"/>
    </row>
    <row r="24" spans="1:5" x14ac:dyDescent="0.2">
      <c r="A24" s="219" t="s">
        <v>101</v>
      </c>
      <c r="B24" s="221">
        <f>B25</f>
        <v>0</v>
      </c>
      <c r="C24" s="221">
        <f>C25</f>
        <v>431922.2</v>
      </c>
      <c r="D24" s="221">
        <f>D25</f>
        <v>0</v>
      </c>
      <c r="E24" s="221"/>
    </row>
    <row r="25" spans="1:5" x14ac:dyDescent="0.2">
      <c r="A25" s="220" t="s">
        <v>102</v>
      </c>
      <c r="B25" s="395">
        <v>0</v>
      </c>
      <c r="C25" s="222">
        <v>431922.2</v>
      </c>
      <c r="D25" s="222">
        <v>0</v>
      </c>
      <c r="E25" s="222"/>
    </row>
    <row r="26" spans="1:5" x14ac:dyDescent="0.2">
      <c r="A26" s="402"/>
      <c r="B26" s="402"/>
      <c r="C26" s="402"/>
      <c r="D26" s="222"/>
      <c r="E26" s="222"/>
    </row>
    <row r="27" spans="1:5" x14ac:dyDescent="0.2">
      <c r="A27" s="219" t="s">
        <v>103</v>
      </c>
      <c r="B27" s="221">
        <f>SUM(B28:B32)</f>
        <v>51600083.469999999</v>
      </c>
      <c r="C27" s="221">
        <f>SUM(C28:C32)</f>
        <v>450662736.92000002</v>
      </c>
      <c r="D27" s="221">
        <f>SUM(D28:D32)</f>
        <v>71672685.969999999</v>
      </c>
      <c r="E27" s="221"/>
    </row>
    <row r="28" spans="1:5" x14ac:dyDescent="0.2">
      <c r="A28" s="220" t="s">
        <v>97</v>
      </c>
      <c r="B28" s="395">
        <v>25953460.600000001</v>
      </c>
      <c r="C28" s="222">
        <f>324461280.43+7640275.62</f>
        <v>332101556.05000001</v>
      </c>
      <c r="D28" s="222">
        <v>40461291.100000001</v>
      </c>
      <c r="E28" s="222"/>
    </row>
    <row r="29" spans="1:5" x14ac:dyDescent="0.2">
      <c r="A29" s="220" t="s">
        <v>98</v>
      </c>
      <c r="B29" s="395">
        <v>24806623.870000001</v>
      </c>
      <c r="C29" s="222">
        <f>C8</f>
        <v>114625117.16</v>
      </c>
      <c r="D29" s="222">
        <v>31211394.870000001</v>
      </c>
      <c r="E29" s="222"/>
    </row>
    <row r="30" spans="1:5" x14ac:dyDescent="0.2">
      <c r="A30" s="220" t="s">
        <v>45</v>
      </c>
      <c r="B30" s="395">
        <v>0</v>
      </c>
      <c r="C30" s="222">
        <f>647256.21+1015312.45+317590.25+270925.18</f>
        <v>2251084.09</v>
      </c>
      <c r="D30" s="222">
        <v>0</v>
      </c>
      <c r="E30" s="222"/>
    </row>
    <row r="31" spans="1:5" x14ac:dyDescent="0.2">
      <c r="A31" s="223" t="s">
        <v>104</v>
      </c>
      <c r="B31" s="393">
        <v>839999</v>
      </c>
      <c r="C31" s="222">
        <f>C10</f>
        <v>1680000</v>
      </c>
      <c r="D31" s="222">
        <v>0</v>
      </c>
      <c r="E31" s="222"/>
    </row>
    <row r="32" spans="1:5" x14ac:dyDescent="0.2">
      <c r="A32" s="220" t="s">
        <v>305</v>
      </c>
      <c r="B32" s="395">
        <v>0</v>
      </c>
      <c r="C32" s="222">
        <v>4979.62</v>
      </c>
      <c r="D32" s="222">
        <v>0</v>
      </c>
      <c r="E32" s="222"/>
    </row>
    <row r="33" spans="1:5" x14ac:dyDescent="0.2">
      <c r="A33" s="220"/>
      <c r="B33" s="395"/>
      <c r="C33" s="220"/>
      <c r="D33" s="222"/>
      <c r="E33" s="222"/>
    </row>
    <row r="34" spans="1:5" x14ac:dyDescent="0.2">
      <c r="A34" s="219"/>
      <c r="B34" s="219"/>
      <c r="C34" s="219"/>
      <c r="D34" s="221"/>
      <c r="E34" s="221"/>
    </row>
  </sheetData>
  <mergeCells count="1">
    <mergeCell ref="A26:C26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9"/>
  <sheetViews>
    <sheetView showGridLines="0" workbookViewId="0">
      <selection activeCell="C17" sqref="C17"/>
    </sheetView>
  </sheetViews>
  <sheetFormatPr defaultRowHeight="15.75" x14ac:dyDescent="0.25"/>
  <cols>
    <col min="1" max="1" width="9.33203125" style="2"/>
    <col min="2" max="2" width="42.83203125" style="2" customWidth="1"/>
    <col min="3" max="3" width="33.5" style="2" customWidth="1"/>
    <col min="4" max="4" width="22" style="3" bestFit="1" customWidth="1"/>
    <col min="5" max="5" width="20.83203125" style="2" bestFit="1" customWidth="1"/>
    <col min="6" max="6" width="23.1640625" style="2" bestFit="1" customWidth="1"/>
    <col min="7" max="7" width="18.6640625" style="2" bestFit="1" customWidth="1"/>
    <col min="8" max="16384" width="9.33203125" style="2"/>
  </cols>
  <sheetData>
    <row r="2" spans="2:7" x14ac:dyDescent="0.25">
      <c r="B2" s="5"/>
      <c r="C2" s="5"/>
      <c r="D2" s="6"/>
      <c r="E2" s="5"/>
      <c r="F2" s="403"/>
      <c r="G2" s="403"/>
    </row>
    <row r="3" spans="2:7" x14ac:dyDescent="0.25">
      <c r="B3" s="157" t="s">
        <v>92</v>
      </c>
      <c r="C3" s="157" t="s">
        <v>93</v>
      </c>
      <c r="D3" s="129" t="s">
        <v>227</v>
      </c>
      <c r="E3" s="128"/>
      <c r="F3" s="128"/>
      <c r="G3" s="128"/>
    </row>
    <row r="4" spans="2:7" x14ac:dyDescent="0.25">
      <c r="B4" s="127" t="s">
        <v>95</v>
      </c>
      <c r="C4" s="207" t="s">
        <v>94</v>
      </c>
      <c r="D4" s="131">
        <v>24806623.870000001</v>
      </c>
      <c r="E4" s="56"/>
      <c r="F4" s="56"/>
      <c r="G4" s="56"/>
    </row>
    <row r="5" spans="2:7" x14ac:dyDescent="0.25">
      <c r="B5" s="30"/>
      <c r="C5" s="34"/>
      <c r="D5" s="56"/>
      <c r="E5" s="56"/>
      <c r="F5" s="56"/>
      <c r="G5" s="56"/>
    </row>
    <row r="6" spans="2:7" x14ac:dyDescent="0.25">
      <c r="B6" s="157" t="s">
        <v>92</v>
      </c>
      <c r="C6" s="157" t="s">
        <v>93</v>
      </c>
      <c r="D6" s="129" t="s">
        <v>227</v>
      </c>
      <c r="E6" s="56"/>
      <c r="F6" s="56"/>
      <c r="G6" s="56"/>
    </row>
    <row r="7" spans="2:7" x14ac:dyDescent="0.25">
      <c r="B7" s="204" t="s">
        <v>323</v>
      </c>
      <c r="C7" s="205" t="s">
        <v>306</v>
      </c>
      <c r="D7" s="206">
        <f>D8+D9</f>
        <v>139121702.53</v>
      </c>
      <c r="E7" s="56"/>
      <c r="F7" s="56"/>
      <c r="G7" s="56"/>
    </row>
    <row r="8" spans="2:7" x14ac:dyDescent="0.25">
      <c r="B8" s="127" t="s">
        <v>324</v>
      </c>
      <c r="C8" s="130" t="s">
        <v>96</v>
      </c>
      <c r="D8" s="131">
        <v>137844804.22</v>
      </c>
      <c r="E8" s="56"/>
      <c r="F8" s="56"/>
      <c r="G8" s="56"/>
    </row>
    <row r="9" spans="2:7" x14ac:dyDescent="0.25">
      <c r="B9" s="127" t="s">
        <v>325</v>
      </c>
      <c r="C9" s="130" t="s">
        <v>99</v>
      </c>
      <c r="D9" s="131">
        <v>1276898.31</v>
      </c>
      <c r="E9" s="56"/>
      <c r="F9" s="56"/>
      <c r="G9" s="56"/>
    </row>
  </sheetData>
  <mergeCells count="1">
    <mergeCell ref="F2:G2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6"/>
  <sheetViews>
    <sheetView showGridLines="0" workbookViewId="0">
      <selection activeCell="A2" sqref="A2:D2"/>
    </sheetView>
  </sheetViews>
  <sheetFormatPr defaultRowHeight="14.25" x14ac:dyDescent="0.2"/>
  <cols>
    <col min="1" max="1" width="33.83203125" style="326" bestFit="1" customWidth="1"/>
    <col min="2" max="4" width="21.83203125" style="326" bestFit="1" customWidth="1"/>
    <col min="5" max="5" width="9.33203125" style="326"/>
    <col min="6" max="6" width="18.6640625" style="326" bestFit="1" customWidth="1"/>
    <col min="7" max="16384" width="9.33203125" style="326"/>
  </cols>
  <sheetData>
    <row r="2" spans="1:4" ht="15" x14ac:dyDescent="0.25">
      <c r="A2" s="404" t="s">
        <v>124</v>
      </c>
      <c r="B2" s="404"/>
      <c r="C2" s="404"/>
      <c r="D2" s="405"/>
    </row>
    <row r="3" spans="1:4" ht="15" x14ac:dyDescent="0.25">
      <c r="A3" s="396" t="s">
        <v>62</v>
      </c>
      <c r="B3" s="327">
        <v>46112</v>
      </c>
      <c r="C3" s="327">
        <v>46022</v>
      </c>
      <c r="D3" s="327">
        <v>45747</v>
      </c>
    </row>
    <row r="4" spans="1:4" ht="15" x14ac:dyDescent="0.25">
      <c r="A4" s="397" t="s">
        <v>376</v>
      </c>
      <c r="B4" s="328">
        <v>13305610.48</v>
      </c>
      <c r="C4" s="328">
        <v>55841240.93</v>
      </c>
      <c r="D4" s="328">
        <v>12599959.689999999</v>
      </c>
    </row>
    <row r="5" spans="1:4" ht="15" x14ac:dyDescent="0.25">
      <c r="A5" s="397" t="s">
        <v>125</v>
      </c>
      <c r="B5" s="328">
        <v>3998961.36</v>
      </c>
      <c r="C5" s="328">
        <v>14977282.460000001</v>
      </c>
      <c r="D5" s="328">
        <v>3295813.94</v>
      </c>
    </row>
    <row r="6" spans="1:4" ht="15" x14ac:dyDescent="0.25">
      <c r="A6" s="311"/>
      <c r="B6" s="329">
        <f>B4+B5</f>
        <v>17304571.84</v>
      </c>
      <c r="C6" s="329">
        <f>C4+C5</f>
        <v>70818523.390000001</v>
      </c>
      <c r="D6" s="329">
        <f>D4+D5</f>
        <v>15895773.629999999</v>
      </c>
    </row>
  </sheetData>
  <mergeCells count="1">
    <mergeCell ref="A2:D2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M53"/>
  <sheetViews>
    <sheetView showGridLines="0" tabSelected="1" topLeftCell="B1" zoomScaleNormal="100" workbookViewId="0">
      <selection activeCell="B1" sqref="B1"/>
    </sheetView>
  </sheetViews>
  <sheetFormatPr defaultRowHeight="11.25" x14ac:dyDescent="0.2"/>
  <cols>
    <col min="2" max="2" width="65.6640625" customWidth="1"/>
    <col min="3" max="3" width="9.1640625" customWidth="1"/>
    <col min="4" max="4" width="21.83203125" style="352" customWidth="1"/>
    <col min="5" max="5" width="22.1640625" style="339" customWidth="1"/>
    <col min="6" max="6" width="20.83203125" style="339" customWidth="1"/>
    <col min="9" max="9" width="49.83203125" customWidth="1"/>
    <col min="11" max="11" width="22" style="339" bestFit="1" customWidth="1"/>
    <col min="12" max="12" width="22.5" style="339" customWidth="1"/>
    <col min="13" max="13" width="21.6640625" style="339" customWidth="1"/>
  </cols>
  <sheetData>
    <row r="3" spans="2:13" ht="15.75" x14ac:dyDescent="0.25">
      <c r="B3" s="407" t="s">
        <v>147</v>
      </c>
      <c r="C3" s="407"/>
      <c r="D3" s="407"/>
      <c r="E3" s="407"/>
      <c r="F3" s="407"/>
      <c r="G3" s="407"/>
      <c r="H3" s="407"/>
      <c r="I3" s="407"/>
      <c r="J3" s="407"/>
      <c r="K3" s="407"/>
      <c r="L3" s="407"/>
      <c r="M3" s="407"/>
    </row>
    <row r="4" spans="2:13" ht="15.75" x14ac:dyDescent="0.25">
      <c r="B4" s="407" t="s">
        <v>148</v>
      </c>
      <c r="C4" s="407"/>
      <c r="D4" s="407"/>
      <c r="E4" s="407"/>
      <c r="F4" s="407"/>
      <c r="G4" s="407"/>
      <c r="H4" s="407"/>
      <c r="I4" s="407"/>
      <c r="J4" s="407"/>
      <c r="K4" s="407"/>
      <c r="L4" s="407"/>
      <c r="M4" s="407"/>
    </row>
    <row r="5" spans="2:13" ht="15.75" x14ac:dyDescent="0.25">
      <c r="B5" s="407" t="s">
        <v>347</v>
      </c>
      <c r="C5" s="407"/>
      <c r="D5" s="407"/>
      <c r="E5" s="407"/>
      <c r="F5" s="407"/>
      <c r="G5" s="407"/>
      <c r="H5" s="407"/>
      <c r="I5" s="407"/>
      <c r="J5" s="407"/>
      <c r="K5" s="407"/>
      <c r="L5" s="407"/>
      <c r="M5" s="407"/>
    </row>
    <row r="6" spans="2:13" ht="15.75" x14ac:dyDescent="0.25">
      <c r="B6" s="407" t="s">
        <v>151</v>
      </c>
      <c r="C6" s="407"/>
      <c r="D6" s="407"/>
      <c r="E6" s="407"/>
      <c r="F6" s="407"/>
      <c r="G6" s="407"/>
      <c r="H6" s="407"/>
      <c r="I6" s="407"/>
      <c r="J6" s="407"/>
      <c r="K6" s="407"/>
      <c r="L6" s="407"/>
      <c r="M6" s="407"/>
    </row>
    <row r="7" spans="2:13" ht="15.75" x14ac:dyDescent="0.25">
      <c r="B7" s="24"/>
      <c r="C7" s="25"/>
      <c r="D7" s="24"/>
      <c r="E7" s="332"/>
      <c r="F7" s="332"/>
      <c r="G7" s="24"/>
      <c r="H7" s="24"/>
      <c r="I7" s="24"/>
      <c r="J7" s="24"/>
      <c r="K7" s="332"/>
      <c r="L7" s="332"/>
      <c r="M7" s="332"/>
    </row>
    <row r="8" spans="2:13" ht="15.75" x14ac:dyDescent="0.25">
      <c r="B8" s="24"/>
      <c r="C8" s="25"/>
      <c r="D8" s="24"/>
      <c r="E8" s="332"/>
      <c r="F8" s="332"/>
      <c r="G8" s="24"/>
      <c r="H8" s="24"/>
      <c r="I8" s="24"/>
      <c r="J8" s="24"/>
      <c r="K8" s="332"/>
      <c r="L8" s="332"/>
      <c r="M8" s="332"/>
    </row>
    <row r="9" spans="2:13" ht="15.75" x14ac:dyDescent="0.2">
      <c r="B9" s="408" t="s">
        <v>152</v>
      </c>
      <c r="C9" s="408"/>
      <c r="D9" s="408"/>
      <c r="E9" s="408"/>
      <c r="F9" s="408"/>
      <c r="G9" s="408"/>
      <c r="H9" s="408"/>
      <c r="I9" s="408"/>
      <c r="J9" s="408"/>
      <c r="K9" s="408"/>
      <c r="L9" s="408"/>
      <c r="M9" s="408"/>
    </row>
    <row r="10" spans="2:13" ht="15.75" x14ac:dyDescent="0.2">
      <c r="B10" s="26"/>
      <c r="C10" s="26"/>
      <c r="D10" s="340"/>
      <c r="E10" s="26"/>
      <c r="F10" s="26"/>
      <c r="G10" s="26"/>
      <c r="H10" s="26"/>
      <c r="I10" s="26"/>
      <c r="J10" s="26"/>
      <c r="K10" s="26"/>
      <c r="L10" s="26"/>
      <c r="M10" s="26"/>
    </row>
    <row r="11" spans="2:13" ht="15.75" x14ac:dyDescent="0.25">
      <c r="B11" s="403" t="s">
        <v>121</v>
      </c>
      <c r="C11" s="403"/>
      <c r="D11" s="403"/>
      <c r="E11" s="403"/>
      <c r="F11" s="403"/>
      <c r="G11" s="27"/>
      <c r="H11" s="27"/>
      <c r="I11" s="403" t="s">
        <v>122</v>
      </c>
      <c r="J11" s="403"/>
      <c r="K11" s="403"/>
      <c r="L11" s="403"/>
      <c r="M11" s="403"/>
    </row>
    <row r="12" spans="2:13" ht="15.75" x14ac:dyDescent="0.25">
      <c r="B12" s="25"/>
      <c r="C12" s="25"/>
      <c r="D12" s="24"/>
      <c r="E12" s="332"/>
      <c r="F12" s="332"/>
      <c r="G12" s="28"/>
      <c r="H12" s="28"/>
      <c r="I12" s="27"/>
      <c r="J12" s="27"/>
      <c r="K12" s="331"/>
      <c r="L12" s="331"/>
      <c r="M12" s="332"/>
    </row>
    <row r="13" spans="2:13" ht="15.75" x14ac:dyDescent="0.25">
      <c r="B13" s="4" t="s">
        <v>135</v>
      </c>
      <c r="C13" s="4" t="s">
        <v>153</v>
      </c>
      <c r="D13" s="39">
        <v>46112</v>
      </c>
      <c r="E13" s="39">
        <v>46022</v>
      </c>
      <c r="F13" s="39">
        <v>45747</v>
      </c>
      <c r="G13" s="7"/>
      <c r="H13" s="7"/>
      <c r="I13" s="4" t="s">
        <v>135</v>
      </c>
      <c r="J13" s="4" t="s">
        <v>153</v>
      </c>
      <c r="K13" s="39">
        <v>46112</v>
      </c>
      <c r="L13" s="39">
        <v>46022</v>
      </c>
      <c r="M13" s="39">
        <v>45747</v>
      </c>
    </row>
    <row r="14" spans="2:13" ht="15.75" x14ac:dyDescent="0.25">
      <c r="B14" s="27"/>
      <c r="C14" s="27"/>
      <c r="D14" s="29"/>
      <c r="E14" s="331"/>
      <c r="F14" s="7"/>
      <c r="G14" s="7"/>
      <c r="H14" s="7"/>
      <c r="I14" s="27"/>
      <c r="J14" s="27"/>
      <c r="K14" s="331"/>
      <c r="L14" s="331"/>
      <c r="M14" s="7"/>
    </row>
    <row r="15" spans="2:13" ht="15.75" x14ac:dyDescent="0.25">
      <c r="B15" s="57" t="s">
        <v>154</v>
      </c>
      <c r="C15" s="57"/>
      <c r="D15" s="341">
        <f>SUM(D16:D25)</f>
        <v>176194250.32999998</v>
      </c>
      <c r="E15" s="341">
        <f>SUM(E16:E25)</f>
        <v>285406910.72999996</v>
      </c>
      <c r="F15" s="341">
        <f>SUM(F16:F25)</f>
        <v>103148620.19000001</v>
      </c>
      <c r="G15" s="60"/>
      <c r="H15" s="60"/>
      <c r="I15" s="57" t="s">
        <v>155</v>
      </c>
      <c r="J15" s="57"/>
      <c r="K15" s="341">
        <f>SUM(K16:K26)</f>
        <v>177974188.25999999</v>
      </c>
      <c r="L15" s="341">
        <f>SUM(L16:L26)</f>
        <v>270618835.50999999</v>
      </c>
      <c r="M15" s="341">
        <f>SUM(M16:M26)</f>
        <v>101557726.53999999</v>
      </c>
    </row>
    <row r="16" spans="2:13" ht="15.75" x14ac:dyDescent="0.25">
      <c r="B16" s="58" t="s">
        <v>372</v>
      </c>
      <c r="C16" s="58">
        <v>5</v>
      </c>
      <c r="D16" s="342">
        <f>Balanço!C2+Balanço!C3</f>
        <v>124478339.91</v>
      </c>
      <c r="E16" s="343">
        <f>Balanço!D2+Balanço!D3</f>
        <v>222272361.99000001</v>
      </c>
      <c r="F16" s="344">
        <f>Balanço!G2+Balanço!G3</f>
        <v>81398763.170000002</v>
      </c>
      <c r="G16" s="36"/>
      <c r="H16" s="36"/>
      <c r="I16" s="58" t="s">
        <v>156</v>
      </c>
      <c r="J16" s="58">
        <v>14</v>
      </c>
      <c r="K16" s="342">
        <f>Balanço!C116</f>
        <v>246854.37</v>
      </c>
      <c r="L16" s="342">
        <f>Balanço!D116</f>
        <v>207618.72999999998</v>
      </c>
      <c r="M16" s="342">
        <f>Balanço!G116</f>
        <v>162993.03</v>
      </c>
    </row>
    <row r="17" spans="2:13" ht="15.75" x14ac:dyDescent="0.25">
      <c r="B17" s="58" t="s">
        <v>365</v>
      </c>
      <c r="C17" s="58">
        <v>5</v>
      </c>
      <c r="D17" s="342">
        <f>Balanço!C5</f>
        <v>42307004.850000001</v>
      </c>
      <c r="E17" s="343">
        <f>Balanço!D5</f>
        <v>54040954.159999996</v>
      </c>
      <c r="F17" s="344">
        <f>Balanço!G5</f>
        <v>12040589.609999999</v>
      </c>
      <c r="G17" s="36"/>
      <c r="H17" s="36"/>
      <c r="I17" s="58" t="s">
        <v>15</v>
      </c>
      <c r="J17" s="58">
        <v>14</v>
      </c>
      <c r="K17" s="342">
        <f>Balanço!C127</f>
        <v>2937385.4899999998</v>
      </c>
      <c r="L17" s="342">
        <f>Balanço!D127</f>
        <v>2423417.7600000002</v>
      </c>
      <c r="M17" s="344">
        <f>Balanço!G127</f>
        <v>2195471.0300000003</v>
      </c>
    </row>
    <row r="18" spans="2:13" ht="15.75" x14ac:dyDescent="0.25">
      <c r="B18" s="58" t="s">
        <v>157</v>
      </c>
      <c r="C18" s="58">
        <v>6</v>
      </c>
      <c r="D18" s="342">
        <f>Balanço!C25</f>
        <v>404388.57000000007</v>
      </c>
      <c r="E18" s="343">
        <f>Balanço!D25</f>
        <v>413343.64</v>
      </c>
      <c r="F18" s="344">
        <f>Balanço!G25</f>
        <v>402300.31000000006</v>
      </c>
      <c r="G18" s="36"/>
      <c r="H18" s="36"/>
      <c r="I18" s="58" t="s">
        <v>17</v>
      </c>
      <c r="J18" s="58">
        <v>14</v>
      </c>
      <c r="K18" s="342">
        <f>Balanço!C133</f>
        <v>1048191.02</v>
      </c>
      <c r="L18" s="342">
        <f>Balanço!D133</f>
        <v>1613060.3</v>
      </c>
      <c r="M18" s="344">
        <f>Balanço!G133</f>
        <v>620120.87</v>
      </c>
    </row>
    <row r="19" spans="2:13" ht="15.75" x14ac:dyDescent="0.25">
      <c r="B19" s="58" t="s">
        <v>2</v>
      </c>
      <c r="C19" s="58">
        <v>7</v>
      </c>
      <c r="D19" s="342">
        <f>Balanço!C31</f>
        <v>7644273.8700000001</v>
      </c>
      <c r="E19" s="343">
        <f>Balanço!D31</f>
        <v>7644273.8700000001</v>
      </c>
      <c r="F19" s="344">
        <f>Balanço!G31</f>
        <v>8573488.4600000009</v>
      </c>
      <c r="G19" s="36"/>
      <c r="H19" s="36"/>
      <c r="I19" s="58" t="s">
        <v>22</v>
      </c>
      <c r="J19" s="58">
        <v>15</v>
      </c>
      <c r="K19" s="342">
        <f>Balanço!C151</f>
        <v>23063272.030000001</v>
      </c>
      <c r="L19" s="342">
        <f>Balanço!D151</f>
        <v>3061276.75</v>
      </c>
      <c r="M19" s="344">
        <f>Balanço!G151</f>
        <v>10354905.940000001</v>
      </c>
    </row>
    <row r="20" spans="2:13" ht="15.75" x14ac:dyDescent="0.25">
      <c r="B20" s="58" t="s">
        <v>3</v>
      </c>
      <c r="C20" s="58" t="s">
        <v>360</v>
      </c>
      <c r="D20" s="342">
        <f>Balanço!C36</f>
        <v>611864.14</v>
      </c>
      <c r="E20" s="343">
        <f>Balanço!D36</f>
        <v>437076.33</v>
      </c>
      <c r="F20" s="344">
        <f>Balanço!G36</f>
        <v>557271.56000000006</v>
      </c>
      <c r="G20" s="36"/>
      <c r="H20" s="36"/>
      <c r="I20" s="58" t="s">
        <v>26</v>
      </c>
      <c r="J20" s="58">
        <v>16</v>
      </c>
      <c r="K20" s="342">
        <f>Balanço!C157</f>
        <v>7614499.3799999999</v>
      </c>
      <c r="L20" s="342">
        <f>Balanço!D157</f>
        <v>6920347.4900000002</v>
      </c>
      <c r="M20" s="344">
        <f>Balanço!G157</f>
        <v>6871094.5300000003</v>
      </c>
    </row>
    <row r="21" spans="2:13" ht="15.75" x14ac:dyDescent="0.25">
      <c r="B21" s="58" t="s">
        <v>351</v>
      </c>
      <c r="C21" s="58" t="s">
        <v>361</v>
      </c>
      <c r="D21" s="342">
        <f>Balanço!C40</f>
        <v>503405.46</v>
      </c>
      <c r="E21" s="343">
        <v>0</v>
      </c>
      <c r="F21" s="344">
        <v>0</v>
      </c>
      <c r="G21" s="36"/>
      <c r="H21" s="36"/>
      <c r="I21" s="58" t="s">
        <v>90</v>
      </c>
      <c r="J21" s="58">
        <v>17</v>
      </c>
      <c r="K21" s="342">
        <f>Balanço!C163</f>
        <v>138294257.31</v>
      </c>
      <c r="L21" s="342">
        <f>Balanço!D163</f>
        <v>251705646.31999999</v>
      </c>
      <c r="M21" s="344">
        <f>Balanço!G163</f>
        <v>76984427.399999991</v>
      </c>
    </row>
    <row r="22" spans="2:13" ht="15.75" x14ac:dyDescent="0.25">
      <c r="B22" s="58" t="s">
        <v>4</v>
      </c>
      <c r="C22" s="58">
        <v>9</v>
      </c>
      <c r="D22" s="342">
        <f>Balanço!C45</f>
        <v>110023.48000000001</v>
      </c>
      <c r="E22" s="343">
        <f>Balanço!D45</f>
        <v>502821.86</v>
      </c>
      <c r="F22" s="344">
        <f>Balanço!G45</f>
        <v>75868.94</v>
      </c>
      <c r="G22" s="36"/>
      <c r="H22" s="36"/>
      <c r="I22" s="58" t="s">
        <v>158</v>
      </c>
      <c r="J22" s="58">
        <v>18</v>
      </c>
      <c r="K22" s="342">
        <f>Balanço!C172</f>
        <v>4769728.66</v>
      </c>
      <c r="L22" s="342">
        <f>Balanço!D172</f>
        <v>4687468.16</v>
      </c>
      <c r="M22" s="344">
        <f>Balanço!G172</f>
        <v>4368713.74</v>
      </c>
    </row>
    <row r="23" spans="2:13" ht="15.75" x14ac:dyDescent="0.25">
      <c r="B23" s="58" t="s">
        <v>5</v>
      </c>
      <c r="C23" s="58">
        <v>10</v>
      </c>
      <c r="D23" s="343">
        <f>Balanço!C49</f>
        <v>0</v>
      </c>
      <c r="E23" s="343">
        <f>Balanço!D50</f>
        <v>0</v>
      </c>
      <c r="F23" s="344">
        <f>Balanço!G49</f>
        <v>6378.87</v>
      </c>
      <c r="G23" s="36"/>
      <c r="H23" s="36"/>
      <c r="I23" s="58"/>
      <c r="J23" s="58"/>
      <c r="K23" s="345"/>
      <c r="L23" s="343"/>
      <c r="M23" s="344"/>
    </row>
    <row r="24" spans="2:13" ht="15.75" x14ac:dyDescent="0.25">
      <c r="B24" s="58" t="s">
        <v>159</v>
      </c>
      <c r="C24" s="58">
        <v>11</v>
      </c>
      <c r="D24" s="342">
        <f>Balanço!C53</f>
        <v>134950.04999999999</v>
      </c>
      <c r="E24" s="343">
        <f>Balanço!D53</f>
        <v>96078.88</v>
      </c>
      <c r="F24" s="344">
        <f>Balanço!G53</f>
        <v>93959.27</v>
      </c>
      <c r="G24" s="36"/>
      <c r="H24" s="36"/>
      <c r="I24" s="58"/>
      <c r="J24" s="58"/>
      <c r="K24" s="345"/>
      <c r="L24" s="343"/>
      <c r="M24" s="344"/>
    </row>
    <row r="25" spans="2:13" ht="15.75" x14ac:dyDescent="0.25">
      <c r="B25" s="58"/>
      <c r="C25" s="58"/>
      <c r="D25" s="345"/>
      <c r="E25" s="343"/>
      <c r="F25" s="344"/>
      <c r="G25" s="36"/>
      <c r="H25" s="36"/>
      <c r="I25" s="58"/>
      <c r="J25" s="58"/>
      <c r="K25" s="345"/>
      <c r="L25" s="343"/>
      <c r="M25" s="344"/>
    </row>
    <row r="26" spans="2:13" ht="15.75" x14ac:dyDescent="0.25">
      <c r="B26" s="58"/>
      <c r="C26" s="58"/>
      <c r="D26" s="345"/>
      <c r="E26" s="343"/>
      <c r="F26" s="344"/>
      <c r="G26" s="36"/>
      <c r="H26" s="36"/>
      <c r="I26" s="58"/>
      <c r="J26" s="58"/>
      <c r="K26" s="345"/>
      <c r="L26" s="343"/>
      <c r="M26" s="344"/>
    </row>
    <row r="27" spans="2:13" ht="15.75" x14ac:dyDescent="0.25">
      <c r="B27" s="57" t="s">
        <v>160</v>
      </c>
      <c r="C27" s="57"/>
      <c r="D27" s="346">
        <f>D28+D38+D42</f>
        <v>791092205.48999989</v>
      </c>
      <c r="E27" s="346">
        <f>E28+E38+E42</f>
        <v>708469612.82999992</v>
      </c>
      <c r="F27" s="346">
        <f>F28+F38+F42</f>
        <v>552853899.62000012</v>
      </c>
      <c r="G27" s="61"/>
      <c r="H27" s="61"/>
      <c r="I27" s="60"/>
      <c r="J27" s="57"/>
      <c r="K27" s="24"/>
      <c r="L27" s="358"/>
      <c r="M27" s="346"/>
    </row>
    <row r="28" spans="2:13" ht="15.75" x14ac:dyDescent="0.25">
      <c r="B28" s="57" t="s">
        <v>161</v>
      </c>
      <c r="C28" s="57">
        <v>12</v>
      </c>
      <c r="D28" s="346">
        <f>SUM(D29:D37)</f>
        <v>783566159.41999996</v>
      </c>
      <c r="E28" s="346">
        <f>SUM(E29:E37)</f>
        <v>701443161.77999985</v>
      </c>
      <c r="F28" s="346">
        <f>SUM(F29:F37)</f>
        <v>547339026.68000007</v>
      </c>
      <c r="G28" s="61"/>
      <c r="H28" s="61"/>
      <c r="I28" s="60"/>
      <c r="J28" s="57"/>
      <c r="K28" s="24"/>
      <c r="L28" s="358"/>
      <c r="M28" s="346"/>
    </row>
    <row r="29" spans="2:13" ht="15.75" x14ac:dyDescent="0.25">
      <c r="B29" s="58" t="s">
        <v>334</v>
      </c>
      <c r="C29" s="58" t="s">
        <v>162</v>
      </c>
      <c r="D29" s="342">
        <f>Balanço!C59</f>
        <v>51327.44</v>
      </c>
      <c r="E29" s="342">
        <f>Balanço!D59</f>
        <v>51327.44</v>
      </c>
      <c r="F29" s="342">
        <f>Balanço!E59</f>
        <v>91991.72</v>
      </c>
      <c r="G29" s="36"/>
      <c r="H29" s="36"/>
      <c r="I29" s="57"/>
      <c r="J29" s="57"/>
      <c r="K29" s="24"/>
      <c r="L29" s="358"/>
      <c r="M29" s="346"/>
    </row>
    <row r="30" spans="2:13" ht="15.75" x14ac:dyDescent="0.25">
      <c r="B30" s="58" t="s">
        <v>6</v>
      </c>
      <c r="C30" s="58" t="s">
        <v>163</v>
      </c>
      <c r="D30" s="343">
        <f>Balanço!C64</f>
        <v>0</v>
      </c>
      <c r="E30" s="343">
        <v>0</v>
      </c>
      <c r="F30" s="344">
        <v>0</v>
      </c>
      <c r="G30" s="36"/>
      <c r="H30" s="36"/>
      <c r="I30" s="57" t="s">
        <v>164</v>
      </c>
      <c r="J30" s="57"/>
      <c r="K30" s="346">
        <f>SUM(K31:K36)</f>
        <v>1040737.17</v>
      </c>
      <c r="L30" s="346">
        <f>SUM(L31:L36)</f>
        <v>1047000</v>
      </c>
      <c r="M30" s="346">
        <f>SUM(M31:M36)</f>
        <v>2088000</v>
      </c>
    </row>
    <row r="31" spans="2:13" ht="15.75" x14ac:dyDescent="0.25">
      <c r="B31" s="58" t="s">
        <v>165</v>
      </c>
      <c r="C31" s="58" t="s">
        <v>166</v>
      </c>
      <c r="D31" s="342">
        <f>Balanço!C69</f>
        <v>699947.07</v>
      </c>
      <c r="E31" s="343">
        <f>Balanço!D69</f>
        <v>699947.07</v>
      </c>
      <c r="F31" s="344">
        <f>Balanço!G69</f>
        <v>1129756.77</v>
      </c>
      <c r="G31" s="36"/>
      <c r="H31" s="36"/>
      <c r="I31" s="58" t="s">
        <v>167</v>
      </c>
      <c r="J31" s="58" t="s">
        <v>234</v>
      </c>
      <c r="K31" s="342">
        <f>Balanço!C180</f>
        <v>1040737.17</v>
      </c>
      <c r="L31" s="343">
        <f>Balanço!D180</f>
        <v>1047000</v>
      </c>
      <c r="M31" s="344">
        <f>Balanço!G180</f>
        <v>2088000</v>
      </c>
    </row>
    <row r="32" spans="2:13" ht="15.75" x14ac:dyDescent="0.25">
      <c r="B32" s="58" t="s">
        <v>168</v>
      </c>
      <c r="C32" s="58" t="s">
        <v>169</v>
      </c>
      <c r="D32" s="342">
        <f>Balanço!C75</f>
        <v>1791731.8399999999</v>
      </c>
      <c r="E32" s="342">
        <f>Balanço!D75</f>
        <v>2120641.9700000002</v>
      </c>
      <c r="F32" s="342">
        <f>Balanço!E75</f>
        <v>2163854.64</v>
      </c>
      <c r="G32" s="36"/>
      <c r="H32" s="36"/>
      <c r="I32" s="58"/>
      <c r="J32" s="58"/>
      <c r="K32" s="345"/>
      <c r="L32" s="343"/>
      <c r="M32" s="344"/>
    </row>
    <row r="33" spans="2:13" ht="15.75" x14ac:dyDescent="0.25">
      <c r="B33" s="58" t="s">
        <v>4</v>
      </c>
      <c r="C33" s="58" t="s">
        <v>170</v>
      </c>
      <c r="D33" s="342">
        <f>Balanço!C79</f>
        <v>903458.19</v>
      </c>
      <c r="E33" s="342">
        <f>Balanço!D79</f>
        <v>373527.44</v>
      </c>
      <c r="F33" s="342">
        <f>Balanço!G79</f>
        <v>747771.07</v>
      </c>
      <c r="G33" s="36"/>
      <c r="H33" s="36"/>
      <c r="I33" s="58"/>
      <c r="J33" s="58"/>
      <c r="K33" s="345"/>
      <c r="L33" s="343"/>
      <c r="M33" s="344"/>
    </row>
    <row r="34" spans="2:13" ht="15.75" x14ac:dyDescent="0.25">
      <c r="B34" s="58" t="s">
        <v>171</v>
      </c>
      <c r="C34" s="58" t="s">
        <v>172</v>
      </c>
      <c r="D34" s="342">
        <f>Balanço!C86</f>
        <v>777827333.35000002</v>
      </c>
      <c r="E34" s="343">
        <f>Balanço!D86</f>
        <v>695905356.32999992</v>
      </c>
      <c r="F34" s="344">
        <f>Balanço!G86</f>
        <v>543205652.48000002</v>
      </c>
      <c r="G34" s="36"/>
      <c r="H34" s="36"/>
      <c r="I34" s="58"/>
      <c r="J34" s="58"/>
      <c r="K34" s="345"/>
      <c r="L34" s="343"/>
      <c r="M34" s="359"/>
    </row>
    <row r="35" spans="2:13" ht="15.75" x14ac:dyDescent="0.25">
      <c r="B35" s="58" t="s">
        <v>307</v>
      </c>
      <c r="C35" s="58" t="s">
        <v>308</v>
      </c>
      <c r="D35" s="342">
        <f>Balanço!C90</f>
        <v>2292361.5299999998</v>
      </c>
      <c r="E35" s="343">
        <f>Balanço!D90</f>
        <v>2292361.5299999998</v>
      </c>
      <c r="F35" s="344">
        <v>0</v>
      </c>
      <c r="G35" s="36"/>
      <c r="H35" s="36"/>
      <c r="I35" s="58"/>
      <c r="J35" s="58"/>
      <c r="K35" s="345"/>
      <c r="L35" s="343"/>
      <c r="M35" s="359"/>
    </row>
    <row r="36" spans="2:13" ht="15.75" x14ac:dyDescent="0.25">
      <c r="B36" s="58"/>
      <c r="C36" s="58"/>
      <c r="D36" s="345"/>
      <c r="E36" s="343"/>
      <c r="F36" s="344"/>
      <c r="G36" s="36"/>
      <c r="H36" s="36"/>
      <c r="I36" s="57"/>
      <c r="J36" s="57"/>
      <c r="K36" s="24"/>
      <c r="L36" s="358"/>
      <c r="M36" s="346"/>
    </row>
    <row r="37" spans="2:13" ht="15.75" x14ac:dyDescent="0.25">
      <c r="B37" s="58"/>
      <c r="C37" s="58"/>
      <c r="D37" s="345"/>
      <c r="E37" s="343"/>
      <c r="F37" s="344"/>
      <c r="G37" s="36"/>
      <c r="H37" s="36"/>
      <c r="I37" s="57"/>
      <c r="J37" s="57"/>
      <c r="K37" s="24"/>
      <c r="L37" s="358"/>
      <c r="M37" s="346"/>
    </row>
    <row r="38" spans="2:13" ht="15.75" x14ac:dyDescent="0.25">
      <c r="B38" s="382" t="s">
        <v>173</v>
      </c>
      <c r="C38" s="382">
        <v>13</v>
      </c>
      <c r="D38" s="347">
        <f>SUM(D39:D40)</f>
        <v>2467731.2999999998</v>
      </c>
      <c r="E38" s="347">
        <f>SUM(E39:E40)</f>
        <v>2400086.3299999991</v>
      </c>
      <c r="F38" s="347">
        <f>SUM(F39:F40)</f>
        <v>2166324.3600000003</v>
      </c>
      <c r="G38" s="38"/>
      <c r="H38" s="38"/>
      <c r="I38" s="58"/>
      <c r="J38" s="58"/>
      <c r="K38" s="345"/>
      <c r="L38" s="343"/>
      <c r="M38" s="344"/>
    </row>
    <row r="39" spans="2:13" ht="15.75" x14ac:dyDescent="0.25">
      <c r="B39" s="58" t="s">
        <v>174</v>
      </c>
      <c r="C39" s="409" t="s">
        <v>314</v>
      </c>
      <c r="D39" s="343">
        <f>Balanço!C101</f>
        <v>7117304.8099999996</v>
      </c>
      <c r="E39" s="343">
        <f>Balanço!D101</f>
        <v>6784688.8099999996</v>
      </c>
      <c r="F39" s="343">
        <f>Balanço!G101</f>
        <v>5992053.7800000003</v>
      </c>
      <c r="G39" s="36"/>
      <c r="H39" s="36"/>
      <c r="I39" s="57" t="s">
        <v>32</v>
      </c>
      <c r="J39" s="57">
        <v>21</v>
      </c>
      <c r="K39" s="346">
        <f>SUM(K40:K44)</f>
        <v>788271530.38999987</v>
      </c>
      <c r="L39" s="346">
        <f>SUM(L40:L44)</f>
        <v>722210688.04999995</v>
      </c>
      <c r="M39" s="346">
        <f>SUM(M40:M44)</f>
        <v>552356793.26999998</v>
      </c>
    </row>
    <row r="40" spans="2:13" ht="15.75" x14ac:dyDescent="0.25">
      <c r="B40" s="58" t="s">
        <v>175</v>
      </c>
      <c r="C40" s="409"/>
      <c r="D40" s="343">
        <v>-4649573.51</v>
      </c>
      <c r="E40" s="343">
        <v>-4384602.4800000004</v>
      </c>
      <c r="F40" s="344">
        <f>Balanço!G102</f>
        <v>-3825729.42</v>
      </c>
      <c r="G40" s="36"/>
      <c r="H40" s="36"/>
      <c r="I40" s="58" t="s">
        <v>33</v>
      </c>
      <c r="J40" s="58" t="s">
        <v>176</v>
      </c>
      <c r="K40" s="342">
        <f>Balanço!C188</f>
        <v>196133567.16</v>
      </c>
      <c r="L40" s="343">
        <f>Balanço!E188</f>
        <v>196133567.16</v>
      </c>
      <c r="M40" s="344">
        <v>196133567.16</v>
      </c>
    </row>
    <row r="41" spans="2:13" ht="15.75" x14ac:dyDescent="0.25">
      <c r="B41" s="58"/>
      <c r="C41" s="58"/>
      <c r="D41" s="345"/>
      <c r="E41" s="343"/>
      <c r="F41" s="347"/>
      <c r="G41" s="38"/>
      <c r="H41" s="38"/>
      <c r="I41" s="58" t="s">
        <v>177</v>
      </c>
      <c r="J41" s="58" t="s">
        <v>176</v>
      </c>
      <c r="K41" s="343">
        <f>Balanço!D189</f>
        <v>-8877149.1300000008</v>
      </c>
      <c r="L41" s="343">
        <f>Balanço!E189</f>
        <v>-8877149.1300000008</v>
      </c>
      <c r="M41" s="344">
        <v>-8877149.1300000008</v>
      </c>
    </row>
    <row r="42" spans="2:13" ht="15.75" x14ac:dyDescent="0.25">
      <c r="B42" s="382" t="s">
        <v>178</v>
      </c>
      <c r="C42" s="382">
        <v>13</v>
      </c>
      <c r="D42" s="347">
        <f>SUM(D43:D44)</f>
        <v>5058314.7699999996</v>
      </c>
      <c r="E42" s="347">
        <f>SUM(E43:E44)</f>
        <v>4626364.72</v>
      </c>
      <c r="F42" s="347">
        <f>SUM(F43:F44)</f>
        <v>3348548.58</v>
      </c>
      <c r="G42" s="38"/>
      <c r="H42" s="38"/>
      <c r="I42" s="58" t="s">
        <v>179</v>
      </c>
      <c r="J42" s="58" t="s">
        <v>180</v>
      </c>
      <c r="K42" s="343">
        <f>Balanço!C193</f>
        <v>974381850.53999996</v>
      </c>
      <c r="L42" s="343">
        <f>Balanço!D193</f>
        <v>974381850.53999996</v>
      </c>
      <c r="M42" s="344">
        <v>773787983.70000005</v>
      </c>
    </row>
    <row r="43" spans="2:13" ht="15.75" x14ac:dyDescent="0.25">
      <c r="B43" s="58" t="s">
        <v>14</v>
      </c>
      <c r="C43" s="409" t="s">
        <v>315</v>
      </c>
      <c r="D43" s="343">
        <f>Balanço!C106</f>
        <v>7840497.5800000001</v>
      </c>
      <c r="E43" s="343">
        <f>Balanço!D106</f>
        <v>7078508.8399999999</v>
      </c>
      <c r="F43" s="343">
        <f>Balanço!G106</f>
        <v>5000709.75</v>
      </c>
      <c r="G43" s="36"/>
      <c r="H43" s="36"/>
      <c r="I43" s="58" t="s">
        <v>181</v>
      </c>
      <c r="J43" s="58" t="s">
        <v>182</v>
      </c>
      <c r="K43" s="343">
        <f>Balanço!C195</f>
        <v>-373365102.18000001</v>
      </c>
      <c r="L43" s="343">
        <f>Balanço!D195</f>
        <v>-439425944.51999998</v>
      </c>
      <c r="M43" s="344">
        <f>Balanço!G195</f>
        <v>-408685972.45999998</v>
      </c>
    </row>
    <row r="44" spans="2:13" ht="15.75" x14ac:dyDescent="0.25">
      <c r="B44" s="58" t="s">
        <v>183</v>
      </c>
      <c r="C44" s="409"/>
      <c r="D44" s="343">
        <v>-2782182.81</v>
      </c>
      <c r="E44" s="343">
        <v>-2452144.12</v>
      </c>
      <c r="F44" s="344">
        <f>Balanço!G107</f>
        <v>-1652161.17</v>
      </c>
      <c r="G44" s="36"/>
      <c r="H44" s="36"/>
      <c r="I44" s="58" t="s">
        <v>144</v>
      </c>
      <c r="J44" s="58" t="s">
        <v>184</v>
      </c>
      <c r="K44" s="343">
        <f>Balanço!D199</f>
        <v>-1636</v>
      </c>
      <c r="L44" s="343">
        <f>Balanço!E199</f>
        <v>-1636</v>
      </c>
      <c r="M44" s="344">
        <v>-1636</v>
      </c>
    </row>
    <row r="45" spans="2:13" ht="15.75" x14ac:dyDescent="0.25">
      <c r="B45" s="30"/>
      <c r="C45" s="30"/>
      <c r="D45" s="348"/>
      <c r="E45" s="349"/>
      <c r="F45" s="344"/>
      <c r="G45" s="36"/>
      <c r="H45" s="36"/>
      <c r="I45" s="30"/>
      <c r="J45" s="30"/>
      <c r="K45" s="348"/>
      <c r="L45" s="349"/>
      <c r="M45" s="344"/>
    </row>
    <row r="46" spans="2:13" ht="15.75" x14ac:dyDescent="0.25">
      <c r="B46" s="4" t="s">
        <v>185</v>
      </c>
      <c r="C46" s="27"/>
      <c r="D46" s="350">
        <f>D15+D27</f>
        <v>967286455.81999993</v>
      </c>
      <c r="E46" s="350">
        <f>E15+E27</f>
        <v>993876523.55999994</v>
      </c>
      <c r="F46" s="350">
        <f>F15+F27</f>
        <v>656002519.81000018</v>
      </c>
      <c r="G46" s="37"/>
      <c r="H46" s="37"/>
      <c r="I46" s="4" t="s">
        <v>186</v>
      </c>
      <c r="J46" s="27"/>
      <c r="K46" s="350">
        <f>K15+K30+K39</f>
        <v>967286455.81999981</v>
      </c>
      <c r="L46" s="350">
        <f>L15+L30+L39</f>
        <v>993876523.55999994</v>
      </c>
      <c r="M46" s="350">
        <f>M15+M30+M39</f>
        <v>656002519.80999994</v>
      </c>
    </row>
    <row r="47" spans="2:13" ht="15.75" x14ac:dyDescent="0.25">
      <c r="B47" s="29"/>
      <c r="C47" s="27"/>
      <c r="D47" s="390"/>
      <c r="E47" s="390"/>
      <c r="F47" s="390"/>
      <c r="G47" s="31"/>
      <c r="H47" s="31"/>
      <c r="I47" s="29"/>
      <c r="J47" s="29"/>
      <c r="K47" s="331"/>
      <c r="L47" s="32"/>
      <c r="M47" s="37"/>
    </row>
    <row r="48" spans="2:13" ht="15.75" x14ac:dyDescent="0.25">
      <c r="B48" s="33"/>
      <c r="C48" s="34"/>
      <c r="D48" s="35">
        <f>D46-K46</f>
        <v>0</v>
      </c>
      <c r="E48" s="35">
        <f t="shared" ref="E48:F48" si="0">E46-L46</f>
        <v>0</v>
      </c>
      <c r="F48" s="35">
        <f t="shared" si="0"/>
        <v>0</v>
      </c>
      <c r="G48" s="33"/>
      <c r="H48" s="33"/>
      <c r="I48" s="33"/>
      <c r="J48" s="33"/>
      <c r="K48" s="34"/>
      <c r="L48" s="34"/>
      <c r="M48" s="357"/>
    </row>
    <row r="49" spans="2:13" ht="41.25" customHeight="1" x14ac:dyDescent="0.25">
      <c r="B49" s="406" t="s">
        <v>356</v>
      </c>
      <c r="C49" s="406"/>
      <c r="D49" s="406"/>
      <c r="E49" s="406"/>
      <c r="F49" s="406"/>
      <c r="G49" s="406"/>
      <c r="H49" s="406"/>
      <c r="I49" s="406"/>
      <c r="J49" s="406"/>
      <c r="K49" s="406"/>
      <c r="L49" s="406"/>
      <c r="M49" s="406"/>
    </row>
    <row r="50" spans="2:13" ht="15.75" customHeight="1" x14ac:dyDescent="0.25">
      <c r="B50" s="406" t="s">
        <v>377</v>
      </c>
      <c r="C50" s="406"/>
      <c r="D50" s="406"/>
      <c r="E50" s="406"/>
      <c r="F50" s="406"/>
      <c r="G50" s="406"/>
      <c r="H50" s="406"/>
      <c r="I50" s="406"/>
      <c r="J50" s="406"/>
      <c r="K50" s="406"/>
      <c r="L50" s="406"/>
      <c r="M50" s="406"/>
    </row>
    <row r="51" spans="2:13" ht="15.75" x14ac:dyDescent="0.25">
      <c r="B51" s="62"/>
      <c r="C51" s="63"/>
      <c r="D51" s="351"/>
      <c r="E51" s="63"/>
      <c r="F51" s="63"/>
      <c r="G51" s="62"/>
      <c r="H51" s="62"/>
      <c r="I51" s="62"/>
      <c r="J51" s="63"/>
      <c r="K51" s="63"/>
      <c r="L51" s="63"/>
      <c r="M51" s="63"/>
    </row>
    <row r="52" spans="2:13" ht="15.75" x14ac:dyDescent="0.25">
      <c r="B52" s="406" t="s">
        <v>348</v>
      </c>
      <c r="C52" s="406"/>
      <c r="D52" s="406"/>
      <c r="E52" s="406"/>
      <c r="F52" s="406"/>
      <c r="G52" s="406"/>
      <c r="H52" s="406"/>
      <c r="I52" s="406"/>
      <c r="J52" s="406"/>
      <c r="K52" s="406"/>
      <c r="L52" s="406"/>
      <c r="M52" s="406"/>
    </row>
    <row r="53" spans="2:13" ht="15.75" x14ac:dyDescent="0.25">
      <c r="B53" s="34"/>
      <c r="C53" s="34"/>
      <c r="D53" s="33"/>
      <c r="E53" s="34"/>
      <c r="F53" s="34"/>
      <c r="G53" s="34"/>
      <c r="H53" s="34"/>
      <c r="I53" s="34"/>
      <c r="J53" s="34"/>
      <c r="K53" s="34"/>
      <c r="L53" s="34"/>
      <c r="M53" s="34"/>
    </row>
  </sheetData>
  <mergeCells count="12">
    <mergeCell ref="B49:M49"/>
    <mergeCell ref="B50:M50"/>
    <mergeCell ref="B52:M52"/>
    <mergeCell ref="B3:M3"/>
    <mergeCell ref="B4:M4"/>
    <mergeCell ref="B5:M5"/>
    <mergeCell ref="B6:M6"/>
    <mergeCell ref="B9:M9"/>
    <mergeCell ref="B11:F11"/>
    <mergeCell ref="I11:M11"/>
    <mergeCell ref="C39:C40"/>
    <mergeCell ref="C43:C44"/>
  </mergeCells>
  <pageMargins left="0.511811024" right="0.511811024" top="0.78740157499999996" bottom="0.78740157499999996" header="0.31496062000000002" footer="0.31496062000000002"/>
  <pageSetup paperSize="9" scale="6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47"/>
  <sheetViews>
    <sheetView showGridLines="0" topLeftCell="A13" workbookViewId="0">
      <selection activeCell="H42" sqref="H42"/>
    </sheetView>
  </sheetViews>
  <sheetFormatPr defaultRowHeight="15" x14ac:dyDescent="0.25"/>
  <cols>
    <col min="1" max="1" width="9.33203125" style="1"/>
    <col min="2" max="2" width="42.83203125" style="1" bestFit="1" customWidth="1"/>
    <col min="3" max="3" width="19.83203125" style="1" bestFit="1" customWidth="1"/>
    <col min="4" max="4" width="25.5" style="1" bestFit="1" customWidth="1"/>
    <col min="5" max="5" width="25.83203125" style="1" bestFit="1" customWidth="1"/>
    <col min="6" max="6" width="21" style="1" bestFit="1" customWidth="1"/>
    <col min="7" max="8" width="19.83203125" style="1" bestFit="1" customWidth="1"/>
    <col min="9" max="16384" width="9.33203125" style="1"/>
  </cols>
  <sheetData>
    <row r="3" spans="1:13" x14ac:dyDescent="0.25">
      <c r="A3" s="410" t="s">
        <v>147</v>
      </c>
      <c r="B3" s="410"/>
      <c r="C3" s="410"/>
      <c r="D3" s="410"/>
      <c r="E3" s="410"/>
      <c r="F3" s="410"/>
      <c r="G3" s="410"/>
      <c r="H3" s="410"/>
    </row>
    <row r="4" spans="1:13" x14ac:dyDescent="0.25">
      <c r="A4" s="410" t="s">
        <v>148</v>
      </c>
      <c r="B4" s="410"/>
      <c r="C4" s="410"/>
      <c r="D4" s="410"/>
      <c r="E4" s="410"/>
      <c r="F4" s="410"/>
      <c r="G4" s="410"/>
      <c r="H4" s="410"/>
    </row>
    <row r="5" spans="1:13" x14ac:dyDescent="0.25">
      <c r="A5" s="410" t="s">
        <v>347</v>
      </c>
      <c r="B5" s="410"/>
      <c r="C5" s="410"/>
      <c r="D5" s="410"/>
      <c r="E5" s="410"/>
      <c r="F5" s="410"/>
      <c r="G5" s="410"/>
      <c r="H5" s="410"/>
    </row>
    <row r="6" spans="1:13" x14ac:dyDescent="0.25">
      <c r="A6" s="410" t="s">
        <v>149</v>
      </c>
      <c r="B6" s="410"/>
      <c r="C6" s="410"/>
      <c r="D6" s="410"/>
      <c r="E6" s="410"/>
      <c r="F6" s="410"/>
      <c r="G6" s="410"/>
      <c r="H6" s="410"/>
    </row>
    <row r="7" spans="1:13" x14ac:dyDescent="0.25">
      <c r="A7" s="8"/>
      <c r="B7" s="9"/>
      <c r="C7" s="10"/>
      <c r="D7" s="10"/>
      <c r="E7" s="10"/>
      <c r="F7" s="10"/>
      <c r="G7" s="10"/>
      <c r="H7" s="11"/>
    </row>
    <row r="8" spans="1:13" x14ac:dyDescent="0.25">
      <c r="A8" s="8"/>
      <c r="B8" s="8"/>
      <c r="C8" s="10"/>
      <c r="D8" s="10"/>
      <c r="E8" s="10"/>
      <c r="F8" s="10"/>
      <c r="G8" s="10"/>
      <c r="H8" s="11"/>
    </row>
    <row r="9" spans="1:13" x14ac:dyDescent="0.25">
      <c r="A9" s="8"/>
      <c r="B9" s="411" t="s">
        <v>134</v>
      </c>
      <c r="C9" s="411"/>
      <c r="D9" s="411"/>
      <c r="E9" s="411"/>
      <c r="F9" s="411"/>
      <c r="G9" s="411"/>
      <c r="H9" s="411"/>
    </row>
    <row r="10" spans="1:13" x14ac:dyDescent="0.25">
      <c r="A10" s="8"/>
      <c r="B10" s="12"/>
      <c r="C10" s="13"/>
      <c r="D10" s="13"/>
      <c r="E10" s="13"/>
      <c r="F10" s="14"/>
      <c r="G10" s="14"/>
      <c r="H10" s="15"/>
    </row>
    <row r="11" spans="1:13" x14ac:dyDescent="0.25">
      <c r="A11" s="8"/>
      <c r="B11" s="411" t="s">
        <v>135</v>
      </c>
      <c r="C11" s="412" t="s">
        <v>136</v>
      </c>
      <c r="D11" s="412"/>
      <c r="E11" s="16" t="s">
        <v>39</v>
      </c>
      <c r="F11" s="413" t="s">
        <v>137</v>
      </c>
      <c r="G11" s="413" t="s">
        <v>89</v>
      </c>
      <c r="H11" s="416" t="s">
        <v>138</v>
      </c>
    </row>
    <row r="12" spans="1:13" ht="42.75" x14ac:dyDescent="0.25">
      <c r="A12" s="8"/>
      <c r="B12" s="411"/>
      <c r="C12" s="17" t="s">
        <v>36</v>
      </c>
      <c r="D12" s="17" t="s">
        <v>139</v>
      </c>
      <c r="E12" s="17" t="s">
        <v>140</v>
      </c>
      <c r="F12" s="413"/>
      <c r="G12" s="413"/>
      <c r="H12" s="416"/>
    </row>
    <row r="13" spans="1:13" x14ac:dyDescent="0.25">
      <c r="A13" s="8"/>
      <c r="B13" s="18"/>
      <c r="C13" s="19"/>
      <c r="D13" s="19"/>
      <c r="E13" s="19"/>
      <c r="F13" s="20"/>
      <c r="G13" s="20"/>
      <c r="H13" s="21"/>
    </row>
    <row r="14" spans="1:13" x14ac:dyDescent="0.25">
      <c r="A14" s="8"/>
      <c r="B14" s="22"/>
      <c r="C14" s="23"/>
      <c r="D14" s="23"/>
      <c r="E14" s="23"/>
      <c r="F14" s="23"/>
      <c r="G14" s="23"/>
      <c r="H14" s="23"/>
    </row>
    <row r="15" spans="1:13" ht="15.75" x14ac:dyDescent="0.25">
      <c r="A15" s="8"/>
      <c r="B15" s="64" t="s">
        <v>145</v>
      </c>
      <c r="C15" s="65">
        <v>196133567.16</v>
      </c>
      <c r="D15" s="65">
        <v>-8877149.1300000008</v>
      </c>
      <c r="E15" s="65">
        <v>626516510.21000004</v>
      </c>
      <c r="F15" s="65">
        <v>-438517664.07999998</v>
      </c>
      <c r="G15" s="65">
        <v>0</v>
      </c>
      <c r="H15" s="65">
        <f>SUM(C15:G15)</f>
        <v>375255264.16000003</v>
      </c>
      <c r="I15" s="66"/>
      <c r="J15" s="66"/>
      <c r="K15" s="66"/>
      <c r="L15" s="66"/>
      <c r="M15" s="66"/>
    </row>
    <row r="16" spans="1:13" ht="15.75" x14ac:dyDescent="0.25">
      <c r="A16" s="8"/>
      <c r="B16" s="67"/>
      <c r="C16" s="68"/>
      <c r="D16" s="68"/>
      <c r="E16" s="68"/>
      <c r="F16" s="68"/>
      <c r="G16" s="68"/>
      <c r="H16" s="68"/>
      <c r="I16" s="66"/>
      <c r="J16" s="66"/>
      <c r="K16" s="66"/>
      <c r="L16" s="66"/>
      <c r="M16" s="66"/>
    </row>
    <row r="17" spans="1:13" ht="15" customHeight="1" x14ac:dyDescent="0.25">
      <c r="A17" s="8"/>
      <c r="B17" s="69" t="s">
        <v>36</v>
      </c>
      <c r="C17" s="70">
        <v>0</v>
      </c>
      <c r="D17" s="70">
        <v>0</v>
      </c>
      <c r="E17" s="70">
        <v>0</v>
      </c>
      <c r="F17" s="70">
        <v>0</v>
      </c>
      <c r="G17" s="70">
        <v>0</v>
      </c>
      <c r="H17" s="68">
        <f t="shared" ref="H17:H22" si="0">SUM(C17:G17)</f>
        <v>0</v>
      </c>
      <c r="I17" s="66"/>
      <c r="J17" s="66"/>
      <c r="K17" s="66"/>
      <c r="L17" s="66"/>
      <c r="M17" s="66"/>
    </row>
    <row r="18" spans="1:13" ht="15" customHeight="1" x14ac:dyDescent="0.25">
      <c r="A18" s="8"/>
      <c r="B18" s="69" t="s">
        <v>139</v>
      </c>
      <c r="C18" s="70">
        <v>0</v>
      </c>
      <c r="D18" s="70">
        <v>0</v>
      </c>
      <c r="E18" s="70">
        <v>0</v>
      </c>
      <c r="F18" s="70">
        <v>0</v>
      </c>
      <c r="G18" s="70">
        <v>0</v>
      </c>
      <c r="H18" s="68">
        <f t="shared" si="0"/>
        <v>0</v>
      </c>
      <c r="I18" s="66"/>
      <c r="J18" s="66"/>
      <c r="K18" s="66"/>
      <c r="L18" s="66"/>
      <c r="M18" s="66"/>
    </row>
    <row r="19" spans="1:13" ht="15.75" x14ac:dyDescent="0.25">
      <c r="A19" s="8"/>
      <c r="B19" s="69" t="s">
        <v>141</v>
      </c>
      <c r="C19" s="70">
        <v>0</v>
      </c>
      <c r="D19" s="70">
        <v>0</v>
      </c>
      <c r="E19" s="70">
        <v>147271473.49000001</v>
      </c>
      <c r="F19" s="70">
        <v>-147271473.49000001</v>
      </c>
      <c r="G19" s="70">
        <v>0</v>
      </c>
      <c r="H19" s="68">
        <f t="shared" si="0"/>
        <v>0</v>
      </c>
      <c r="I19" s="66"/>
      <c r="J19" s="66"/>
      <c r="K19" s="66"/>
      <c r="L19" s="66"/>
      <c r="M19" s="66"/>
    </row>
    <row r="20" spans="1:13" ht="15.75" x14ac:dyDescent="0.25">
      <c r="A20" s="8"/>
      <c r="B20" s="69" t="s">
        <v>142</v>
      </c>
      <c r="C20" s="70">
        <v>0</v>
      </c>
      <c r="D20" s="70">
        <v>0</v>
      </c>
      <c r="E20" s="70">
        <v>0</v>
      </c>
      <c r="F20" s="70">
        <v>0</v>
      </c>
      <c r="G20" s="70">
        <v>0</v>
      </c>
      <c r="H20" s="68">
        <f t="shared" si="0"/>
        <v>0</v>
      </c>
      <c r="I20" s="66"/>
      <c r="J20" s="66"/>
      <c r="K20" s="66"/>
      <c r="L20" s="66"/>
      <c r="M20" s="66"/>
    </row>
    <row r="21" spans="1:13" ht="15.75" x14ac:dyDescent="0.25">
      <c r="A21" s="8"/>
      <c r="B21" s="69" t="s">
        <v>143</v>
      </c>
      <c r="C21" s="70">
        <v>0</v>
      </c>
      <c r="D21" s="70">
        <v>0</v>
      </c>
      <c r="E21" s="70">
        <v>0</v>
      </c>
      <c r="F21" s="70">
        <v>146950636.65000001</v>
      </c>
      <c r="G21" s="70">
        <v>0</v>
      </c>
      <c r="H21" s="68">
        <f t="shared" si="0"/>
        <v>146950636.65000001</v>
      </c>
      <c r="I21" s="66"/>
      <c r="J21" s="66"/>
      <c r="K21" s="66"/>
      <c r="L21" s="66"/>
      <c r="M21" s="66"/>
    </row>
    <row r="22" spans="1:13" ht="15.75" x14ac:dyDescent="0.25">
      <c r="A22" s="8"/>
      <c r="B22" s="69" t="s">
        <v>144</v>
      </c>
      <c r="C22" s="70">
        <v>0</v>
      </c>
      <c r="D22" s="70">
        <v>0</v>
      </c>
      <c r="E22" s="70">
        <v>0</v>
      </c>
      <c r="F22" s="70">
        <v>0</v>
      </c>
      <c r="G22" s="70">
        <v>-1636</v>
      </c>
      <c r="H22" s="68">
        <f t="shared" si="0"/>
        <v>-1636</v>
      </c>
      <c r="I22" s="66"/>
      <c r="J22" s="66"/>
      <c r="K22" s="66"/>
      <c r="L22" s="66"/>
      <c r="M22" s="66"/>
    </row>
    <row r="23" spans="1:13" ht="15.75" x14ac:dyDescent="0.25">
      <c r="A23" s="8"/>
      <c r="B23" s="71"/>
      <c r="C23" s="70"/>
      <c r="D23" s="70"/>
      <c r="E23" s="70"/>
      <c r="F23" s="70"/>
      <c r="G23" s="70"/>
      <c r="H23" s="68"/>
      <c r="I23" s="66"/>
      <c r="J23" s="66"/>
      <c r="K23" s="66"/>
      <c r="L23" s="66"/>
      <c r="M23" s="66"/>
    </row>
    <row r="24" spans="1:13" ht="15.75" x14ac:dyDescent="0.25">
      <c r="A24" s="8"/>
      <c r="B24" s="64" t="s">
        <v>146</v>
      </c>
      <c r="C24" s="65">
        <f t="shared" ref="C24:H24" si="1">C15+SUM(C17:C22)</f>
        <v>196133567.16</v>
      </c>
      <c r="D24" s="65">
        <f t="shared" si="1"/>
        <v>-8877149.1300000008</v>
      </c>
      <c r="E24" s="65">
        <f t="shared" si="1"/>
        <v>773787983.70000005</v>
      </c>
      <c r="F24" s="65">
        <f t="shared" si="1"/>
        <v>-438838500.91999996</v>
      </c>
      <c r="G24" s="65">
        <f t="shared" si="1"/>
        <v>-1636</v>
      </c>
      <c r="H24" s="65">
        <f t="shared" si="1"/>
        <v>522204264.81000006</v>
      </c>
      <c r="I24" s="66"/>
      <c r="J24" s="66"/>
      <c r="K24" s="66"/>
      <c r="L24" s="66"/>
      <c r="M24" s="66"/>
    </row>
    <row r="25" spans="1:13" ht="15.75" x14ac:dyDescent="0.25">
      <c r="A25" s="8"/>
      <c r="B25" s="67"/>
      <c r="C25" s="68"/>
      <c r="D25" s="68"/>
      <c r="E25" s="68"/>
      <c r="F25" s="68"/>
      <c r="G25" s="68"/>
      <c r="H25" s="68"/>
      <c r="I25" s="66"/>
      <c r="J25" s="66"/>
      <c r="K25" s="66"/>
      <c r="L25" s="66"/>
      <c r="M25" s="66"/>
    </row>
    <row r="26" spans="1:13" ht="15" customHeight="1" x14ac:dyDescent="0.25">
      <c r="A26" s="8"/>
      <c r="B26" s="69" t="s">
        <v>36</v>
      </c>
      <c r="C26" s="70">
        <v>0</v>
      </c>
      <c r="D26" s="70">
        <v>0</v>
      </c>
      <c r="E26" s="70">
        <v>0</v>
      </c>
      <c r="F26" s="70">
        <v>0</v>
      </c>
      <c r="G26" s="70">
        <v>0</v>
      </c>
      <c r="H26" s="68">
        <f t="shared" ref="H26:H31" si="2">SUM(C26:G26)</f>
        <v>0</v>
      </c>
      <c r="I26" s="66"/>
      <c r="J26" s="66"/>
      <c r="K26" s="66"/>
      <c r="L26" s="66"/>
      <c r="M26" s="66"/>
    </row>
    <row r="27" spans="1:13" ht="15" customHeight="1" x14ac:dyDescent="0.25">
      <c r="A27" s="8"/>
      <c r="B27" s="69" t="s">
        <v>139</v>
      </c>
      <c r="C27" s="70">
        <v>0</v>
      </c>
      <c r="D27" s="70">
        <v>0</v>
      </c>
      <c r="E27" s="70">
        <v>0</v>
      </c>
      <c r="F27" s="70">
        <v>0</v>
      </c>
      <c r="G27" s="70">
        <v>0</v>
      </c>
      <c r="H27" s="68">
        <f t="shared" si="2"/>
        <v>0</v>
      </c>
      <c r="I27" s="66"/>
      <c r="J27" s="66"/>
      <c r="K27" s="66"/>
      <c r="L27" s="66"/>
      <c r="M27" s="66"/>
    </row>
    <row r="28" spans="1:13" ht="15" customHeight="1" x14ac:dyDescent="0.25">
      <c r="A28" s="8"/>
      <c r="B28" s="69" t="s">
        <v>141</v>
      </c>
      <c r="C28" s="70">
        <v>0</v>
      </c>
      <c r="D28" s="70">
        <v>0</v>
      </c>
      <c r="E28" s="70">
        <v>200593866.84</v>
      </c>
      <c r="F28" s="70">
        <v>-200593866.84</v>
      </c>
      <c r="G28" s="70">
        <v>0</v>
      </c>
      <c r="H28" s="68">
        <f t="shared" si="2"/>
        <v>0</v>
      </c>
      <c r="I28" s="66"/>
      <c r="J28" s="66"/>
      <c r="K28" s="66"/>
      <c r="L28" s="66"/>
      <c r="M28" s="66"/>
    </row>
    <row r="29" spans="1:13" ht="15" customHeight="1" x14ac:dyDescent="0.25">
      <c r="A29" s="8"/>
      <c r="B29" s="69" t="s">
        <v>142</v>
      </c>
      <c r="C29" s="70">
        <v>0</v>
      </c>
      <c r="D29" s="70">
        <v>0</v>
      </c>
      <c r="E29" s="70">
        <v>0</v>
      </c>
      <c r="F29" s="70">
        <v>0</v>
      </c>
      <c r="G29" s="70">
        <v>0</v>
      </c>
      <c r="H29" s="68">
        <f t="shared" si="2"/>
        <v>0</v>
      </c>
      <c r="I29" s="66"/>
      <c r="J29" s="66"/>
      <c r="K29" s="66"/>
      <c r="L29" s="66"/>
      <c r="M29" s="66"/>
    </row>
    <row r="30" spans="1:13" ht="15.75" x14ac:dyDescent="0.25">
      <c r="A30" s="8"/>
      <c r="B30" s="69" t="s">
        <v>143</v>
      </c>
      <c r="C30" s="70">
        <v>0</v>
      </c>
      <c r="D30" s="70">
        <v>0</v>
      </c>
      <c r="E30" s="70">
        <v>0</v>
      </c>
      <c r="F30" s="70">
        <v>200006423.24000001</v>
      </c>
      <c r="G30" s="70">
        <v>0</v>
      </c>
      <c r="H30" s="68">
        <f t="shared" si="2"/>
        <v>200006423.24000001</v>
      </c>
      <c r="I30" s="66"/>
      <c r="J30" s="66"/>
      <c r="K30" s="66"/>
      <c r="L30" s="66"/>
      <c r="M30" s="66"/>
    </row>
    <row r="31" spans="1:13" ht="15" customHeight="1" x14ac:dyDescent="0.25">
      <c r="A31" s="8"/>
      <c r="B31" s="69" t="s">
        <v>144</v>
      </c>
      <c r="C31" s="70">
        <v>0</v>
      </c>
      <c r="D31" s="70">
        <v>0</v>
      </c>
      <c r="E31" s="70">
        <v>0</v>
      </c>
      <c r="F31" s="70">
        <v>0</v>
      </c>
      <c r="G31" s="70">
        <v>0</v>
      </c>
      <c r="H31" s="68">
        <f t="shared" si="2"/>
        <v>0</v>
      </c>
      <c r="I31" s="66"/>
      <c r="J31" s="66"/>
      <c r="K31" s="66"/>
      <c r="L31" s="66"/>
      <c r="M31" s="66"/>
    </row>
    <row r="32" spans="1:13" ht="15.75" x14ac:dyDescent="0.25">
      <c r="A32" s="8"/>
      <c r="B32" s="71"/>
      <c r="C32" s="70"/>
      <c r="D32" s="70"/>
      <c r="E32" s="70"/>
      <c r="F32" s="70"/>
      <c r="G32" s="70"/>
      <c r="H32" s="68"/>
      <c r="I32" s="66"/>
      <c r="J32" s="66"/>
      <c r="K32" s="66"/>
      <c r="L32" s="66"/>
      <c r="M32" s="66"/>
    </row>
    <row r="33" spans="1:13" ht="15.75" x14ac:dyDescent="0.25">
      <c r="A33" s="8"/>
      <c r="B33" s="64" t="s">
        <v>316</v>
      </c>
      <c r="C33" s="65">
        <f t="shared" ref="C33:H33" si="3">C24+SUM(C26:C31)</f>
        <v>196133567.16</v>
      </c>
      <c r="D33" s="65">
        <f t="shared" si="3"/>
        <v>-8877149.1300000008</v>
      </c>
      <c r="E33" s="65">
        <f t="shared" si="3"/>
        <v>974381850.54000008</v>
      </c>
      <c r="F33" s="65">
        <f t="shared" si="3"/>
        <v>-439425944.51999998</v>
      </c>
      <c r="G33" s="65">
        <f t="shared" si="3"/>
        <v>-1636</v>
      </c>
      <c r="H33" s="65">
        <f t="shared" si="3"/>
        <v>722210688.05000007</v>
      </c>
      <c r="I33" s="66"/>
      <c r="J33" s="66"/>
      <c r="K33" s="66"/>
      <c r="L33" s="66"/>
      <c r="M33" s="66"/>
    </row>
    <row r="34" spans="1:13" ht="15.75" x14ac:dyDescent="0.25">
      <c r="A34" s="8"/>
      <c r="B34" s="67"/>
      <c r="C34" s="68"/>
      <c r="D34" s="68"/>
      <c r="E34" s="68"/>
      <c r="F34" s="68"/>
      <c r="G34" s="68"/>
      <c r="H34" s="68"/>
      <c r="I34" s="66"/>
      <c r="J34" s="66"/>
      <c r="K34" s="66"/>
      <c r="L34" s="66"/>
      <c r="M34" s="66"/>
    </row>
    <row r="35" spans="1:13" ht="15.75" x14ac:dyDescent="0.25">
      <c r="A35" s="8"/>
      <c r="B35" s="69" t="s">
        <v>36</v>
      </c>
      <c r="C35" s="70">
        <v>0</v>
      </c>
      <c r="D35" s="70">
        <v>0</v>
      </c>
      <c r="E35" s="70">
        <v>0</v>
      </c>
      <c r="F35" s="70">
        <v>0</v>
      </c>
      <c r="G35" s="70">
        <v>0</v>
      </c>
      <c r="H35" s="68">
        <f t="shared" ref="H35:H40" si="4">SUM(C35:G35)</f>
        <v>0</v>
      </c>
      <c r="I35" s="66"/>
      <c r="J35" s="66"/>
      <c r="K35" s="66"/>
      <c r="L35" s="66"/>
      <c r="M35" s="66"/>
    </row>
    <row r="36" spans="1:13" ht="15.75" x14ac:dyDescent="0.25">
      <c r="A36" s="8"/>
      <c r="B36" s="69" t="s">
        <v>139</v>
      </c>
      <c r="C36" s="70">
        <v>0</v>
      </c>
      <c r="D36" s="70">
        <v>0</v>
      </c>
      <c r="E36" s="70">
        <v>0</v>
      </c>
      <c r="F36" s="70">
        <v>0</v>
      </c>
      <c r="G36" s="70">
        <v>0</v>
      </c>
      <c r="H36" s="68">
        <f t="shared" si="4"/>
        <v>0</v>
      </c>
      <c r="I36" s="66"/>
      <c r="J36" s="66"/>
      <c r="K36" s="66"/>
      <c r="L36" s="66"/>
      <c r="M36" s="66"/>
    </row>
    <row r="37" spans="1:13" ht="15.75" x14ac:dyDescent="0.25">
      <c r="A37" s="8"/>
      <c r="B37" s="69" t="s">
        <v>141</v>
      </c>
      <c r="C37" s="70">
        <v>0</v>
      </c>
      <c r="D37" s="70">
        <v>0</v>
      </c>
      <c r="E37" s="70">
        <v>0</v>
      </c>
      <c r="F37" s="70">
        <v>0</v>
      </c>
      <c r="G37" s="70">
        <v>0</v>
      </c>
      <c r="H37" s="68">
        <f t="shared" si="4"/>
        <v>0</v>
      </c>
      <c r="I37" s="66"/>
      <c r="J37" s="66"/>
      <c r="K37" s="66"/>
      <c r="L37" s="66"/>
      <c r="M37" s="66"/>
    </row>
    <row r="38" spans="1:13" ht="15.75" x14ac:dyDescent="0.25">
      <c r="A38" s="8"/>
      <c r="B38" s="69" t="s">
        <v>142</v>
      </c>
      <c r="C38" s="70">
        <v>0</v>
      </c>
      <c r="D38" s="70">
        <v>0</v>
      </c>
      <c r="E38" s="70">
        <v>0</v>
      </c>
      <c r="F38" s="70">
        <v>0</v>
      </c>
      <c r="G38" s="70">
        <v>0</v>
      </c>
      <c r="H38" s="68">
        <f t="shared" si="4"/>
        <v>0</v>
      </c>
      <c r="I38" s="66"/>
      <c r="J38" s="66"/>
      <c r="K38" s="66"/>
      <c r="L38" s="66"/>
      <c r="M38" s="66"/>
    </row>
    <row r="39" spans="1:13" ht="15.75" x14ac:dyDescent="0.25">
      <c r="A39" s="8"/>
      <c r="B39" s="69" t="s">
        <v>143</v>
      </c>
      <c r="C39" s="70">
        <v>0</v>
      </c>
      <c r="D39" s="70">
        <v>0</v>
      </c>
      <c r="E39" s="70">
        <v>0</v>
      </c>
      <c r="F39" s="70">
        <v>66060842.340000004</v>
      </c>
      <c r="G39" s="70">
        <v>0</v>
      </c>
      <c r="H39" s="68">
        <f t="shared" si="4"/>
        <v>66060842.340000004</v>
      </c>
      <c r="I39" s="66"/>
      <c r="J39" s="66"/>
      <c r="K39" s="66"/>
      <c r="L39" s="66"/>
      <c r="M39" s="66"/>
    </row>
    <row r="40" spans="1:13" ht="15.75" x14ac:dyDescent="0.25">
      <c r="A40" s="8"/>
      <c r="B40" s="69" t="s">
        <v>144</v>
      </c>
      <c r="C40" s="70">
        <v>0</v>
      </c>
      <c r="D40" s="70">
        <v>0</v>
      </c>
      <c r="E40" s="70">
        <v>0</v>
      </c>
      <c r="F40" s="70">
        <v>0</v>
      </c>
      <c r="G40" s="70">
        <v>0</v>
      </c>
      <c r="H40" s="68">
        <f t="shared" si="4"/>
        <v>0</v>
      </c>
      <c r="I40" s="66"/>
      <c r="J40" s="66"/>
      <c r="K40" s="66"/>
      <c r="L40" s="66"/>
      <c r="M40" s="66"/>
    </row>
    <row r="41" spans="1:13" ht="15.75" x14ac:dyDescent="0.25">
      <c r="A41" s="8"/>
      <c r="B41" s="67"/>
      <c r="C41" s="68"/>
      <c r="D41" s="68"/>
      <c r="E41" s="68"/>
      <c r="F41" s="68"/>
      <c r="G41" s="68"/>
      <c r="H41" s="68"/>
      <c r="I41" s="66"/>
      <c r="J41" s="66"/>
      <c r="K41" s="66"/>
      <c r="L41" s="66"/>
      <c r="M41" s="66"/>
    </row>
    <row r="42" spans="1:13" ht="15.75" x14ac:dyDescent="0.25">
      <c r="B42" s="64" t="s">
        <v>357</v>
      </c>
      <c r="C42" s="65">
        <f>C33+SUM(C35:C40)</f>
        <v>196133567.16</v>
      </c>
      <c r="D42" s="65">
        <f t="shared" ref="D42:H42" si="5">D33+SUM(D35:D40)</f>
        <v>-8877149.1300000008</v>
      </c>
      <c r="E42" s="65">
        <f t="shared" si="5"/>
        <v>974381850.54000008</v>
      </c>
      <c r="F42" s="65">
        <f t="shared" si="5"/>
        <v>-373365102.17999995</v>
      </c>
      <c r="G42" s="65">
        <f t="shared" si="5"/>
        <v>-1636</v>
      </c>
      <c r="H42" s="65">
        <f t="shared" si="5"/>
        <v>788271530.3900001</v>
      </c>
      <c r="I42" s="66"/>
      <c r="J42" s="66"/>
      <c r="K42" s="66"/>
      <c r="L42" s="66"/>
      <c r="M42" s="66"/>
    </row>
    <row r="43" spans="1:13" ht="15.75" x14ac:dyDescent="0.25">
      <c r="B43" s="67"/>
      <c r="C43" s="68"/>
      <c r="D43" s="68"/>
      <c r="E43" s="68"/>
      <c r="F43" s="68"/>
      <c r="G43" s="68"/>
      <c r="H43" s="68"/>
      <c r="I43" s="66"/>
      <c r="J43" s="66"/>
      <c r="K43" s="66"/>
      <c r="L43" s="66"/>
      <c r="M43" s="66"/>
    </row>
    <row r="44" spans="1:13" ht="15.75" x14ac:dyDescent="0.25">
      <c r="B44" s="414" t="s">
        <v>150</v>
      </c>
      <c r="C44" s="414"/>
      <c r="D44" s="414"/>
      <c r="E44" s="414"/>
      <c r="F44" s="414"/>
      <c r="G44" s="414"/>
      <c r="H44" s="414"/>
      <c r="I44" s="66"/>
      <c r="J44" s="66"/>
      <c r="K44" s="66"/>
      <c r="L44" s="66"/>
      <c r="M44" s="66"/>
    </row>
    <row r="45" spans="1:13" ht="15.75" x14ac:dyDescent="0.25">
      <c r="B45" s="72"/>
      <c r="C45" s="73"/>
      <c r="D45" s="73"/>
      <c r="E45" s="73"/>
      <c r="F45" s="73"/>
      <c r="G45" s="73"/>
      <c r="H45" s="72"/>
      <c r="I45" s="66"/>
      <c r="J45" s="66"/>
      <c r="K45" s="66"/>
      <c r="L45" s="66"/>
      <c r="M45" s="66"/>
    </row>
    <row r="46" spans="1:13" ht="15.75" x14ac:dyDescent="0.25">
      <c r="B46" s="66"/>
      <c r="C46" s="74"/>
      <c r="D46" s="74"/>
      <c r="E46" s="74"/>
      <c r="F46" s="74"/>
      <c r="G46" s="74"/>
      <c r="H46" s="75"/>
      <c r="I46" s="66"/>
      <c r="J46" s="66"/>
      <c r="K46" s="66"/>
      <c r="L46" s="66"/>
      <c r="M46" s="66"/>
    </row>
    <row r="47" spans="1:13" ht="15.75" customHeight="1" x14ac:dyDescent="0.25">
      <c r="B47" s="415" t="s">
        <v>348</v>
      </c>
      <c r="C47" s="415"/>
      <c r="D47" s="415"/>
      <c r="E47" s="415"/>
      <c r="F47" s="415"/>
      <c r="G47" s="415"/>
      <c r="H47" s="415"/>
      <c r="I47" s="76"/>
      <c r="J47" s="76"/>
      <c r="K47" s="76"/>
      <c r="L47" s="76"/>
      <c r="M47" s="76"/>
    </row>
  </sheetData>
  <mergeCells count="12">
    <mergeCell ref="B11:B12"/>
    <mergeCell ref="C11:D11"/>
    <mergeCell ref="F11:F12"/>
    <mergeCell ref="B44:H44"/>
    <mergeCell ref="B47:H47"/>
    <mergeCell ref="G11:G12"/>
    <mergeCell ref="H11:H12"/>
    <mergeCell ref="A3:H3"/>
    <mergeCell ref="A4:H4"/>
    <mergeCell ref="A5:H5"/>
    <mergeCell ref="A6:H6"/>
    <mergeCell ref="B9:H9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K68"/>
  <sheetViews>
    <sheetView showGridLines="0" topLeftCell="A49" workbookViewId="0">
      <selection activeCell="D59" sqref="D59"/>
    </sheetView>
  </sheetViews>
  <sheetFormatPr defaultRowHeight="11.25" x14ac:dyDescent="0.2"/>
  <cols>
    <col min="4" max="4" width="72.6640625" bestFit="1" customWidth="1"/>
    <col min="5" max="5" width="7.83203125" bestFit="1" customWidth="1"/>
    <col min="6" max="6" width="20.6640625" style="339" bestFit="1" customWidth="1"/>
    <col min="7" max="8" width="20.6640625" bestFit="1" customWidth="1"/>
    <col min="10" max="10" width="15.33203125" bestFit="1" customWidth="1"/>
  </cols>
  <sheetData>
    <row r="4" spans="2:11" ht="14.25" x14ac:dyDescent="0.2">
      <c r="D4" s="410" t="s">
        <v>147</v>
      </c>
      <c r="E4" s="410"/>
      <c r="F4" s="410"/>
      <c r="G4" s="410"/>
      <c r="H4" s="410"/>
      <c r="I4" s="132"/>
      <c r="J4" s="132"/>
      <c r="K4" s="132"/>
    </row>
    <row r="5" spans="2:11" ht="14.25" x14ac:dyDescent="0.2">
      <c r="D5" s="410" t="s">
        <v>148</v>
      </c>
      <c r="E5" s="410"/>
      <c r="F5" s="410"/>
      <c r="G5" s="410"/>
      <c r="H5" s="410"/>
      <c r="I5" s="132"/>
      <c r="J5" s="132"/>
      <c r="K5" s="132"/>
    </row>
    <row r="6" spans="2:11" ht="14.25" x14ac:dyDescent="0.2">
      <c r="D6" s="410" t="s">
        <v>347</v>
      </c>
      <c r="E6" s="410"/>
      <c r="F6" s="410"/>
      <c r="G6" s="410"/>
      <c r="H6" s="410"/>
      <c r="I6" s="132"/>
      <c r="J6" s="132"/>
      <c r="K6" s="132"/>
    </row>
    <row r="7" spans="2:11" ht="14.25" x14ac:dyDescent="0.2">
      <c r="B7" s="132"/>
      <c r="C7" s="132"/>
      <c r="D7" s="410" t="s">
        <v>151</v>
      </c>
      <c r="E7" s="410"/>
      <c r="F7" s="410"/>
      <c r="G7" s="410"/>
      <c r="H7" s="410"/>
    </row>
    <row r="8" spans="2:11" ht="15" x14ac:dyDescent="0.25">
      <c r="B8" s="8"/>
      <c r="C8" s="8"/>
      <c r="D8" s="11"/>
      <c r="E8" s="11"/>
      <c r="F8" s="335"/>
      <c r="G8" s="11"/>
    </row>
    <row r="9" spans="2:11" ht="15" x14ac:dyDescent="0.25">
      <c r="B9" s="8"/>
      <c r="C9" s="8"/>
      <c r="D9" s="418" t="s">
        <v>187</v>
      </c>
      <c r="E9" s="418"/>
      <c r="F9" s="418"/>
      <c r="G9" s="418"/>
      <c r="H9" s="418"/>
    </row>
    <row r="10" spans="2:11" ht="15" x14ac:dyDescent="0.25">
      <c r="B10" s="8"/>
      <c r="C10" s="8"/>
      <c r="D10" s="40"/>
      <c r="E10" s="40"/>
      <c r="F10" s="40"/>
      <c r="G10" s="40"/>
      <c r="H10" s="40"/>
    </row>
    <row r="11" spans="2:11" ht="15" x14ac:dyDescent="0.25">
      <c r="B11" s="8"/>
      <c r="C11" s="8"/>
      <c r="D11" s="41"/>
      <c r="E11" s="41"/>
      <c r="F11" s="41"/>
      <c r="G11" s="41"/>
      <c r="H11" s="41"/>
    </row>
    <row r="12" spans="2:11" ht="15" x14ac:dyDescent="0.25">
      <c r="B12" s="8"/>
      <c r="C12" s="8"/>
      <c r="D12" s="42" t="s">
        <v>135</v>
      </c>
      <c r="E12" s="42" t="s">
        <v>153</v>
      </c>
      <c r="F12" s="126">
        <v>46112</v>
      </c>
      <c r="G12" s="126">
        <v>46022</v>
      </c>
      <c r="H12" s="126">
        <v>45747</v>
      </c>
    </row>
    <row r="13" spans="2:11" ht="15" x14ac:dyDescent="0.25">
      <c r="B13" s="8"/>
      <c r="C13" s="8"/>
      <c r="D13" s="42" t="s">
        <v>188</v>
      </c>
      <c r="E13" s="42" t="s">
        <v>189</v>
      </c>
      <c r="F13" s="43">
        <f>F14+F15</f>
        <v>1474711.78</v>
      </c>
      <c r="G13" s="43">
        <f>G14+G15</f>
        <v>14018682.890000001</v>
      </c>
      <c r="H13" s="43">
        <f>H14+H15</f>
        <v>1907707.22</v>
      </c>
    </row>
    <row r="14" spans="2:11" ht="15" x14ac:dyDescent="0.25">
      <c r="B14" s="8"/>
      <c r="C14" s="8"/>
      <c r="D14" s="46" t="s">
        <v>318</v>
      </c>
      <c r="E14" s="46"/>
      <c r="F14" s="47">
        <v>1281448.31</v>
      </c>
      <c r="G14" s="47">
        <v>5060015.1399999997</v>
      </c>
      <c r="H14" s="47">
        <v>1211230.21</v>
      </c>
      <c r="J14" s="47"/>
    </row>
    <row r="15" spans="2:11" ht="15" x14ac:dyDescent="0.25">
      <c r="B15" s="8"/>
      <c r="C15" s="8"/>
      <c r="D15" s="46" t="s">
        <v>319</v>
      </c>
      <c r="E15" s="44"/>
      <c r="F15" s="45">
        <v>193263.47</v>
      </c>
      <c r="G15" s="45">
        <v>8958667.75</v>
      </c>
      <c r="H15" s="45">
        <v>696477.01</v>
      </c>
      <c r="J15" s="45"/>
    </row>
    <row r="16" spans="2:11" ht="15" x14ac:dyDescent="0.25">
      <c r="B16" s="8"/>
      <c r="C16" s="8"/>
      <c r="D16" s="11"/>
      <c r="E16" s="46"/>
      <c r="F16" s="46"/>
      <c r="G16" s="47"/>
      <c r="H16" s="47"/>
    </row>
    <row r="17" spans="2:8" ht="15" x14ac:dyDescent="0.25">
      <c r="B17" s="8"/>
      <c r="C17" s="8"/>
      <c r="D17" s="46"/>
      <c r="E17" s="46"/>
      <c r="F17" s="46"/>
      <c r="G17" s="47"/>
      <c r="H17" s="47"/>
    </row>
    <row r="18" spans="2:8" ht="15" x14ac:dyDescent="0.25">
      <c r="B18" s="8"/>
      <c r="C18" s="8"/>
      <c r="D18" s="48" t="s">
        <v>225</v>
      </c>
      <c r="E18" s="48" t="s">
        <v>189</v>
      </c>
      <c r="F18" s="49">
        <v>-529500.05000000005</v>
      </c>
      <c r="G18" s="49">
        <v>-1966186.9</v>
      </c>
      <c r="H18" s="49">
        <v>-174232.3</v>
      </c>
    </row>
    <row r="19" spans="2:8" ht="15" x14ac:dyDescent="0.25">
      <c r="B19" s="8"/>
      <c r="C19" s="8"/>
      <c r="D19" s="46"/>
      <c r="E19" s="46"/>
      <c r="F19" s="46"/>
      <c r="G19" s="47"/>
      <c r="H19" s="47"/>
    </row>
    <row r="20" spans="2:8" ht="14.25" x14ac:dyDescent="0.2">
      <c r="B20" s="9"/>
      <c r="C20" s="9"/>
      <c r="D20" s="42" t="s">
        <v>190</v>
      </c>
      <c r="E20" s="42" t="s">
        <v>189</v>
      </c>
      <c r="F20" s="50">
        <f>F13+F18</f>
        <v>945211.73</v>
      </c>
      <c r="G20" s="50">
        <f>G13+G18</f>
        <v>12052495.99</v>
      </c>
      <c r="H20" s="50">
        <f>H13+H18</f>
        <v>1733474.92</v>
      </c>
    </row>
    <row r="21" spans="2:8" ht="15" x14ac:dyDescent="0.25">
      <c r="B21" s="8"/>
      <c r="C21" s="8"/>
      <c r="D21" s="11"/>
      <c r="E21" s="11"/>
      <c r="F21" s="335"/>
      <c r="G21" s="51"/>
      <c r="H21" s="51"/>
    </row>
    <row r="22" spans="2:8" ht="15" x14ac:dyDescent="0.25">
      <c r="B22" s="8"/>
      <c r="C22" s="8"/>
      <c r="D22" s="42" t="s">
        <v>191</v>
      </c>
      <c r="E22" s="42" t="s">
        <v>192</v>
      </c>
      <c r="F22" s="50">
        <f>F23</f>
        <v>137863947.52000001</v>
      </c>
      <c r="G22" s="50">
        <f>G23</f>
        <v>730456860.76999998</v>
      </c>
      <c r="H22" s="50">
        <f>H23</f>
        <v>118739954.31</v>
      </c>
    </row>
    <row r="23" spans="2:8" ht="15" x14ac:dyDescent="0.25">
      <c r="B23" s="8"/>
      <c r="C23" s="8"/>
      <c r="D23" s="44" t="s">
        <v>193</v>
      </c>
      <c r="E23" s="44"/>
      <c r="F23" s="52">
        <f>SUM(F24:F26)</f>
        <v>137863947.52000001</v>
      </c>
      <c r="G23" s="52">
        <f>SUM(G24:G26)</f>
        <v>730456860.76999998</v>
      </c>
      <c r="H23" s="52">
        <f>SUM(H24:H26)</f>
        <v>118739954.31</v>
      </c>
    </row>
    <row r="24" spans="2:8" ht="15" x14ac:dyDescent="0.25">
      <c r="B24" s="8"/>
      <c r="C24" s="8"/>
      <c r="D24" s="11" t="s">
        <v>194</v>
      </c>
      <c r="E24" s="46"/>
      <c r="F24" s="360">
        <v>22019854.5</v>
      </c>
      <c r="G24" s="47">
        <f>87791894.1</f>
        <v>87791894.099999994</v>
      </c>
      <c r="H24" s="47">
        <v>16094665.82</v>
      </c>
    </row>
    <row r="25" spans="2:8" ht="15" x14ac:dyDescent="0.25">
      <c r="B25" s="8"/>
      <c r="C25" s="8"/>
      <c r="D25" s="11" t="s">
        <v>195</v>
      </c>
      <c r="E25" s="46"/>
      <c r="F25" s="360">
        <v>115824949.72</v>
      </c>
      <c r="G25" s="47">
        <v>642018075.74000001</v>
      </c>
      <c r="H25" s="47">
        <v>102498006.15000001</v>
      </c>
    </row>
    <row r="26" spans="2:8" ht="15" x14ac:dyDescent="0.25">
      <c r="B26" s="8"/>
      <c r="C26" s="8"/>
      <c r="D26" s="11" t="s">
        <v>196</v>
      </c>
      <c r="E26" s="46"/>
      <c r="F26" s="360">
        <v>19143.3</v>
      </c>
      <c r="G26" s="47">
        <v>646890.93000000005</v>
      </c>
      <c r="H26" s="47">
        <v>147282.34</v>
      </c>
    </row>
    <row r="27" spans="2:8" ht="15" x14ac:dyDescent="0.25">
      <c r="B27" s="8"/>
      <c r="C27" s="8"/>
      <c r="D27" s="11"/>
      <c r="E27" s="46"/>
      <c r="F27" s="360"/>
      <c r="G27" s="47"/>
      <c r="H27" s="47"/>
    </row>
    <row r="28" spans="2:8" ht="15" x14ac:dyDescent="0.25">
      <c r="B28" s="8"/>
      <c r="C28" s="8"/>
      <c r="D28" s="42" t="s">
        <v>328</v>
      </c>
      <c r="E28" s="42" t="s">
        <v>197</v>
      </c>
      <c r="F28" s="50">
        <f>F30+F35</f>
        <v>-67804037.430000007</v>
      </c>
      <c r="G28" s="50">
        <f>G30+G35</f>
        <v>-519752388.81999999</v>
      </c>
      <c r="H28" s="50">
        <f>H30+H35</f>
        <v>-86207544.75999999</v>
      </c>
    </row>
    <row r="29" spans="2:8" ht="15" x14ac:dyDescent="0.25">
      <c r="B29" s="8"/>
      <c r="C29" s="8"/>
      <c r="D29" s="11"/>
      <c r="E29" s="46"/>
      <c r="F29" s="360"/>
      <c r="G29" s="47"/>
      <c r="H29" s="47"/>
    </row>
    <row r="30" spans="2:8" ht="15" x14ac:dyDescent="0.25">
      <c r="B30" s="8"/>
      <c r="C30" s="8"/>
      <c r="D30" s="42" t="s">
        <v>198</v>
      </c>
      <c r="E30" s="42" t="s">
        <v>199</v>
      </c>
      <c r="F30" s="50">
        <f>SUM(F31:F32)</f>
        <v>-51600083.469999999</v>
      </c>
      <c r="G30" s="50">
        <f>SUM(G31:G32)</f>
        <v>-451094659.12</v>
      </c>
      <c r="H30" s="50">
        <f>SUM(H31:H32)</f>
        <v>-71672685.969999999</v>
      </c>
    </row>
    <row r="31" spans="2:8" ht="15" x14ac:dyDescent="0.25">
      <c r="B31" s="8"/>
      <c r="C31" s="8"/>
      <c r="D31" s="11" t="s">
        <v>200</v>
      </c>
      <c r="E31" s="46"/>
      <c r="F31" s="360">
        <v>0</v>
      </c>
      <c r="G31" s="47">
        <v>-431922.2</v>
      </c>
      <c r="H31" s="47">
        <v>0</v>
      </c>
    </row>
    <row r="32" spans="2:8" ht="15" x14ac:dyDescent="0.25">
      <c r="B32" s="8"/>
      <c r="C32" s="8"/>
      <c r="D32" s="11" t="s">
        <v>201</v>
      </c>
      <c r="E32" s="46"/>
      <c r="F32" s="47">
        <v>-51600083.469999999</v>
      </c>
      <c r="G32" s="47">
        <f>-4979.62-450657757.3</f>
        <v>-450662736.92000002</v>
      </c>
      <c r="H32" s="47">
        <v>-71672685.969999999</v>
      </c>
    </row>
    <row r="33" spans="2:8" ht="15" x14ac:dyDescent="0.25">
      <c r="B33" s="8"/>
      <c r="C33" s="8"/>
      <c r="D33" s="11"/>
      <c r="E33" s="46"/>
      <c r="F33" s="360"/>
      <c r="G33" s="47"/>
      <c r="H33" s="47"/>
    </row>
    <row r="34" spans="2:8" ht="15" x14ac:dyDescent="0.25">
      <c r="B34" s="8"/>
      <c r="C34" s="8"/>
      <c r="D34" s="11"/>
      <c r="E34" s="46"/>
      <c r="F34" s="360"/>
      <c r="G34" s="47"/>
      <c r="H34" s="47"/>
    </row>
    <row r="35" spans="2:8" ht="14.25" customHeight="1" x14ac:dyDescent="0.25">
      <c r="B35" s="8"/>
      <c r="C35" s="8"/>
      <c r="D35" s="42" t="s">
        <v>329</v>
      </c>
      <c r="E35" s="42" t="s">
        <v>202</v>
      </c>
      <c r="F35" s="50">
        <f>SUM(F36:F40)</f>
        <v>-16203953.960000001</v>
      </c>
      <c r="G35" s="50">
        <f>SUM(G36:G40)</f>
        <v>-68657729.700000003</v>
      </c>
      <c r="H35" s="50">
        <f>SUM(H36:H40)</f>
        <v>-14534858.789999997</v>
      </c>
    </row>
    <row r="36" spans="2:8" ht="14.25" customHeight="1" x14ac:dyDescent="0.25">
      <c r="B36" s="8"/>
      <c r="C36" s="8"/>
      <c r="D36" s="46" t="s">
        <v>203</v>
      </c>
      <c r="E36" s="46"/>
      <c r="F36" s="47">
        <v>-13305610.48</v>
      </c>
      <c r="G36" s="47">
        <v>-55841240.93</v>
      </c>
      <c r="H36" s="47">
        <v>-12599959.689999999</v>
      </c>
    </row>
    <row r="37" spans="2:8" ht="14.25" customHeight="1" x14ac:dyDescent="0.25">
      <c r="B37" s="8"/>
      <c r="C37" s="8"/>
      <c r="D37" s="46" t="s">
        <v>204</v>
      </c>
      <c r="E37" s="46"/>
      <c r="F37" s="47">
        <v>-2394569.9</v>
      </c>
      <c r="G37" s="47">
        <v>-10311469.289999999</v>
      </c>
      <c r="H37" s="47">
        <v>-1763142.87</v>
      </c>
    </row>
    <row r="38" spans="2:8" ht="14.25" customHeight="1" x14ac:dyDescent="0.25">
      <c r="B38" s="8"/>
      <c r="C38" s="8"/>
      <c r="D38" s="46" t="s">
        <v>205</v>
      </c>
      <c r="E38" s="46"/>
      <c r="F38" s="47">
        <f>-1290.95-173572.5</f>
        <v>-174863.45</v>
      </c>
      <c r="G38" s="47">
        <f>-63742.61-784288.42</f>
        <v>-848031.03</v>
      </c>
      <c r="H38" s="47">
        <v>-121629.54</v>
      </c>
    </row>
    <row r="39" spans="2:8" ht="14.25" customHeight="1" x14ac:dyDescent="0.25">
      <c r="B39" s="8"/>
      <c r="C39" s="8"/>
      <c r="D39" s="46" t="s">
        <v>206</v>
      </c>
      <c r="E39" s="46"/>
      <c r="F39" s="47">
        <v>-328910.13</v>
      </c>
      <c r="G39" s="47">
        <v>-1656988.45</v>
      </c>
      <c r="H39" s="47">
        <v>-50126.69</v>
      </c>
    </row>
    <row r="40" spans="2:8" ht="14.25" customHeight="1" x14ac:dyDescent="0.25">
      <c r="B40" s="8"/>
      <c r="C40" s="8"/>
      <c r="D40" s="46"/>
      <c r="E40" s="46"/>
      <c r="F40" s="360"/>
      <c r="G40" s="47"/>
      <c r="H40" s="47"/>
    </row>
    <row r="41" spans="2:8" ht="14.25" customHeight="1" x14ac:dyDescent="0.25">
      <c r="B41" s="8"/>
      <c r="C41" s="8"/>
      <c r="D41" s="11"/>
      <c r="E41" s="11"/>
      <c r="F41" s="362"/>
      <c r="G41" s="51"/>
      <c r="H41" s="51"/>
    </row>
    <row r="42" spans="2:8" ht="14.25" customHeight="1" x14ac:dyDescent="0.25">
      <c r="B42" s="8"/>
      <c r="C42" s="8"/>
      <c r="D42" s="46"/>
      <c r="E42" s="46"/>
      <c r="F42" s="360"/>
      <c r="G42" s="47"/>
      <c r="H42" s="47"/>
    </row>
    <row r="43" spans="2:8" ht="14.25" customHeight="1" x14ac:dyDescent="0.2">
      <c r="B43" s="9"/>
      <c r="C43" s="9"/>
      <c r="D43" s="419" t="s">
        <v>207</v>
      </c>
      <c r="E43" s="420"/>
      <c r="F43" s="361">
        <f>F20+F22+F28</f>
        <v>71005121.819999993</v>
      </c>
      <c r="G43" s="50">
        <f>G20+G22+G28</f>
        <v>222756967.94</v>
      </c>
      <c r="H43" s="50">
        <f>H20+H22+H28</f>
        <v>34265884.470000014</v>
      </c>
    </row>
    <row r="44" spans="2:8" ht="14.25" customHeight="1" x14ac:dyDescent="0.25">
      <c r="B44" s="8"/>
      <c r="C44" s="8"/>
      <c r="D44" s="11"/>
      <c r="E44" s="11"/>
      <c r="F44" s="362"/>
      <c r="G44" s="51"/>
      <c r="H44" s="51"/>
    </row>
    <row r="45" spans="2:8" ht="14.25" customHeight="1" x14ac:dyDescent="0.2">
      <c r="B45" s="9"/>
      <c r="C45" s="9"/>
      <c r="D45" s="42" t="s">
        <v>208</v>
      </c>
      <c r="E45" s="42" t="s">
        <v>209</v>
      </c>
      <c r="F45" s="50">
        <f>SUM(F46:F50)</f>
        <v>-5461811.1600000001</v>
      </c>
      <c r="G45" s="50">
        <f>SUM(G46:G50)</f>
        <v>-24323639.059999999</v>
      </c>
      <c r="H45" s="50">
        <f>SUM(H46:H50)</f>
        <v>-4372830.8099999996</v>
      </c>
    </row>
    <row r="46" spans="2:8" ht="15" x14ac:dyDescent="0.25">
      <c r="B46" s="8"/>
      <c r="C46" s="8"/>
      <c r="D46" s="46" t="s">
        <v>210</v>
      </c>
      <c r="E46" s="46"/>
      <c r="F46" s="47">
        <v>-3998961.36</v>
      </c>
      <c r="G46" s="47">
        <v>-14977282.460000001</v>
      </c>
      <c r="H46" s="47">
        <v>-3295813.84</v>
      </c>
    </row>
    <row r="47" spans="2:8" ht="15" x14ac:dyDescent="0.25">
      <c r="B47" s="8"/>
      <c r="C47" s="8"/>
      <c r="D47" s="46" t="s">
        <v>211</v>
      </c>
      <c r="E47" s="46"/>
      <c r="F47" s="47">
        <v>-598006.17000000004</v>
      </c>
      <c r="G47" s="47">
        <v>-3228497.41</v>
      </c>
      <c r="H47" s="47">
        <v>-543698.81999999995</v>
      </c>
    </row>
    <row r="48" spans="2:8" ht="15" x14ac:dyDescent="0.25">
      <c r="B48" s="8"/>
      <c r="C48" s="8"/>
      <c r="D48" s="46" t="s">
        <v>212</v>
      </c>
      <c r="E48" s="46"/>
      <c r="F48" s="47">
        <v>-366043.78</v>
      </c>
      <c r="G48" s="47">
        <f>-304350.64-2308881.95</f>
        <v>-2613232.5900000003</v>
      </c>
      <c r="H48" s="47">
        <v>-206254.44</v>
      </c>
    </row>
    <row r="49" spans="2:8" ht="15" x14ac:dyDescent="0.25">
      <c r="B49" s="8"/>
      <c r="C49" s="8"/>
      <c r="D49" s="46" t="s">
        <v>213</v>
      </c>
      <c r="E49" s="46"/>
      <c r="F49" s="47">
        <v>-125529.77</v>
      </c>
      <c r="G49" s="47">
        <v>-382389.04</v>
      </c>
      <c r="H49" s="47">
        <v>-68412.62</v>
      </c>
    </row>
    <row r="50" spans="2:8" ht="15" x14ac:dyDescent="0.25">
      <c r="B50" s="8"/>
      <c r="C50" s="8"/>
      <c r="D50" s="46" t="s">
        <v>214</v>
      </c>
      <c r="E50" s="46"/>
      <c r="F50" s="47">
        <f>478232.67-851502.75</f>
        <v>-373270.08</v>
      </c>
      <c r="G50" s="47">
        <f>1731887.71-4854125.27</f>
        <v>-3122237.5599999996</v>
      </c>
      <c r="H50" s="47">
        <v>-258651.09</v>
      </c>
    </row>
    <row r="51" spans="2:8" ht="15" x14ac:dyDescent="0.25">
      <c r="B51" s="8"/>
      <c r="C51" s="8"/>
      <c r="D51" s="11"/>
      <c r="E51" s="11"/>
      <c r="F51" s="362"/>
      <c r="G51" s="51"/>
      <c r="H51" s="51"/>
    </row>
    <row r="52" spans="2:8" ht="15" x14ac:dyDescent="0.25">
      <c r="B52" s="8"/>
      <c r="C52" s="8"/>
      <c r="D52" s="419" t="s">
        <v>215</v>
      </c>
      <c r="E52" s="420"/>
      <c r="F52" s="361">
        <f>F43+F45</f>
        <v>65543310.659999996</v>
      </c>
      <c r="G52" s="50">
        <f>G43+G45</f>
        <v>198433328.88</v>
      </c>
      <c r="H52" s="50">
        <f>H43+H45</f>
        <v>29893053.660000015</v>
      </c>
    </row>
    <row r="53" spans="2:8" ht="15" x14ac:dyDescent="0.25">
      <c r="B53" s="8"/>
      <c r="C53" s="8"/>
      <c r="D53" s="11"/>
      <c r="E53" s="11"/>
      <c r="F53" s="362"/>
      <c r="G53" s="51"/>
      <c r="H53" s="51"/>
    </row>
    <row r="54" spans="2:8" ht="14.25" x14ac:dyDescent="0.2">
      <c r="B54" s="9"/>
      <c r="C54" s="9"/>
      <c r="D54" s="42" t="s">
        <v>216</v>
      </c>
      <c r="E54" s="42" t="s">
        <v>217</v>
      </c>
      <c r="F54" s="361">
        <f>F55+F56</f>
        <v>517531.67999999993</v>
      </c>
      <c r="G54" s="50">
        <f>G55+G56</f>
        <v>1573094.36</v>
      </c>
      <c r="H54" s="50">
        <f>H55+H56</f>
        <v>259474.80000000002</v>
      </c>
    </row>
    <row r="55" spans="2:8" ht="15" x14ac:dyDescent="0.25">
      <c r="B55" s="8"/>
      <c r="C55" s="8"/>
      <c r="D55" s="46" t="s">
        <v>105</v>
      </c>
      <c r="E55" s="46"/>
      <c r="F55" s="360">
        <v>541777.31999999995</v>
      </c>
      <c r="G55" s="47">
        <v>1612747.01</v>
      </c>
      <c r="H55" s="47">
        <v>271250.51</v>
      </c>
    </row>
    <row r="56" spans="2:8" ht="15" x14ac:dyDescent="0.25">
      <c r="B56" s="8"/>
      <c r="C56" s="8"/>
      <c r="D56" s="46" t="s">
        <v>218</v>
      </c>
      <c r="E56" s="46"/>
      <c r="F56" s="47">
        <v>-24245.64</v>
      </c>
      <c r="G56" s="47">
        <v>-39652.65</v>
      </c>
      <c r="H56" s="47">
        <v>-11775.71</v>
      </c>
    </row>
    <row r="57" spans="2:8" ht="15" x14ac:dyDescent="0.25">
      <c r="B57" s="8"/>
      <c r="C57" s="8"/>
      <c r="D57" s="46"/>
      <c r="E57" s="46"/>
      <c r="F57" s="360"/>
      <c r="G57" s="52"/>
      <c r="H57" s="52"/>
    </row>
    <row r="58" spans="2:8" ht="15" x14ac:dyDescent="0.25">
      <c r="B58" s="8"/>
      <c r="C58" s="8"/>
      <c r="D58" s="419" t="s">
        <v>378</v>
      </c>
      <c r="E58" s="420"/>
      <c r="F58" s="361">
        <f>F52+F54</f>
        <v>66060842.339999996</v>
      </c>
      <c r="G58" s="50">
        <f>G52+G54</f>
        <v>200006423.24000001</v>
      </c>
      <c r="H58" s="50">
        <f>H52+H54</f>
        <v>30152528.460000016</v>
      </c>
    </row>
    <row r="59" spans="2:8" ht="15" x14ac:dyDescent="0.25">
      <c r="B59" s="8"/>
      <c r="C59" s="8"/>
      <c r="D59" s="44"/>
      <c r="E59" s="44"/>
      <c r="F59" s="363"/>
      <c r="G59" s="52"/>
      <c r="H59" s="52"/>
    </row>
    <row r="60" spans="2:8" ht="15" x14ac:dyDescent="0.25">
      <c r="B60" s="8"/>
      <c r="C60" s="8"/>
      <c r="D60" s="419" t="s">
        <v>219</v>
      </c>
      <c r="E60" s="420"/>
      <c r="F60" s="364"/>
      <c r="G60" s="50">
        <f>G61+G62</f>
        <v>0</v>
      </c>
      <c r="H60" s="50">
        <f>H61+H62</f>
        <v>0</v>
      </c>
    </row>
    <row r="61" spans="2:8" ht="15" x14ac:dyDescent="0.25">
      <c r="B61" s="8"/>
      <c r="C61" s="8"/>
      <c r="D61" s="46" t="s">
        <v>220</v>
      </c>
      <c r="E61" s="46"/>
      <c r="F61" s="360"/>
      <c r="G61" s="47">
        <v>0</v>
      </c>
      <c r="H61" s="47">
        <v>0</v>
      </c>
    </row>
    <row r="62" spans="2:8" ht="15" x14ac:dyDescent="0.25">
      <c r="B62" s="8"/>
      <c r="C62" s="8"/>
      <c r="D62" s="46" t="s">
        <v>221</v>
      </c>
      <c r="E62" s="46"/>
      <c r="F62" s="360"/>
      <c r="G62" s="47">
        <v>0</v>
      </c>
      <c r="H62" s="47">
        <v>0</v>
      </c>
    </row>
    <row r="63" spans="2:8" ht="15" x14ac:dyDescent="0.25">
      <c r="B63" s="8"/>
      <c r="C63" s="8"/>
      <c r="D63" s="46"/>
      <c r="E63" s="46"/>
      <c r="F63" s="360"/>
      <c r="G63" s="52"/>
      <c r="H63" s="52"/>
    </row>
    <row r="64" spans="2:8" ht="15" x14ac:dyDescent="0.25">
      <c r="B64" s="8"/>
      <c r="C64" s="8"/>
      <c r="D64" s="54" t="s">
        <v>222</v>
      </c>
      <c r="E64" s="54" t="s">
        <v>223</v>
      </c>
      <c r="F64" s="365">
        <f>F58</f>
        <v>66060842.339999996</v>
      </c>
      <c r="G64" s="333">
        <f>G58</f>
        <v>200006423.24000001</v>
      </c>
      <c r="H64" s="333">
        <f>H58</f>
        <v>30152528.460000016</v>
      </c>
    </row>
    <row r="65" spans="2:8" ht="15" x14ac:dyDescent="0.25">
      <c r="B65" s="8"/>
      <c r="C65" s="8"/>
      <c r="D65" s="11"/>
      <c r="E65" s="11"/>
      <c r="F65" s="335"/>
      <c r="G65" s="77"/>
      <c r="H65" s="53"/>
    </row>
    <row r="66" spans="2:8" ht="15" x14ac:dyDescent="0.25">
      <c r="B66" s="8"/>
      <c r="C66" s="8"/>
      <c r="D66" s="421" t="s">
        <v>224</v>
      </c>
      <c r="E66" s="421"/>
      <c r="F66" s="421"/>
      <c r="G66" s="421"/>
      <c r="H66" s="421"/>
    </row>
    <row r="67" spans="2:8" ht="15" x14ac:dyDescent="0.25">
      <c r="B67" s="8"/>
      <c r="C67" s="8"/>
      <c r="D67" s="11"/>
      <c r="E67" s="11"/>
      <c r="F67" s="335"/>
      <c r="G67" s="11"/>
      <c r="H67" s="53"/>
    </row>
    <row r="68" spans="2:8" ht="15" x14ac:dyDescent="0.25">
      <c r="B68" s="8"/>
      <c r="C68" s="8"/>
      <c r="D68" s="417" t="s">
        <v>348</v>
      </c>
      <c r="E68" s="417"/>
      <c r="F68" s="417"/>
      <c r="G68" s="417"/>
      <c r="H68" s="417"/>
    </row>
  </sheetData>
  <mergeCells count="11">
    <mergeCell ref="D4:H4"/>
    <mergeCell ref="D6:H6"/>
    <mergeCell ref="D5:H5"/>
    <mergeCell ref="D7:H7"/>
    <mergeCell ref="D68:H68"/>
    <mergeCell ref="D9:H9"/>
    <mergeCell ref="D43:E43"/>
    <mergeCell ref="D52:E52"/>
    <mergeCell ref="D58:E58"/>
    <mergeCell ref="D60:E60"/>
    <mergeCell ref="D66:H6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64"/>
  <sheetViews>
    <sheetView showGridLines="0" topLeftCell="A43" workbookViewId="0">
      <selection activeCell="B4" sqref="B4:F62"/>
    </sheetView>
  </sheetViews>
  <sheetFormatPr defaultRowHeight="11.25" x14ac:dyDescent="0.2"/>
  <cols>
    <col min="2" max="2" width="77.6640625" bestFit="1" customWidth="1"/>
    <col min="3" max="3" width="6.6640625" bestFit="1" customWidth="1"/>
    <col min="4" max="4" width="25.33203125" customWidth="1"/>
    <col min="5" max="6" width="20.6640625" bestFit="1" customWidth="1"/>
    <col min="7" max="7" width="21.6640625" style="124" bestFit="1" customWidth="1"/>
  </cols>
  <sheetData>
    <row r="4" spans="1:7" ht="15.75" x14ac:dyDescent="0.25">
      <c r="A4" s="90"/>
      <c r="B4" s="423" t="s">
        <v>147</v>
      </c>
      <c r="C4" s="423"/>
      <c r="D4" s="423"/>
      <c r="E4" s="423"/>
      <c r="F4" s="423"/>
      <c r="G4" s="90"/>
    </row>
    <row r="5" spans="1:7" ht="15.75" x14ac:dyDescent="0.25">
      <c r="A5" s="90"/>
      <c r="B5" s="423" t="s">
        <v>148</v>
      </c>
      <c r="C5" s="423"/>
      <c r="D5" s="423"/>
      <c r="E5" s="423"/>
      <c r="F5" s="423"/>
      <c r="G5" s="90"/>
    </row>
    <row r="6" spans="1:7" ht="15.75" x14ac:dyDescent="0.25">
      <c r="A6" s="90"/>
      <c r="B6" s="423" t="s">
        <v>347</v>
      </c>
      <c r="C6" s="423"/>
      <c r="D6" s="423"/>
      <c r="E6" s="423"/>
      <c r="F6" s="423"/>
      <c r="G6" s="90"/>
    </row>
    <row r="7" spans="1:7" ht="15.75" x14ac:dyDescent="0.2">
      <c r="A7" s="134"/>
      <c r="B7" s="424" t="s">
        <v>151</v>
      </c>
      <c r="C7" s="424"/>
      <c r="D7" s="424"/>
      <c r="E7" s="424"/>
      <c r="F7" s="424"/>
      <c r="G7" s="134"/>
    </row>
    <row r="8" spans="1:7" ht="15.75" x14ac:dyDescent="0.2">
      <c r="A8" s="78"/>
      <c r="B8" s="78"/>
      <c r="C8" s="78"/>
      <c r="D8" s="337"/>
      <c r="E8" s="79"/>
      <c r="F8" s="78"/>
      <c r="G8" s="118"/>
    </row>
    <row r="9" spans="1:7" ht="15.75" x14ac:dyDescent="0.25">
      <c r="A9" s="80"/>
      <c r="B9" s="427" t="s">
        <v>235</v>
      </c>
      <c r="C9" s="427"/>
      <c r="D9" s="427"/>
      <c r="E9" s="427"/>
      <c r="F9" s="427"/>
      <c r="G9" s="119"/>
    </row>
    <row r="10" spans="1:7" ht="15.75" x14ac:dyDescent="0.25">
      <c r="A10" s="80"/>
      <c r="B10" s="81"/>
      <c r="C10" s="82"/>
      <c r="D10" s="82"/>
      <c r="E10" s="83"/>
      <c r="F10" s="84"/>
      <c r="G10" s="120"/>
    </row>
    <row r="11" spans="1:7" ht="15.75" x14ac:dyDescent="0.25">
      <c r="A11" s="85"/>
      <c r="B11" s="155" t="s">
        <v>135</v>
      </c>
      <c r="C11" s="156" t="s">
        <v>153</v>
      </c>
      <c r="D11" s="126">
        <v>46112</v>
      </c>
      <c r="E11" s="126">
        <v>46022</v>
      </c>
      <c r="F11" s="126">
        <v>45747</v>
      </c>
      <c r="G11" s="121"/>
    </row>
    <row r="12" spans="1:7" ht="15.75" x14ac:dyDescent="0.25">
      <c r="A12" s="80"/>
      <c r="B12" s="86"/>
      <c r="C12" s="86"/>
      <c r="D12" s="86"/>
      <c r="E12" s="87"/>
      <c r="F12" s="88"/>
      <c r="G12" s="121"/>
    </row>
    <row r="13" spans="1:7" ht="15.75" x14ac:dyDescent="0.25">
      <c r="A13" s="80"/>
      <c r="B13" s="135" t="s">
        <v>236</v>
      </c>
      <c r="C13" s="135" t="s">
        <v>237</v>
      </c>
      <c r="D13" s="139"/>
      <c r="E13" s="136"/>
      <c r="F13" s="133"/>
      <c r="G13" s="117"/>
    </row>
    <row r="14" spans="1:7" ht="15.75" x14ac:dyDescent="0.25">
      <c r="A14" s="80"/>
      <c r="B14" s="133" t="s">
        <v>238</v>
      </c>
      <c r="C14" s="133"/>
      <c r="D14" s="377">
        <f>DRE!F64</f>
        <v>66060842.339999996</v>
      </c>
      <c r="E14" s="137">
        <f>DRE!G64</f>
        <v>200006423.24000001</v>
      </c>
      <c r="F14" s="138">
        <f>DRE!H64</f>
        <v>30152528.460000016</v>
      </c>
      <c r="G14" s="117"/>
    </row>
    <row r="15" spans="1:7" ht="15.75" x14ac:dyDescent="0.25">
      <c r="A15" s="85"/>
      <c r="B15" s="139" t="s">
        <v>239</v>
      </c>
      <c r="C15" s="139"/>
      <c r="D15" s="378">
        <f>D16</f>
        <v>595009.72</v>
      </c>
      <c r="E15" s="140">
        <f>E16</f>
        <v>1918094.62</v>
      </c>
      <c r="F15" s="140">
        <f>F16</f>
        <v>372031.94</v>
      </c>
      <c r="G15" s="121"/>
    </row>
    <row r="16" spans="1:7" ht="15.75" x14ac:dyDescent="0.25">
      <c r="A16" s="89"/>
      <c r="B16" s="133" t="s">
        <v>240</v>
      </c>
      <c r="C16" s="133"/>
      <c r="D16" s="377">
        <v>595009.72</v>
      </c>
      <c r="E16" s="137">
        <v>1918094.62</v>
      </c>
      <c r="F16" s="138">
        <v>372031.94</v>
      </c>
      <c r="G16" s="117"/>
    </row>
    <row r="17" spans="1:7" ht="15.75" x14ac:dyDescent="0.25">
      <c r="A17" s="80"/>
      <c r="B17" s="139" t="s">
        <v>241</v>
      </c>
      <c r="C17" s="139"/>
      <c r="D17" s="378">
        <f>SUM(D18:D31)</f>
        <v>-92959958.239999995</v>
      </c>
      <c r="E17" s="140">
        <f>SUM(E18:E31)</f>
        <v>98897265.430000007</v>
      </c>
      <c r="F17" s="140">
        <f>SUM(F18:F31)</f>
        <v>-70779516.36999999</v>
      </c>
      <c r="G17" s="117"/>
    </row>
    <row r="18" spans="1:7" ht="15.75" x14ac:dyDescent="0.25">
      <c r="A18" s="80"/>
      <c r="B18" s="133" t="s">
        <v>304</v>
      </c>
      <c r="C18" s="133"/>
      <c r="D18" s="377">
        <f>'Balanço Patrimonial'!E18-'Balanço Patrimonial'!D18</f>
        <v>8955.0699999999488</v>
      </c>
      <c r="E18" s="137">
        <v>-21943.74</v>
      </c>
      <c r="F18" s="138">
        <v>-10900.41</v>
      </c>
      <c r="G18" s="117"/>
    </row>
    <row r="19" spans="1:7" ht="15.75" x14ac:dyDescent="0.25">
      <c r="A19" s="80"/>
      <c r="B19" s="133" t="s">
        <v>242</v>
      </c>
      <c r="C19" s="133"/>
      <c r="D19" s="137">
        <v>0</v>
      </c>
      <c r="E19" s="137">
        <f>'Balanço Patrimonial'!F19-'Balanço Patrimonial'!E19</f>
        <v>929214.59000000078</v>
      </c>
      <c r="F19" s="138">
        <v>0</v>
      </c>
      <c r="G19" s="117"/>
    </row>
    <row r="20" spans="1:7" ht="15.75" x14ac:dyDescent="0.25">
      <c r="A20" s="80"/>
      <c r="B20" s="133" t="s">
        <v>243</v>
      </c>
      <c r="C20" s="133"/>
      <c r="D20" s="379">
        <f>'Balanço Patrimonial'!E20-'Balanço Patrimonial'!D20</f>
        <v>-174787.81</v>
      </c>
      <c r="E20" s="137">
        <v>-37948.019999999997</v>
      </c>
      <c r="F20" s="138">
        <v>-158143.25</v>
      </c>
      <c r="G20" s="117"/>
    </row>
    <row r="21" spans="1:7" ht="15.75" x14ac:dyDescent="0.25">
      <c r="A21" s="80"/>
      <c r="B21" s="133" t="s">
        <v>359</v>
      </c>
      <c r="C21" s="133"/>
      <c r="D21" s="379">
        <f>'Balanço Patrimonial'!E21-'Balanço Patrimonial'!D21</f>
        <v>-503405.46</v>
      </c>
      <c r="E21" s="137">
        <v>0</v>
      </c>
      <c r="F21" s="138">
        <v>0</v>
      </c>
      <c r="G21" s="117"/>
    </row>
    <row r="22" spans="1:7" ht="15.75" x14ac:dyDescent="0.25">
      <c r="A22" s="80"/>
      <c r="B22" s="133" t="s">
        <v>244</v>
      </c>
      <c r="C22" s="133"/>
      <c r="D22" s="377">
        <f>'Balanço Patrimonial'!E22-'Balanço Patrimonial'!D22</f>
        <v>392798.38</v>
      </c>
      <c r="E22" s="137">
        <v>-59757.37</v>
      </c>
      <c r="F22" s="138">
        <v>367195.55</v>
      </c>
      <c r="G22" s="117"/>
    </row>
    <row r="23" spans="1:7" ht="15.75" x14ac:dyDescent="0.25">
      <c r="A23" s="80"/>
      <c r="B23" s="141" t="s">
        <v>245</v>
      </c>
      <c r="C23" s="141"/>
      <c r="D23" s="137">
        <v>0</v>
      </c>
      <c r="E23" s="137">
        <v>8988.41</v>
      </c>
      <c r="F23" s="138">
        <v>2609.54</v>
      </c>
      <c r="G23" s="117"/>
    </row>
    <row r="24" spans="1:7" ht="15.75" x14ac:dyDescent="0.25">
      <c r="A24" s="80"/>
      <c r="B24" s="133" t="s">
        <v>246</v>
      </c>
      <c r="C24" s="133"/>
      <c r="D24" s="137">
        <f>'Balanço Patrimonial'!E24-'Balanço Patrimonial'!D24</f>
        <v>-38871.169999999984</v>
      </c>
      <c r="E24" s="137">
        <v>9529.9500000000007</v>
      </c>
      <c r="F24" s="138">
        <v>11649.56</v>
      </c>
      <c r="G24" s="117"/>
    </row>
    <row r="25" spans="1:7" ht="15.75" x14ac:dyDescent="0.25">
      <c r="A25" s="80"/>
      <c r="B25" s="141" t="s">
        <v>247</v>
      </c>
      <c r="C25" s="141"/>
      <c r="D25" s="377">
        <f>'Balanço Patrimonial'!K16-'Balanço Patrimonial'!L16</f>
        <v>39235.640000000014</v>
      </c>
      <c r="E25" s="137">
        <v>83467.81</v>
      </c>
      <c r="F25" s="138">
        <v>38842.11</v>
      </c>
      <c r="G25" s="117"/>
    </row>
    <row r="26" spans="1:7" ht="15.75" x14ac:dyDescent="0.25">
      <c r="A26" s="80"/>
      <c r="B26" s="141" t="s">
        <v>248</v>
      </c>
      <c r="C26" s="141"/>
      <c r="D26" s="377">
        <f>'Balanço Patrimonial'!K17-'Balanço Patrimonial'!L17</f>
        <v>513967.72999999952</v>
      </c>
      <c r="E26" s="137">
        <v>1890926.79</v>
      </c>
      <c r="F26" s="138">
        <v>1662980.06</v>
      </c>
      <c r="G26" s="117"/>
    </row>
    <row r="27" spans="1:7" ht="15.75" x14ac:dyDescent="0.25">
      <c r="A27" s="80"/>
      <c r="B27" s="141" t="s">
        <v>249</v>
      </c>
      <c r="C27" s="141"/>
      <c r="D27" s="137">
        <f>'Balanço Patrimonial'!K18-'Balanço Patrimonial'!L18</f>
        <v>-564869.28</v>
      </c>
      <c r="E27" s="137">
        <v>1470591.24</v>
      </c>
      <c r="F27" s="138">
        <v>477651.81</v>
      </c>
      <c r="G27" s="117"/>
    </row>
    <row r="28" spans="1:7" ht="15.75" x14ac:dyDescent="0.25">
      <c r="A28" s="80"/>
      <c r="B28" s="133" t="s">
        <v>250</v>
      </c>
      <c r="C28" s="133"/>
      <c r="D28" s="377">
        <f>'Balanço Patrimonial'!K19-'Balanço Patrimonial'!L19</f>
        <v>20001995.280000001</v>
      </c>
      <c r="E28" s="137">
        <v>1925534.58</v>
      </c>
      <c r="F28" s="138">
        <v>9219163.7699999996</v>
      </c>
      <c r="G28" s="117"/>
    </row>
    <row r="29" spans="1:7" ht="15.75" x14ac:dyDescent="0.25">
      <c r="A29" s="80"/>
      <c r="B29" s="133" t="s">
        <v>251</v>
      </c>
      <c r="C29" s="133"/>
      <c r="D29" s="377">
        <f>'Balanço Patrimonial'!K20-'Balanço Patrimonial'!L20</f>
        <v>694151.88999999966</v>
      </c>
      <c r="E29" s="137">
        <v>646554.07999999996</v>
      </c>
      <c r="F29" s="138">
        <v>597301.12</v>
      </c>
      <c r="G29" s="117"/>
    </row>
    <row r="30" spans="1:7" ht="15.75" x14ac:dyDescent="0.25">
      <c r="A30" s="80"/>
      <c r="B30" s="133" t="s">
        <v>252</v>
      </c>
      <c r="C30" s="133"/>
      <c r="D30" s="137">
        <f>'Balanço Patrimonial'!K21-'Balanço Patrimonial'!L21</f>
        <v>-113411389.00999999</v>
      </c>
      <c r="E30" s="137">
        <v>91791749.650000006</v>
      </c>
      <c r="F30" s="138">
        <v>-82929469.269999996</v>
      </c>
      <c r="G30" s="117"/>
    </row>
    <row r="31" spans="1:7" ht="15.75" x14ac:dyDescent="0.25">
      <c r="A31" s="80"/>
      <c r="B31" s="133" t="s">
        <v>253</v>
      </c>
      <c r="C31" s="133"/>
      <c r="D31" s="377">
        <f>'Balanço Patrimonial'!K22-'Balanço Patrimonial'!L22</f>
        <v>82260.5</v>
      </c>
      <c r="E31" s="137">
        <v>260357.46</v>
      </c>
      <c r="F31" s="138">
        <v>-58396.959999999999</v>
      </c>
      <c r="G31" s="117"/>
    </row>
    <row r="32" spans="1:7" ht="15.75" x14ac:dyDescent="0.25">
      <c r="A32" s="80"/>
      <c r="B32" s="425" t="s">
        <v>254</v>
      </c>
      <c r="C32" s="426"/>
      <c r="D32" s="380">
        <f>D14+D15+D17</f>
        <v>-26304106.18</v>
      </c>
      <c r="E32" s="142">
        <f>E14+E15+E17</f>
        <v>300821783.29000002</v>
      </c>
      <c r="F32" s="142">
        <f>F14+F15+F17</f>
        <v>-40254955.969999969</v>
      </c>
      <c r="G32" s="117"/>
    </row>
    <row r="33" spans="1:7" ht="15.75" x14ac:dyDescent="0.25">
      <c r="A33" s="80"/>
      <c r="B33" s="143"/>
      <c r="C33" s="143"/>
      <c r="D33" s="372"/>
      <c r="E33" s="144"/>
      <c r="F33" s="145"/>
      <c r="G33" s="117"/>
    </row>
    <row r="34" spans="1:7" ht="15.75" x14ac:dyDescent="0.25">
      <c r="A34" s="80"/>
      <c r="B34" s="143"/>
      <c r="C34" s="143"/>
      <c r="D34" s="372"/>
      <c r="E34" s="144"/>
      <c r="F34" s="145"/>
      <c r="G34" s="117"/>
    </row>
    <row r="35" spans="1:7" ht="15.75" x14ac:dyDescent="0.25">
      <c r="A35" s="80"/>
      <c r="B35" s="135" t="s">
        <v>255</v>
      </c>
      <c r="C35" s="135" t="s">
        <v>256</v>
      </c>
      <c r="D35" s="373"/>
      <c r="E35" s="136"/>
      <c r="F35" s="137"/>
      <c r="G35" s="117"/>
    </row>
    <row r="36" spans="1:7" ht="15.75" x14ac:dyDescent="0.25">
      <c r="A36" s="80"/>
      <c r="B36" s="133" t="s">
        <v>358</v>
      </c>
      <c r="C36" s="133"/>
      <c r="D36" s="137">
        <f>('Balanço Patrimonial'!E39-'Balanço Patrimonial'!D39)+('Balanço Patrimonial'!E43-'Balanço Patrimonial'!D43)</f>
        <v>-1094604.7400000002</v>
      </c>
      <c r="E36" s="137">
        <f>-1123968.32-2703499.3</f>
        <v>-3827467.62</v>
      </c>
      <c r="F36" s="138">
        <v>-787778.35</v>
      </c>
      <c r="G36" s="117"/>
    </row>
    <row r="37" spans="1:7" ht="15.75" x14ac:dyDescent="0.25">
      <c r="A37" s="80"/>
      <c r="B37" s="133" t="s">
        <v>257</v>
      </c>
      <c r="C37" s="133"/>
      <c r="D37" s="137">
        <v>0</v>
      </c>
      <c r="E37" s="137">
        <f>226251.23-215496.28</f>
        <v>10754.950000000012</v>
      </c>
      <c r="F37" s="138">
        <v>28706.47</v>
      </c>
      <c r="G37" s="117"/>
    </row>
    <row r="38" spans="1:7" ht="15.75" x14ac:dyDescent="0.25">
      <c r="A38" s="80"/>
      <c r="B38" s="425" t="s">
        <v>258</v>
      </c>
      <c r="C38" s="426"/>
      <c r="D38" s="371">
        <f>SUM(D36:D37)</f>
        <v>-1094604.7400000002</v>
      </c>
      <c r="E38" s="142">
        <f>SUM(E36:E37)</f>
        <v>-3816712.67</v>
      </c>
      <c r="F38" s="142">
        <f>SUM(F36:F37)</f>
        <v>-759071.88</v>
      </c>
      <c r="G38" s="117"/>
    </row>
    <row r="39" spans="1:7" ht="15.75" x14ac:dyDescent="0.25">
      <c r="A39" s="80"/>
      <c r="B39" s="143"/>
      <c r="C39" s="143"/>
      <c r="D39" s="372"/>
      <c r="E39" s="144"/>
      <c r="F39" s="145"/>
      <c r="G39" s="117"/>
    </row>
    <row r="40" spans="1:7" ht="15.75" x14ac:dyDescent="0.25">
      <c r="A40" s="80"/>
      <c r="B40" s="143"/>
      <c r="C40" s="143"/>
      <c r="D40" s="372"/>
      <c r="E40" s="144"/>
      <c r="F40" s="145"/>
      <c r="G40" s="117"/>
    </row>
    <row r="41" spans="1:7" ht="15.75" x14ac:dyDescent="0.25">
      <c r="A41" s="80"/>
      <c r="B41" s="135" t="s">
        <v>259</v>
      </c>
      <c r="C41" s="135" t="s">
        <v>260</v>
      </c>
      <c r="D41" s="373"/>
      <c r="E41" s="146"/>
      <c r="F41" s="137"/>
      <c r="G41" s="117"/>
    </row>
    <row r="42" spans="1:7" ht="15.75" x14ac:dyDescent="0.25">
      <c r="A42" s="80"/>
      <c r="B42" s="133" t="s">
        <v>261</v>
      </c>
      <c r="C42" s="133"/>
      <c r="D42" s="138">
        <v>0</v>
      </c>
      <c r="E42" s="137">
        <f>'Balanço Patrimonial'!F29-'Balanço Patrimonial'!E29</f>
        <v>40664.28</v>
      </c>
      <c r="F42" s="138">
        <v>0</v>
      </c>
      <c r="G42" s="117"/>
    </row>
    <row r="43" spans="1:7" ht="15.75" x14ac:dyDescent="0.25">
      <c r="A43" s="80"/>
      <c r="B43" s="133" t="s">
        <v>303</v>
      </c>
      <c r="C43" s="133"/>
      <c r="D43" s="138">
        <v>0</v>
      </c>
      <c r="E43" s="137">
        <f>'Balanço Patrimonial'!F31-'Balanço Patrimonial'!E31</f>
        <v>429809.70000000007</v>
      </c>
      <c r="F43" s="138">
        <v>0</v>
      </c>
      <c r="G43" s="117"/>
    </row>
    <row r="44" spans="1:7" ht="15.75" x14ac:dyDescent="0.25">
      <c r="A44" s="80"/>
      <c r="B44" s="133" t="s">
        <v>262</v>
      </c>
      <c r="C44" s="133"/>
      <c r="D44" s="138">
        <f>'Balanço Patrimonial'!E32-'Balanço Patrimonial'!D32</f>
        <v>328910.13000000035</v>
      </c>
      <c r="E44" s="137">
        <v>93339.36</v>
      </c>
      <c r="F44" s="138">
        <v>50126.69</v>
      </c>
      <c r="G44" s="117"/>
    </row>
    <row r="45" spans="1:7" ht="15.75" x14ac:dyDescent="0.25">
      <c r="A45" s="80"/>
      <c r="B45" s="133" t="s">
        <v>263</v>
      </c>
      <c r="C45" s="133"/>
      <c r="D45" s="138">
        <f>'Balanço Patrimonial'!E33-'Balanço Patrimonial'!D33</f>
        <v>-529930.75</v>
      </c>
      <c r="E45" s="137">
        <v>-40625.07</v>
      </c>
      <c r="F45" s="138">
        <v>-414868.7</v>
      </c>
      <c r="G45" s="117"/>
    </row>
    <row r="46" spans="1:7" ht="15.75" x14ac:dyDescent="0.25">
      <c r="A46" s="80"/>
      <c r="B46" s="133" t="s">
        <v>264</v>
      </c>
      <c r="C46" s="133"/>
      <c r="D46" s="138">
        <f>'Balanço Patrimonial'!E34-'Balanço Patrimonial'!D34</f>
        <v>-81921977.0200001</v>
      </c>
      <c r="E46" s="137">
        <v>-190272281.47999999</v>
      </c>
      <c r="F46" s="138">
        <v>-37572577.630000003</v>
      </c>
      <c r="G46" s="117"/>
    </row>
    <row r="47" spans="1:7" ht="15.75" x14ac:dyDescent="0.25">
      <c r="A47" s="80"/>
      <c r="B47" s="133" t="s">
        <v>317</v>
      </c>
      <c r="C47" s="133"/>
      <c r="D47" s="138">
        <v>0</v>
      </c>
      <c r="E47" s="137">
        <f>'Balanço Patrimonial'!F35-'Balanço Patrimonial'!E35</f>
        <v>-2292361.5299999998</v>
      </c>
      <c r="F47" s="138">
        <v>0</v>
      </c>
      <c r="G47" s="117"/>
    </row>
    <row r="48" spans="1:7" ht="15.75" x14ac:dyDescent="0.25">
      <c r="A48" s="80"/>
      <c r="B48" s="133" t="s">
        <v>265</v>
      </c>
      <c r="C48" s="133"/>
      <c r="D48" s="138">
        <f>'Balanço Patrimonial'!K31-'Balanço Patrimonial'!L31</f>
        <v>-6262.8299999999581</v>
      </c>
      <c r="E48" s="137">
        <f>'Balanço Patrimonial'!L31-'Balanço Patrimonial'!M31</f>
        <v>-1041000</v>
      </c>
      <c r="F48" s="138">
        <v>0</v>
      </c>
      <c r="G48" s="117"/>
    </row>
    <row r="49" spans="1:7" ht="15.75" x14ac:dyDescent="0.25">
      <c r="A49" s="80"/>
      <c r="B49" s="425" t="s">
        <v>266</v>
      </c>
      <c r="C49" s="426"/>
      <c r="D49" s="371">
        <f>SUM(D42:D48)</f>
        <v>-82129260.470000103</v>
      </c>
      <c r="E49" s="142">
        <f>SUM(E42:E48)</f>
        <v>-193082454.73999998</v>
      </c>
      <c r="F49" s="142">
        <f>SUM(F42:F48)</f>
        <v>-37937319.640000001</v>
      </c>
      <c r="G49" s="117"/>
    </row>
    <row r="50" spans="1:7" ht="15.75" x14ac:dyDescent="0.25">
      <c r="A50" s="80"/>
      <c r="B50" s="143"/>
      <c r="C50" s="143"/>
      <c r="D50" s="372"/>
      <c r="E50" s="144"/>
      <c r="F50" s="145"/>
      <c r="G50" s="117"/>
    </row>
    <row r="51" spans="1:7" ht="15.75" x14ac:dyDescent="0.25">
      <c r="A51" s="80"/>
      <c r="B51" s="143"/>
      <c r="C51" s="143"/>
      <c r="D51" s="372"/>
      <c r="E51" s="144"/>
      <c r="F51" s="145"/>
      <c r="G51" s="117"/>
    </row>
    <row r="52" spans="1:7" ht="15.75" x14ac:dyDescent="0.25">
      <c r="A52" s="80"/>
      <c r="B52" s="147" t="s">
        <v>267</v>
      </c>
      <c r="C52" s="147" t="s">
        <v>268</v>
      </c>
      <c r="D52" s="374">
        <f>D49+D38+D32</f>
        <v>-109527971.3900001</v>
      </c>
      <c r="E52" s="148">
        <f>E49+E38+E32</f>
        <v>103922615.88000005</v>
      </c>
      <c r="F52" s="148">
        <f>F49+F38+F32</f>
        <v>-78951347.48999998</v>
      </c>
      <c r="G52" s="119"/>
    </row>
    <row r="53" spans="1:7" ht="15.75" x14ac:dyDescent="0.25">
      <c r="A53" s="80"/>
      <c r="B53" s="149"/>
      <c r="C53" s="149"/>
      <c r="D53" s="375"/>
      <c r="E53" s="150"/>
      <c r="F53" s="151"/>
      <c r="G53" s="119"/>
    </row>
    <row r="54" spans="1:7" ht="15.75" x14ac:dyDescent="0.25">
      <c r="A54" s="80"/>
      <c r="B54" s="149" t="s">
        <v>269</v>
      </c>
      <c r="C54" s="149"/>
      <c r="D54" s="375">
        <f>E55</f>
        <v>276313316.14999998</v>
      </c>
      <c r="E54" s="150">
        <f>F54</f>
        <v>172390700.27000001</v>
      </c>
      <c r="F54" s="151">
        <v>172390700.27000001</v>
      </c>
      <c r="G54" s="119"/>
    </row>
    <row r="55" spans="1:7" ht="15.75" x14ac:dyDescent="0.25">
      <c r="A55" s="80"/>
      <c r="B55" s="149" t="s">
        <v>270</v>
      </c>
      <c r="C55" s="149"/>
      <c r="D55" s="375">
        <f>'Balanço Patrimonial'!D16+'Balanço Patrimonial'!D17</f>
        <v>166785344.75999999</v>
      </c>
      <c r="E55" s="150">
        <f>'Balanço Patrimonial'!E16+'Balanço Patrimonial'!E17</f>
        <v>276313316.14999998</v>
      </c>
      <c r="F55" s="151">
        <v>93439352.780000001</v>
      </c>
      <c r="G55" s="119"/>
    </row>
    <row r="56" spans="1:7" ht="15.75" x14ac:dyDescent="0.25">
      <c r="A56" s="80"/>
      <c r="B56" s="152"/>
      <c r="C56" s="152"/>
      <c r="D56" s="376"/>
      <c r="E56" s="153"/>
      <c r="F56" s="154"/>
      <c r="G56" s="119"/>
    </row>
    <row r="57" spans="1:7" ht="15.75" x14ac:dyDescent="0.25">
      <c r="A57" s="80"/>
      <c r="B57" s="147" t="str">
        <f>CONCATENATE("    ( = ) Saldo de Caixa Final - Equivalente Caixa Inicial")</f>
        <v xml:space="preserve">    ( = ) Saldo de Caixa Final - Equivalente Caixa Inicial</v>
      </c>
      <c r="C57" s="147" t="s">
        <v>268</v>
      </c>
      <c r="D57" s="374">
        <f>D55-D54</f>
        <v>-109527971.38999999</v>
      </c>
      <c r="E57" s="148">
        <f>E55-E54</f>
        <v>103922615.87999997</v>
      </c>
      <c r="F57" s="148">
        <f>F55-F54</f>
        <v>-78951347.49000001</v>
      </c>
      <c r="G57" s="119"/>
    </row>
    <row r="58" spans="1:7" ht="15.75" x14ac:dyDescent="0.25">
      <c r="A58" s="80"/>
      <c r="B58" s="422"/>
      <c r="C58" s="422"/>
      <c r="D58" s="422"/>
      <c r="E58" s="422"/>
      <c r="F58" s="422"/>
      <c r="G58" s="122"/>
    </row>
    <row r="59" spans="1:7" ht="15.75" x14ac:dyDescent="0.25">
      <c r="A59" s="80"/>
      <c r="B59" s="414" t="s">
        <v>271</v>
      </c>
      <c r="C59" s="414"/>
      <c r="D59" s="414"/>
      <c r="E59" s="414"/>
      <c r="F59" s="414"/>
      <c r="G59" s="123"/>
    </row>
    <row r="62" spans="1:7" ht="15.75" x14ac:dyDescent="0.25">
      <c r="B62" s="422" t="s">
        <v>348</v>
      </c>
      <c r="C62" s="422"/>
      <c r="D62" s="422"/>
      <c r="E62" s="422"/>
      <c r="F62" s="422"/>
    </row>
    <row r="64" spans="1:7" x14ac:dyDescent="0.2">
      <c r="D64" s="370"/>
      <c r="E64" s="370"/>
      <c r="F64" s="370"/>
    </row>
  </sheetData>
  <mergeCells count="11">
    <mergeCell ref="B59:F59"/>
    <mergeCell ref="B62:F62"/>
    <mergeCell ref="B4:F4"/>
    <mergeCell ref="B5:F5"/>
    <mergeCell ref="B6:F6"/>
    <mergeCell ref="B7:F7"/>
    <mergeCell ref="B32:C32"/>
    <mergeCell ref="B38:C38"/>
    <mergeCell ref="B49:C49"/>
    <mergeCell ref="B58:F58"/>
    <mergeCell ref="B9:F9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11</vt:i4>
      </vt:variant>
    </vt:vector>
  </HeadingPairs>
  <TitlesOfParts>
    <vt:vector size="11" baseType="lpstr">
      <vt:lpstr>Balanço</vt:lpstr>
      <vt:lpstr>Planilhas Complementares</vt:lpstr>
      <vt:lpstr>SUBVENÇÃO e APLICAÇÃO</vt:lpstr>
      <vt:lpstr>Partes Relacionadas</vt:lpstr>
      <vt:lpstr>PESSOAL</vt:lpstr>
      <vt:lpstr>Balanço Patrimonial</vt:lpstr>
      <vt:lpstr>DMPL</vt:lpstr>
      <vt:lpstr>DRE</vt:lpstr>
      <vt:lpstr>DFC</vt:lpstr>
      <vt:lpstr>DVA</vt:lpstr>
      <vt:lpstr>DRA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KAMILLA GUIMARAES RODRIGUES</dc:creator>
  <cp:lastModifiedBy>KAMILLA GUIMARAES RODRIGUES</cp:lastModifiedBy>
  <cp:lastPrinted>2025-11-11T19:54:02Z</cp:lastPrinted>
  <dcterms:created xsi:type="dcterms:W3CDTF">2026-01-30T19:12:03Z</dcterms:created>
  <dcterms:modified xsi:type="dcterms:W3CDTF">2026-07-01T20:34:05Z</dcterms:modified>
</cp:coreProperties>
</file>